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0" windowWidth="11430" windowHeight="940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A地块" sheetId="71" r:id="rId14"/>
    <sheet name="数据-汇总表" sheetId="6" r:id="rId15"/>
    <sheet name="数据-取费表" sheetId="1" r:id="rId16"/>
    <sheet name="估价对象房地状况" sheetId="20" r:id="rId17"/>
    <sheet name="系统读取表" sheetId="66" r:id="rId18"/>
    <sheet name="结果表" sheetId="9"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库" sheetId="69" r:id="rId43"/>
    <sheet name="B地块" sheetId="70" state="hidden" r:id="rId44"/>
    <sheet name="价值汇总表" sheetId="72"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地价!#REF!</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72" l="1"/>
  <c r="F8" i="72" l="1"/>
  <c r="E8" i="72"/>
  <c r="F9" i="72" l="1"/>
  <c r="E9" i="72"/>
  <c r="G9" i="72" l="1"/>
  <c r="K9" i="72" s="1"/>
  <c r="D17" i="66" l="1"/>
  <c r="H9" i="72" l="1"/>
  <c r="L9" i="72" s="1"/>
  <c r="F10" i="72" l="1"/>
  <c r="E7" i="72"/>
  <c r="E10" i="72" s="1"/>
  <c r="F6" i="72"/>
  <c r="E6" i="72"/>
  <c r="C16" i="66" l="1"/>
  <c r="B16" i="66"/>
  <c r="M19" i="46" l="1"/>
  <c r="D82" i="59"/>
  <c r="F81" i="59"/>
  <c r="E81" i="59"/>
  <c r="C81" i="59"/>
  <c r="D81" i="59" s="1"/>
  <c r="B81" i="59"/>
  <c r="F80" i="59"/>
  <c r="E80" i="59"/>
  <c r="C80" i="59"/>
  <c r="D80" i="59" s="1"/>
  <c r="B80" i="59"/>
  <c r="F79" i="59"/>
  <c r="E79" i="59"/>
  <c r="C79" i="59"/>
  <c r="D79" i="59" s="1"/>
  <c r="B79" i="59"/>
  <c r="D78" i="59"/>
  <c r="F77" i="59"/>
  <c r="E77" i="59"/>
  <c r="C77" i="59"/>
  <c r="D77" i="59" s="1"/>
  <c r="B77" i="59"/>
  <c r="F76" i="59"/>
  <c r="E76" i="59"/>
  <c r="C76" i="59"/>
  <c r="D76" i="59" s="1"/>
  <c r="B76" i="59"/>
  <c r="F75" i="59"/>
  <c r="E75" i="59"/>
  <c r="C75" i="59"/>
  <c r="D75" i="59" s="1"/>
  <c r="B75" i="59"/>
  <c r="D74" i="59"/>
  <c r="Q73" i="59"/>
  <c r="P73" i="59"/>
  <c r="O73" i="59"/>
  <c r="N73" i="59"/>
  <c r="F73" i="59"/>
  <c r="V73" i="59" s="1"/>
  <c r="E73" i="59"/>
  <c r="U73" i="59" s="1"/>
  <c r="C73" i="59"/>
  <c r="T73" i="59" s="1"/>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Q69" i="59"/>
  <c r="P69" i="59"/>
  <c r="O69" i="59"/>
  <c r="N69" i="59"/>
  <c r="F69" i="59"/>
  <c r="V69" i="59" s="1"/>
  <c r="E69" i="59"/>
  <c r="U69" i="59" s="1"/>
  <c r="C69" i="59"/>
  <c r="T69" i="59" s="1"/>
  <c r="B69" i="59"/>
  <c r="S69" i="59" s="1"/>
  <c r="Q68" i="59"/>
  <c r="P68" i="59"/>
  <c r="O68" i="59"/>
  <c r="N68" i="59"/>
  <c r="F68" i="59"/>
  <c r="E68" i="59"/>
  <c r="C68" i="59"/>
  <c r="D68" i="59" s="1"/>
  <c r="B68" i="59"/>
  <c r="Q67" i="59"/>
  <c r="P67" i="59"/>
  <c r="O67" i="59"/>
  <c r="N67" i="59"/>
  <c r="F67" i="59"/>
  <c r="E67" i="59"/>
  <c r="C67" i="59"/>
  <c r="D67" i="59" s="1"/>
  <c r="B67" i="59"/>
  <c r="Q66" i="59"/>
  <c r="P66" i="59"/>
  <c r="O66" i="59"/>
  <c r="N66" i="59"/>
  <c r="D66" i="59"/>
  <c r="Q65" i="59"/>
  <c r="P65" i="59"/>
  <c r="O65" i="59"/>
  <c r="N65" i="59"/>
  <c r="F65" i="59"/>
  <c r="V65" i="59" s="1"/>
  <c r="E65" i="59"/>
  <c r="U65" i="59" s="1"/>
  <c r="C65" i="59"/>
  <c r="T65" i="59" s="1"/>
  <c r="B65" i="59"/>
  <c r="S65" i="59" s="1"/>
  <c r="Q64" i="59"/>
  <c r="P64" i="59"/>
  <c r="O64" i="59"/>
  <c r="N64" i="59"/>
  <c r="F64" i="59"/>
  <c r="E64" i="59"/>
  <c r="C64" i="59"/>
  <c r="D64" i="59" s="1"/>
  <c r="B64" i="59"/>
  <c r="Q63" i="59"/>
  <c r="P63" i="59"/>
  <c r="O63" i="59"/>
  <c r="N63" i="59"/>
  <c r="F63" i="59"/>
  <c r="E63" i="59"/>
  <c r="C63" i="59"/>
  <c r="D63" i="59" s="1"/>
  <c r="B63" i="59"/>
  <c r="Q62" i="59"/>
  <c r="P62" i="59"/>
  <c r="O62" i="59"/>
  <c r="N62" i="59"/>
  <c r="D62" i="59"/>
  <c r="F61" i="59"/>
  <c r="V61" i="59" s="1"/>
  <c r="E61" i="59"/>
  <c r="U61" i="59" s="1"/>
  <c r="C61" i="59"/>
  <c r="T61" i="59" s="1"/>
  <c r="B61" i="59"/>
  <c r="S61" i="59" s="1"/>
  <c r="F60" i="59"/>
  <c r="Q60" i="59" s="1"/>
  <c r="E60" i="59"/>
  <c r="P60" i="59" s="1"/>
  <c r="C60" i="59"/>
  <c r="O60" i="59" s="1"/>
  <c r="B60" i="59"/>
  <c r="N60" i="59" s="1"/>
  <c r="F59" i="59"/>
  <c r="Q59" i="59" s="1"/>
  <c r="E59" i="59"/>
  <c r="P59" i="59" s="1"/>
  <c r="C59" i="59"/>
  <c r="O59" i="59" s="1"/>
  <c r="B59" i="59"/>
  <c r="N59" i="59" s="1"/>
  <c r="Q58" i="59"/>
  <c r="P58" i="59"/>
  <c r="O58" i="59"/>
  <c r="N58"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C44" i="59" s="1"/>
  <c r="N42" i="59"/>
  <c r="B43" i="59" s="1"/>
  <c r="B44" i="59" s="1"/>
  <c r="B45" i="59" s="1"/>
  <c r="S45" i="59" s="1"/>
  <c r="D42" i="59"/>
  <c r="T41" i="59"/>
  <c r="Q41" i="59"/>
  <c r="P41" i="59"/>
  <c r="O41" i="59"/>
  <c r="N41" i="59"/>
  <c r="D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AH33" i="59"/>
  <c r="AG33" i="59"/>
  <c r="AE33" i="59"/>
  <c r="AF33" i="59" s="1"/>
  <c r="AD33" i="59"/>
  <c r="Q33" i="59"/>
  <c r="P33" i="59"/>
  <c r="O33" i="59"/>
  <c r="N33" i="59"/>
  <c r="AH32" i="59"/>
  <c r="AG32" i="59"/>
  <c r="AE32" i="59"/>
  <c r="AF32" i="59" s="1"/>
  <c r="AD32" i="59"/>
  <c r="AB32" i="59"/>
  <c r="Q32" i="59"/>
  <c r="P32" i="59"/>
  <c r="AA32" i="59" s="1"/>
  <c r="O32" i="59"/>
  <c r="Y32" i="59" s="1"/>
  <c r="Z32" i="59" s="1"/>
  <c r="N32" i="59"/>
  <c r="X32" i="59" s="1"/>
  <c r="AH31" i="59"/>
  <c r="AG31" i="59"/>
  <c r="AE31" i="59"/>
  <c r="AF31" i="59" s="1"/>
  <c r="AD31" i="59"/>
  <c r="AB31" i="59"/>
  <c r="Q31" i="59"/>
  <c r="P31" i="59"/>
  <c r="AA31" i="59" s="1"/>
  <c r="O31" i="59"/>
  <c r="Y31" i="59" s="1"/>
  <c r="Z31" i="59" s="1"/>
  <c r="N31" i="59"/>
  <c r="X31" i="59" s="1"/>
  <c r="E31" i="59"/>
  <c r="E32" i="59" s="1"/>
  <c r="E33" i="59" s="1"/>
  <c r="U33" i="59" s="1"/>
  <c r="AH30" i="59"/>
  <c r="AG30" i="59"/>
  <c r="AF30" i="59"/>
  <c r="AE30" i="59"/>
  <c r="AD30" i="59"/>
  <c r="AA30" i="59"/>
  <c r="Q30" i="59"/>
  <c r="P30" i="59"/>
  <c r="O30" i="59"/>
  <c r="Y30" i="59" s="1"/>
  <c r="Z30" i="59" s="1"/>
  <c r="N30" i="59"/>
  <c r="B31" i="59" s="1"/>
  <c r="B32" i="59" s="1"/>
  <c r="B33" i="59" s="1"/>
  <c r="S33" i="59" s="1"/>
  <c r="D30" i="59"/>
  <c r="AH29" i="59"/>
  <c r="AG29" i="59"/>
  <c r="AE29" i="59"/>
  <c r="AF29" i="59" s="1"/>
  <c r="AD29" i="59"/>
  <c r="AB29" i="59"/>
  <c r="Q29" i="59"/>
  <c r="P29" i="59"/>
  <c r="AA29" i="59" s="1"/>
  <c r="O29" i="59"/>
  <c r="Y29" i="59" s="1"/>
  <c r="Z29" i="59" s="1"/>
  <c r="N29" i="59"/>
  <c r="X29" i="59" s="1"/>
  <c r="AH28" i="59"/>
  <c r="AG28" i="59"/>
  <c r="AF28" i="59"/>
  <c r="AE28" i="59"/>
  <c r="AD28" i="59"/>
  <c r="AA28" i="59"/>
  <c r="Q28" i="59"/>
  <c r="AB28" i="59" s="1"/>
  <c r="P28" i="59"/>
  <c r="O28" i="59"/>
  <c r="Y28" i="59" s="1"/>
  <c r="Z28" i="59" s="1"/>
  <c r="N28" i="59"/>
  <c r="X28" i="59" s="1"/>
  <c r="AH27" i="59"/>
  <c r="AG27" i="59"/>
  <c r="AE27" i="59"/>
  <c r="AF27" i="59" s="1"/>
  <c r="AD27" i="59"/>
  <c r="AB27" i="59"/>
  <c r="Q27" i="59"/>
  <c r="P27" i="59"/>
  <c r="AA27" i="59" s="1"/>
  <c r="O27" i="59"/>
  <c r="Y27" i="59" s="1"/>
  <c r="Z27" i="59" s="1"/>
  <c r="N27" i="59"/>
  <c r="X27" i="59" s="1"/>
  <c r="E27" i="59"/>
  <c r="AH26" i="59"/>
  <c r="AG26" i="59"/>
  <c r="AF26" i="59"/>
  <c r="AE26" i="59"/>
  <c r="AD26" i="59"/>
  <c r="AA26" i="59"/>
  <c r="Q26" i="59"/>
  <c r="P26" i="59"/>
  <c r="O26" i="59"/>
  <c r="Y26" i="59" s="1"/>
  <c r="Z26" i="59" s="1"/>
  <c r="N26" i="59"/>
  <c r="B27" i="59" s="1"/>
  <c r="B28" i="59" s="1"/>
  <c r="B29" i="59" s="1"/>
  <c r="S29" i="59" s="1"/>
  <c r="D26" i="59"/>
  <c r="AH25" i="59"/>
  <c r="AG25" i="59"/>
  <c r="AE25" i="59"/>
  <c r="AF25" i="59" s="1"/>
  <c r="AD25" i="59"/>
  <c r="AB25" i="59"/>
  <c r="Q25" i="59"/>
  <c r="P25" i="59"/>
  <c r="AA25" i="59" s="1"/>
  <c r="O25" i="59"/>
  <c r="Y25" i="59" s="1"/>
  <c r="Z25" i="59" s="1"/>
  <c r="N25" i="59"/>
  <c r="X25" i="59" s="1"/>
  <c r="AH24" i="59"/>
  <c r="AG24" i="59"/>
  <c r="AF24" i="59"/>
  <c r="AE24" i="59"/>
  <c r="AD24" i="59"/>
  <c r="AA24" i="59"/>
  <c r="Q24" i="59"/>
  <c r="AB24" i="59" s="1"/>
  <c r="P24" i="59"/>
  <c r="O24" i="59"/>
  <c r="Y24" i="59" s="1"/>
  <c r="Z24" i="59" s="1"/>
  <c r="N24" i="59"/>
  <c r="X24" i="59" s="1"/>
  <c r="AH23" i="59"/>
  <c r="AG23" i="59"/>
  <c r="AE23" i="59"/>
  <c r="AF23" i="59" s="1"/>
  <c r="AD23" i="59"/>
  <c r="AB23" i="59"/>
  <c r="Q23" i="59"/>
  <c r="P23" i="59"/>
  <c r="AA23" i="59" s="1"/>
  <c r="O23" i="59"/>
  <c r="Y23" i="59" s="1"/>
  <c r="Z23" i="59" s="1"/>
  <c r="N23" i="59"/>
  <c r="X23" i="59" s="1"/>
  <c r="E23" i="59"/>
  <c r="AH22" i="59"/>
  <c r="AG22" i="59"/>
  <c r="AF22" i="59"/>
  <c r="AE22" i="59"/>
  <c r="AD22" i="59"/>
  <c r="AA22" i="59"/>
  <c r="Q22" i="59"/>
  <c r="P22" i="59"/>
  <c r="O22" i="59"/>
  <c r="Y22" i="59" s="1"/>
  <c r="Z22" i="59" s="1"/>
  <c r="N22" i="59"/>
  <c r="B23" i="59" s="1"/>
  <c r="B24" i="59" s="1"/>
  <c r="B25" i="59" s="1"/>
  <c r="S25" i="59" s="1"/>
  <c r="D22" i="59"/>
  <c r="AH21" i="59"/>
  <c r="AG21" i="59"/>
  <c r="AE21" i="59"/>
  <c r="AF21" i="59" s="1"/>
  <c r="AD21" i="59"/>
  <c r="AB21" i="59"/>
  <c r="Q21" i="59"/>
  <c r="P21" i="59"/>
  <c r="AA21" i="59" s="1"/>
  <c r="O21" i="59"/>
  <c r="Y21" i="59" s="1"/>
  <c r="Z21" i="59" s="1"/>
  <c r="N21" i="59"/>
  <c r="B21" i="59" s="1"/>
  <c r="S21" i="59" s="1"/>
  <c r="F21" i="59"/>
  <c r="V21" i="59" s="1"/>
  <c r="E21" i="59"/>
  <c r="E20" i="59" s="1"/>
  <c r="C21" i="59"/>
  <c r="AH20" i="59"/>
  <c r="AG20" i="59"/>
  <c r="AF20" i="59"/>
  <c r="AE20" i="59"/>
  <c r="AD20" i="59"/>
  <c r="AA20" i="59"/>
  <c r="Y20" i="59"/>
  <c r="Z20" i="59" s="1"/>
  <c r="Q20" i="59"/>
  <c r="AB20" i="59" s="1"/>
  <c r="P20" i="59"/>
  <c r="O20" i="59"/>
  <c r="N20" i="59"/>
  <c r="X20" i="59" s="1"/>
  <c r="F20" i="59"/>
  <c r="F19" i="59" s="1"/>
  <c r="B20" i="59"/>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D18" i="59"/>
  <c r="AH17" i="59"/>
  <c r="AG17" i="59"/>
  <c r="AE17" i="59"/>
  <c r="AF17" i="59" s="1"/>
  <c r="AD17" i="59"/>
  <c r="U17" i="59"/>
  <c r="Q17" i="59"/>
  <c r="P17" i="59"/>
  <c r="AA17" i="59" s="1"/>
  <c r="O17" i="59"/>
  <c r="Y17" i="59" s="1"/>
  <c r="Z17" i="59" s="1"/>
  <c r="N17" i="59"/>
  <c r="B17" i="59" s="1"/>
  <c r="S17" i="59" s="1"/>
  <c r="F17" i="59"/>
  <c r="V17" i="59" s="1"/>
  <c r="E17" i="59"/>
  <c r="E16" i="59" s="1"/>
  <c r="C17" i="59"/>
  <c r="AH16" i="59"/>
  <c r="AG16" i="59"/>
  <c r="AF16" i="59"/>
  <c r="AE16" i="59"/>
  <c r="AD16" i="59"/>
  <c r="AA16" i="59"/>
  <c r="Q16" i="59"/>
  <c r="AB16" i="59" s="1"/>
  <c r="P16" i="59"/>
  <c r="O16" i="59"/>
  <c r="Y16" i="59" s="1"/>
  <c r="Z16" i="59" s="1"/>
  <c r="N16" i="59"/>
  <c r="X16" i="59" s="1"/>
  <c r="F16" i="59"/>
  <c r="F15" i="59" s="1"/>
  <c r="B16" i="59"/>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F14" i="59"/>
  <c r="F13" i="59" s="1"/>
  <c r="V13"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F10" i="59"/>
  <c r="F9" i="59" s="1"/>
  <c r="V9"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F8" i="59"/>
  <c r="F7"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F6" i="59"/>
  <c r="F5" i="59" s="1"/>
  <c r="V5" i="59" s="1"/>
  <c r="AH5" i="59"/>
  <c r="AG5" i="59"/>
  <c r="AE5" i="59"/>
  <c r="AF5" i="59" s="1"/>
  <c r="AD5" i="59"/>
  <c r="AB5" i="59"/>
  <c r="Q5" i="59"/>
  <c r="P5" i="59"/>
  <c r="AA5" i="59" s="1"/>
  <c r="O5" i="59"/>
  <c r="Y5" i="59" s="1"/>
  <c r="Z5" i="59" s="1"/>
  <c r="N5" i="59"/>
  <c r="X5" i="59" s="1"/>
  <c r="AB3" i="59"/>
  <c r="AA3" i="59"/>
  <c r="Y3" i="59"/>
  <c r="Z3" i="59" s="1"/>
  <c r="X3" i="59"/>
  <c r="L3" i="59"/>
  <c r="AH3" i="59" s="1"/>
  <c r="K3" i="59"/>
  <c r="AG3" i="59" s="1"/>
  <c r="J3" i="59"/>
  <c r="AE3" i="59" s="1"/>
  <c r="AF3" i="59" s="1"/>
  <c r="I3" i="59"/>
  <c r="AD3" i="59" s="1"/>
  <c r="X17" i="59" l="1"/>
  <c r="AB17" i="59"/>
  <c r="X18" i="59"/>
  <c r="E19" i="59"/>
  <c r="B19" i="59"/>
  <c r="T21" i="59"/>
  <c r="D21" i="59"/>
  <c r="C20" i="59"/>
  <c r="U21" i="59"/>
  <c r="F23" i="59"/>
  <c r="F24" i="59" s="1"/>
  <c r="F25" i="59" s="1"/>
  <c r="V25" i="59" s="1"/>
  <c r="AB22" i="59"/>
  <c r="C23" i="59"/>
  <c r="F27" i="59"/>
  <c r="F28" i="59" s="1"/>
  <c r="F29" i="59" s="1"/>
  <c r="V29" i="59" s="1"/>
  <c r="AB26" i="59"/>
  <c r="C27" i="59"/>
  <c r="F31" i="59"/>
  <c r="F32" i="59" s="1"/>
  <c r="F33" i="59" s="1"/>
  <c r="V33" i="59" s="1"/>
  <c r="AB30" i="59"/>
  <c r="C31" i="59"/>
  <c r="C40" i="59"/>
  <c r="D40" i="59" s="1"/>
  <c r="D39" i="59"/>
  <c r="C45" i="59"/>
  <c r="D44" i="59"/>
  <c r="C48" i="59"/>
  <c r="D47" i="59"/>
  <c r="C56" i="59"/>
  <c r="D55" i="59"/>
  <c r="E15" i="59"/>
  <c r="E14" i="59" s="1"/>
  <c r="E13" i="59" s="1"/>
  <c r="B15" i="59"/>
  <c r="B14" i="59" s="1"/>
  <c r="B13" i="59" s="1"/>
  <c r="T17" i="59"/>
  <c r="D17" i="59"/>
  <c r="C16" i="59"/>
  <c r="X21" i="59"/>
  <c r="E24" i="59"/>
  <c r="E25" i="59" s="1"/>
  <c r="U25" i="59" s="1"/>
  <c r="E28" i="59"/>
  <c r="E29" i="59" s="1"/>
  <c r="U29" i="59" s="1"/>
  <c r="C36" i="59"/>
  <c r="D35" i="59"/>
  <c r="X22" i="59"/>
  <c r="X26" i="59"/>
  <c r="X30" i="59"/>
  <c r="E36" i="59"/>
  <c r="E37" i="59" s="1"/>
  <c r="U37" i="59" s="1"/>
  <c r="E40" i="59"/>
  <c r="E41" i="59" s="1"/>
  <c r="U41" i="59" s="1"/>
  <c r="D43" i="59"/>
  <c r="C52" i="59"/>
  <c r="D51" i="59"/>
  <c r="D59" i="59"/>
  <c r="D61" i="59"/>
  <c r="O61" i="59"/>
  <c r="Q61" i="59"/>
  <c r="D65" i="59"/>
  <c r="D69" i="59"/>
  <c r="D73" i="59"/>
  <c r="D60" i="59"/>
  <c r="N61" i="59"/>
  <c r="P61" i="59"/>
  <c r="S13" i="59" l="1"/>
  <c r="B12" i="59"/>
  <c r="B11" i="59" s="1"/>
  <c r="B10" i="59" s="1"/>
  <c r="B9" i="59" s="1"/>
  <c r="C32" i="59"/>
  <c r="D31" i="59"/>
  <c r="C24" i="59"/>
  <c r="D23" i="59"/>
  <c r="D20" i="59"/>
  <c r="C19" i="59"/>
  <c r="D19" i="59" s="1"/>
  <c r="C53" i="59"/>
  <c r="D52" i="59"/>
  <c r="C37" i="59"/>
  <c r="D36" i="59"/>
  <c r="D16" i="59"/>
  <c r="C15" i="59"/>
  <c r="E12" i="59"/>
  <c r="E11" i="59" s="1"/>
  <c r="E10" i="59" s="1"/>
  <c r="E9" i="59" s="1"/>
  <c r="U13" i="59"/>
  <c r="C57" i="59"/>
  <c r="D56" i="59"/>
  <c r="C49" i="59"/>
  <c r="D48" i="59"/>
  <c r="T45" i="59"/>
  <c r="D45" i="59"/>
  <c r="C28" i="59"/>
  <c r="D27" i="59"/>
  <c r="D15" i="59" l="1"/>
  <c r="C14" i="59"/>
  <c r="S9" i="59"/>
  <c r="B8" i="59"/>
  <c r="B7" i="59" s="1"/>
  <c r="B6" i="59" s="1"/>
  <c r="B5" i="59" s="1"/>
  <c r="S5" i="59" s="1"/>
  <c r="C29" i="59"/>
  <c r="D28" i="59"/>
  <c r="T49" i="59"/>
  <c r="D49" i="59"/>
  <c r="T57" i="59"/>
  <c r="D57" i="59"/>
  <c r="E8" i="59"/>
  <c r="E7" i="59" s="1"/>
  <c r="E6" i="59" s="1"/>
  <c r="E5" i="59" s="1"/>
  <c r="U5" i="59" s="1"/>
  <c r="U9" i="59"/>
  <c r="T37" i="59"/>
  <c r="D37" i="59"/>
  <c r="T53" i="59"/>
  <c r="D53" i="59"/>
  <c r="C25" i="59"/>
  <c r="D24" i="59"/>
  <c r="C33" i="59"/>
  <c r="D32" i="59"/>
  <c r="T33" i="59" l="1"/>
  <c r="D33" i="59"/>
  <c r="T25" i="59"/>
  <c r="D25" i="59"/>
  <c r="T29" i="59"/>
  <c r="D29" i="59"/>
  <c r="D14" i="59"/>
  <c r="C13" i="59"/>
  <c r="T13" i="59" l="1"/>
  <c r="D13" i="59"/>
  <c r="C12" i="59"/>
  <c r="D12" i="59" l="1"/>
  <c r="C11" i="59"/>
  <c r="D11" i="59" l="1"/>
  <c r="C10" i="59"/>
  <c r="D10" i="59" l="1"/>
  <c r="C9" i="59"/>
  <c r="T9" i="59" l="1"/>
  <c r="D9" i="59"/>
  <c r="C8" i="59"/>
  <c r="D8" i="59" l="1"/>
  <c r="C7" i="59"/>
  <c r="D7" i="59" l="1"/>
  <c r="C6" i="59"/>
  <c r="D6" i="59" l="1"/>
  <c r="C5" i="59"/>
  <c r="T5" i="59" l="1"/>
  <c r="D5" i="59"/>
  <c r="D15" i="66" l="1"/>
  <c r="C15" i="66" l="1"/>
  <c r="B15" i="66"/>
  <c r="G15" i="66" l="1"/>
  <c r="I7" i="6" l="1"/>
  <c r="H44" i="6"/>
  <c r="I42" i="6"/>
  <c r="I41" i="6"/>
  <c r="I40" i="6"/>
  <c r="G39" i="6"/>
  <c r="G42" i="6"/>
  <c r="G41" i="6"/>
  <c r="G40" i="6"/>
  <c r="F35" i="6"/>
  <c r="E35" i="6"/>
  <c r="G44" i="6" l="1"/>
  <c r="AN13" i="3"/>
  <c r="J9" i="71"/>
  <c r="I17" i="66" l="1"/>
  <c r="H17" i="66"/>
  <c r="C17" i="66"/>
  <c r="B17" i="66"/>
  <c r="AT13" i="3" l="1"/>
  <c r="J10" i="71"/>
  <c r="I10" i="71"/>
  <c r="H10" i="71"/>
  <c r="G10" i="71"/>
  <c r="F10" i="71"/>
  <c r="E9" i="71"/>
  <c r="E8" i="71"/>
  <c r="E7" i="71"/>
  <c r="E6" i="71"/>
  <c r="E5" i="71"/>
  <c r="E4" i="71"/>
  <c r="E3" i="71"/>
  <c r="E10" i="71" s="1"/>
  <c r="E11" i="71" s="1"/>
  <c r="E33" i="70"/>
  <c r="K34" i="70"/>
  <c r="E34" i="70" s="1"/>
  <c r="E32" i="70" l="1"/>
  <c r="E4" i="70"/>
  <c r="E5" i="70"/>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 i="70"/>
  <c r="P75" i="69" l="1"/>
  <c r="Q73" i="69"/>
  <c r="P62" i="69"/>
  <c r="Q60" i="69"/>
  <c r="D60" i="69"/>
  <c r="Q59" i="69"/>
  <c r="K59" i="69"/>
  <c r="F58" i="69"/>
  <c r="Q52" i="69"/>
  <c r="J50" i="69"/>
  <c r="M47" i="69"/>
  <c r="L46" i="69" s="1"/>
  <c r="F34" i="69"/>
  <c r="F61" i="69" s="1"/>
  <c r="F33" i="69"/>
  <c r="F60" i="69" s="1"/>
  <c r="F32" i="69"/>
  <c r="F59" i="69" s="1"/>
  <c r="F31" i="69"/>
  <c r="F28" i="69"/>
  <c r="F23" i="69"/>
  <c r="D24" i="69" s="1"/>
  <c r="D23" i="69"/>
  <c r="D22" i="69"/>
  <c r="F21" i="69"/>
  <c r="M20" i="69"/>
  <c r="F20" i="69"/>
  <c r="M19" i="69"/>
  <c r="M18" i="69"/>
  <c r="F18" i="69"/>
  <c r="M17" i="69"/>
  <c r="F17" i="69"/>
  <c r="F15" i="69"/>
  <c r="G1" i="69"/>
  <c r="D39" i="46"/>
  <c r="D29" i="46"/>
  <c r="B35" i="1"/>
  <c r="AM7" i="1"/>
  <c r="AL7" i="1"/>
  <c r="Y7" i="1"/>
  <c r="W7" i="1"/>
  <c r="V7" i="1"/>
  <c r="N14" i="1"/>
  <c r="N7" i="1"/>
  <c r="L14" i="1"/>
  <c r="L7" i="1"/>
  <c r="G20" i="6"/>
  <c r="F19" i="6"/>
  <c r="K13" i="3"/>
  <c r="I13" i="3"/>
  <c r="C13" i="3"/>
  <c r="I17" i="4"/>
  <c r="H17" i="4"/>
  <c r="G17" i="4"/>
  <c r="C11" i="4"/>
  <c r="B7" i="4"/>
  <c r="F8" i="69"/>
  <c r="F7" i="69"/>
  <c r="M28" i="69"/>
  <c r="L47" i="69"/>
  <c r="F9" i="69"/>
  <c r="M24" i="69"/>
  <c r="M22" i="69"/>
  <c r="F49" i="69" l="1"/>
  <c r="M7" i="69"/>
  <c r="F50" i="69"/>
  <c r="M23" i="69"/>
  <c r="M8" i="69"/>
  <c r="M27" i="69"/>
  <c r="F40" i="69"/>
  <c r="M26" i="69"/>
  <c r="F16" i="69"/>
  <c r="M9" i="69"/>
  <c r="F38" i="69"/>
  <c r="F26" i="69"/>
  <c r="M6" i="69"/>
  <c r="J36" i="69"/>
  <c r="F6" i="69"/>
  <c r="F42" i="69"/>
  <c r="J15" i="69"/>
  <c r="F13" i="69"/>
  <c r="F36" i="69"/>
  <c r="F37" i="69"/>
  <c r="C48" i="69" l="1"/>
  <c r="F65" i="69"/>
  <c r="Q72" i="69"/>
  <c r="C27" i="69"/>
  <c r="C6" i="69"/>
  <c r="F63" i="69"/>
  <c r="F67" i="69"/>
  <c r="F64" i="69"/>
  <c r="J6" i="69"/>
  <c r="C16" i="11" l="1"/>
  <c r="C15" i="11"/>
  <c r="C14" i="11"/>
  <c r="C9" i="11"/>
  <c r="C8" i="11"/>
  <c r="K36" i="36" l="1"/>
  <c r="K38" i="35"/>
  <c r="K42" i="37"/>
  <c r="K49" i="34"/>
  <c r="K48" i="33" l="1"/>
  <c r="K48" i="21"/>
  <c r="K44" i="40" l="1"/>
  <c r="K49" i="39"/>
  <c r="E77" i="9"/>
  <c r="F77" i="9"/>
  <c r="A21" i="31" l="1"/>
  <c r="C109" i="9" l="1"/>
  <c r="F25" i="12" l="1"/>
  <c r="M15" i="49"/>
  <c r="L15" i="49"/>
  <c r="K15" i="49"/>
  <c r="J15" i="49"/>
  <c r="I15" i="49"/>
  <c r="H15" i="49"/>
  <c r="G15" i="49"/>
  <c r="F15" i="49"/>
  <c r="E15" i="49"/>
  <c r="D15" i="49"/>
  <c r="C15" i="49"/>
  <c r="B15" i="49"/>
  <c r="J50" i="15"/>
  <c r="K59" i="15"/>
  <c r="P62" i="15" s="1"/>
  <c r="Q74" i="44"/>
  <c r="Q61" i="44"/>
  <c r="Q60" i="44"/>
  <c r="Q53" i="44"/>
  <c r="J51" i="44"/>
  <c r="J52" i="44"/>
  <c r="M48" i="44"/>
  <c r="A16" i="55"/>
  <c r="A15" i="55"/>
  <c r="B66" i="63"/>
  <c r="A14" i="55"/>
  <c r="A10" i="55"/>
  <c r="B61" i="63"/>
  <c r="A9" i="55"/>
  <c r="B60" i="63"/>
  <c r="A8" i="55"/>
  <c r="A6" i="54"/>
  <c r="A8" i="54"/>
  <c r="A7" i="54"/>
  <c r="B51" i="63" s="1"/>
  <c r="A28" i="51"/>
  <c r="A27" i="51"/>
  <c r="B20" i="63" s="1"/>
  <c r="K75" i="9"/>
  <c r="K6" i="4"/>
  <c r="O76" i="9" s="1"/>
  <c r="L76" i="9"/>
  <c r="B22" i="31"/>
  <c r="E18" i="66"/>
  <c r="F18" i="66"/>
  <c r="E19" i="66"/>
  <c r="F19" i="66"/>
  <c r="E20" i="66"/>
  <c r="F20" i="66"/>
  <c r="E21" i="66"/>
  <c r="F21" i="66"/>
  <c r="E22" i="66"/>
  <c r="F22" i="66"/>
  <c r="E23" i="66"/>
  <c r="F23" i="66"/>
  <c r="B3" i="66"/>
  <c r="S2" i="31"/>
  <c r="M2" i="31"/>
  <c r="N2" i="31"/>
  <c r="O2" i="31"/>
  <c r="P2" i="31"/>
  <c r="Q2" i="31"/>
  <c r="R2" i="31"/>
  <c r="C3" i="65"/>
  <c r="C1" i="65"/>
  <c r="N1" i="65" s="1"/>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s="1"/>
  <c r="R2" i="54"/>
  <c r="B24" i="63"/>
  <c r="B49" i="50"/>
  <c r="B5" i="63" s="1"/>
  <c r="B40" i="50"/>
  <c r="B3" i="63"/>
  <c r="N4" i="63"/>
  <c r="B21" i="63"/>
  <c r="B67" i="63"/>
  <c r="I19" i="46"/>
  <c r="U16" i="4"/>
  <c r="S16" i="4"/>
  <c r="Q16" i="4"/>
  <c r="O16" i="4"/>
  <c r="M16" i="4"/>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BA16" i="3"/>
  <c r="BA17" i="3"/>
  <c r="AZ17" i="3"/>
  <c r="F3" i="35"/>
  <c r="K1" i="43"/>
  <c r="K1" i="12"/>
  <c r="G1" i="44"/>
  <c r="I4" i="6"/>
  <c r="G3" i="46" s="1"/>
  <c r="AZ15" i="3"/>
  <c r="G5" i="3"/>
  <c r="B3" i="3" s="1"/>
  <c r="E265"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M9" i="46"/>
  <c r="M2" i="46"/>
  <c r="N11" i="46"/>
  <c r="F47" i="46" s="1"/>
  <c r="N9" i="46"/>
  <c r="M4" i="46"/>
  <c r="M12" i="46"/>
  <c r="M8" i="46"/>
  <c r="M3" i="46"/>
  <c r="M5" i="46"/>
  <c r="C6" i="46"/>
  <c r="H6" i="48"/>
  <c r="H15" i="48"/>
  <c r="H5" i="48"/>
  <c r="H14" i="48"/>
  <c r="F36" i="46"/>
  <c r="K17" i="46"/>
  <c r="F39" i="46"/>
  <c r="H13" i="48"/>
  <c r="H11" i="48"/>
  <c r="D17" i="46"/>
  <c r="D71" i="46"/>
  <c r="D84" i="46"/>
  <c r="E80" i="46"/>
  <c r="B78" i="46"/>
  <c r="D69" i="46"/>
  <c r="E69" i="46"/>
  <c r="B67" i="46"/>
  <c r="E47" i="46"/>
  <c r="B45" i="46" s="1"/>
  <c r="C24" i="46" s="1"/>
  <c r="E58" i="46"/>
  <c r="B56" i="46"/>
  <c r="A4" i="64"/>
  <c r="C51" i="10"/>
  <c r="I100" i="46"/>
  <c r="N100" i="46"/>
  <c r="H100" i="46"/>
  <c r="F108" i="46"/>
  <c r="H80" i="46"/>
  <c r="E100" i="46"/>
  <c r="G100" i="46"/>
  <c r="H84" i="46"/>
  <c r="C100" i="46"/>
  <c r="J100" i="46"/>
  <c r="M100" i="46"/>
  <c r="AA12" i="36"/>
  <c r="U12" i="35"/>
  <c r="AB12" i="35"/>
  <c r="W11" i="35"/>
  <c r="AA11" i="35"/>
  <c r="S14" i="37"/>
  <c r="U13" i="37"/>
  <c r="S13" i="21"/>
  <c r="C24" i="9"/>
  <c r="C25" i="9"/>
  <c r="G9" i="1"/>
  <c r="I20" i="46"/>
  <c r="B46" i="50"/>
  <c r="B4" i="63"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443" i="3"/>
  <c r="E156" i="3"/>
  <c r="E381" i="3"/>
  <c r="E49" i="3"/>
  <c r="AM6" i="3"/>
  <c r="E78" i="3"/>
  <c r="E193" i="3"/>
  <c r="E278" i="3"/>
  <c r="E104" i="3"/>
  <c r="E158" i="3"/>
  <c r="E296" i="3"/>
  <c r="E58" i="39"/>
  <c r="E53" i="40"/>
  <c r="F27" i="6"/>
  <c r="E5" i="6"/>
  <c r="D12" i="11" s="1"/>
  <c r="C12" i="11" s="1"/>
  <c r="E534" i="3"/>
  <c r="E472" i="3"/>
  <c r="E187" i="3"/>
  <c r="E387" i="3"/>
  <c r="E294" i="3"/>
  <c r="E225" i="3"/>
  <c r="R6" i="3"/>
  <c r="E537" i="3"/>
  <c r="E199" i="3"/>
  <c r="E125" i="3"/>
  <c r="E64" i="3"/>
  <c r="E423" i="3"/>
  <c r="AH6" i="3"/>
  <c r="E452" i="3"/>
  <c r="E435" i="3"/>
  <c r="P6" i="3"/>
  <c r="E343" i="3"/>
  <c r="E490" i="3"/>
  <c r="E84" i="3"/>
  <c r="E536" i="3"/>
  <c r="E218" i="3"/>
  <c r="AP6" i="3"/>
  <c r="E410" i="3"/>
  <c r="E442" i="3"/>
  <c r="E431" i="3"/>
  <c r="E462" i="3"/>
  <c r="E110" i="3"/>
  <c r="E70" i="3"/>
  <c r="E109" i="3"/>
  <c r="E63" i="3"/>
  <c r="E38" i="3"/>
  <c r="E545" i="3"/>
  <c r="E174" i="3"/>
  <c r="E151" i="3"/>
  <c r="E148" i="3"/>
  <c r="E129" i="3"/>
  <c r="E313" i="3"/>
  <c r="E482" i="3"/>
  <c r="E27" i="3"/>
  <c r="E98" i="3"/>
  <c r="E53" i="3"/>
  <c r="E412" i="3"/>
  <c r="E422" i="3"/>
  <c r="E405" i="3"/>
  <c r="N6" i="3"/>
  <c r="E469" i="3"/>
  <c r="E398" i="3"/>
  <c r="W6" i="3"/>
  <c r="E293" i="3"/>
  <c r="E363" i="3"/>
  <c r="E533" i="3"/>
  <c r="E136" i="3"/>
  <c r="E190" i="3"/>
  <c r="E113" i="3"/>
  <c r="E189" i="3"/>
  <c r="E560" i="3"/>
  <c r="E79" i="3"/>
  <c r="E37" i="3"/>
  <c r="E85" i="3"/>
  <c r="E420" i="3"/>
  <c r="E425" i="3"/>
  <c r="E507" i="3"/>
  <c r="E111" i="3"/>
  <c r="E401" i="3"/>
  <c r="E303" i="3"/>
  <c r="E332" i="3"/>
  <c r="E233" i="3"/>
  <c r="E257" i="3"/>
  <c r="E275" i="3"/>
  <c r="E261" i="3"/>
  <c r="E272" i="3"/>
  <c r="AT6" i="3"/>
  <c r="E139" i="3"/>
  <c r="E203" i="3"/>
  <c r="E166" i="3"/>
  <c r="L6" i="3"/>
  <c r="E39" i="3"/>
  <c r="E102" i="3"/>
  <c r="E467" i="3"/>
  <c r="E445" i="3"/>
  <c r="E402" i="3"/>
  <c r="O6" i="3"/>
  <c r="E429" i="3"/>
  <c r="E107" i="3"/>
  <c r="E25" i="3"/>
  <c r="E67" i="3"/>
  <c r="E556" i="3"/>
  <c r="E172" i="3"/>
  <c r="E204" i="3"/>
  <c r="E116" i="3"/>
  <c r="E288" i="3"/>
  <c r="E258" i="3"/>
  <c r="E214" i="3"/>
  <c r="E291" i="3"/>
  <c r="E255" i="3"/>
  <c r="E207" i="3"/>
  <c r="E372" i="3"/>
  <c r="E393" i="3"/>
  <c r="E479" i="3"/>
  <c r="E486" i="3"/>
  <c r="E527" i="3"/>
  <c r="E417" i="3"/>
  <c r="E449" i="3"/>
  <c r="E465" i="3"/>
  <c r="E88" i="3"/>
  <c r="E43" i="3"/>
  <c r="E543" i="3"/>
  <c r="E365" i="3"/>
  <c r="E145" i="3"/>
  <c r="E196" i="3"/>
  <c r="E154" i="3"/>
  <c r="E480" i="3"/>
  <c r="E276" i="3"/>
  <c r="E264" i="3"/>
  <c r="E248" i="3"/>
  <c r="E279" i="3"/>
  <c r="E259" i="3"/>
  <c r="E243" i="3"/>
  <c r="E220" i="3"/>
  <c r="E370" i="3"/>
  <c r="E369" i="3"/>
  <c r="E336" i="3"/>
  <c r="E347" i="3"/>
  <c r="E308" i="3"/>
  <c r="E309" i="3"/>
  <c r="E517" i="3"/>
  <c r="E526" i="3"/>
  <c r="V6" i="3"/>
  <c r="AR6" i="3"/>
  <c r="E400" i="3"/>
  <c r="E416" i="3"/>
  <c r="E448" i="3"/>
  <c r="E453" i="3"/>
  <c r="E477" i="3"/>
  <c r="E105" i="3"/>
  <c r="E65" i="3"/>
  <c r="E58" i="3"/>
  <c r="E96" i="3"/>
  <c r="E74"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H16" i="1"/>
  <c r="A9" i="64"/>
  <c r="A9" i="51"/>
  <c r="B9" i="63" s="1"/>
  <c r="G66" i="36"/>
  <c r="J18" i="36"/>
  <c r="AE8" i="1"/>
  <c r="W18" i="36"/>
  <c r="AC18" i="36"/>
  <c r="AG6" i="1"/>
  <c r="L20" i="6"/>
  <c r="L19" i="6"/>
  <c r="L27" i="6" s="1"/>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F31" i="6"/>
  <c r="X7" i="46"/>
  <c r="E17" i="46"/>
  <c r="N17" i="46"/>
  <c r="O17" i="46"/>
  <c r="M17" i="46"/>
  <c r="L17" i="46"/>
  <c r="AP7" i="1"/>
  <c r="G13" i="1"/>
  <c r="G6" i="1"/>
  <c r="H70" i="46"/>
  <c r="H73" i="46"/>
  <c r="F35" i="46"/>
  <c r="I17" i="46"/>
  <c r="H63" i="46"/>
  <c r="H64" i="46"/>
  <c r="H66" i="46"/>
  <c r="D100" i="46"/>
  <c r="H62" i="46"/>
  <c r="AF12" i="46"/>
  <c r="K100" i="46"/>
  <c r="AB12" i="46"/>
  <c r="AJ12" i="46"/>
  <c r="H60" i="46"/>
  <c r="H59" i="46"/>
  <c r="H74" i="46"/>
  <c r="H65" i="46"/>
  <c r="H75" i="46"/>
  <c r="H72" i="46"/>
  <c r="H69" i="46"/>
  <c r="H77" i="46"/>
  <c r="H76" i="46"/>
  <c r="AD12" i="46"/>
  <c r="AH12" i="46"/>
  <c r="C7" i="46"/>
  <c r="F10" i="44"/>
  <c r="I5" i="65"/>
  <c r="M29" i="15"/>
  <c r="M25" i="44"/>
  <c r="E11" i="67"/>
  <c r="N7" i="65"/>
  <c r="F12" i="67"/>
  <c r="B8" i="67"/>
  <c r="N4" i="65"/>
  <c r="F8" i="15"/>
  <c r="N5" i="65"/>
  <c r="F43" i="15"/>
  <c r="M28" i="44"/>
  <c r="J3" i="65"/>
  <c r="F13" i="15"/>
  <c r="F38" i="44"/>
  <c r="F7" i="15"/>
  <c r="M24" i="15"/>
  <c r="F16" i="15"/>
  <c r="F6" i="15"/>
  <c r="F14" i="67"/>
  <c r="E14" i="67"/>
  <c r="F38" i="15"/>
  <c r="F9" i="15"/>
  <c r="F43" i="69"/>
  <c r="B12" i="67"/>
  <c r="B10" i="67"/>
  <c r="I6" i="65"/>
  <c r="M8" i="44"/>
  <c r="F37" i="44"/>
  <c r="J15" i="15"/>
  <c r="M9" i="15"/>
  <c r="N6" i="65"/>
  <c r="E12" i="67"/>
  <c r="I3" i="65"/>
  <c r="M27" i="15"/>
  <c r="M28" i="15"/>
  <c r="E8" i="67"/>
  <c r="I7" i="65"/>
  <c r="F37" i="15"/>
  <c r="F8" i="67"/>
  <c r="B9" i="67"/>
  <c r="F43" i="44"/>
  <c r="F15" i="44"/>
  <c r="M6" i="15"/>
  <c r="N3" i="65"/>
  <c r="F40" i="15"/>
  <c r="M10" i="44"/>
  <c r="M8" i="15"/>
  <c r="F11" i="44"/>
  <c r="M30" i="44"/>
  <c r="E9" i="67"/>
  <c r="M29" i="69"/>
  <c r="F39" i="44"/>
  <c r="F28" i="44"/>
  <c r="E13" i="67"/>
  <c r="E10" i="67"/>
  <c r="J6" i="65"/>
  <c r="M26" i="44"/>
  <c r="F40" i="44"/>
  <c r="L48" i="69"/>
  <c r="J17" i="44"/>
  <c r="F45" i="44"/>
  <c r="L48" i="44"/>
  <c r="F13" i="67"/>
  <c r="F26" i="15"/>
  <c r="F42" i="15"/>
  <c r="J5" i="65"/>
  <c r="F10" i="67"/>
  <c r="M29" i="44"/>
  <c r="L48" i="15"/>
  <c r="M23" i="44"/>
  <c r="J7" i="65"/>
  <c r="J4" i="65"/>
  <c r="F11" i="67"/>
  <c r="M23" i="15"/>
  <c r="L47" i="15"/>
  <c r="M24" i="44"/>
  <c r="M26" i="15"/>
  <c r="F9" i="67"/>
  <c r="L49" i="44"/>
  <c r="J36" i="15"/>
  <c r="B13" i="67"/>
  <c r="M11" i="44"/>
  <c r="F8" i="44"/>
  <c r="M22" i="15"/>
  <c r="F46" i="44"/>
  <c r="M31" i="44"/>
  <c r="F36" i="15"/>
  <c r="C19" i="44"/>
  <c r="B11" i="67"/>
  <c r="I4" i="65"/>
  <c r="B14" i="67"/>
  <c r="F9" i="44"/>
  <c r="F18" i="44"/>
  <c r="L58" i="69" l="1"/>
  <c r="C42" i="1"/>
  <c r="J51" i="69"/>
  <c r="L60" i="69" s="1"/>
  <c r="J51" i="15"/>
  <c r="G7" i="1"/>
  <c r="G41" i="46"/>
  <c r="BL5" i="3"/>
  <c r="AZ13" i="3"/>
  <c r="AZ5" i="3" s="1"/>
  <c r="G7" i="69"/>
  <c r="F70" i="69"/>
  <c r="H22" i="46"/>
  <c r="F101" i="46"/>
  <c r="F106" i="46" s="1"/>
  <c r="N104" i="45"/>
  <c r="AC11" i="46"/>
  <c r="AC13" i="46" s="1"/>
  <c r="Z11" i="46"/>
  <c r="Z13" i="46" s="1"/>
  <c r="M7" i="1"/>
  <c r="M43" i="9"/>
  <c r="D18" i="9"/>
  <c r="M44" i="9" s="1"/>
  <c r="E185" i="3"/>
  <c r="E468" i="3"/>
  <c r="E142" i="3"/>
  <c r="E140" i="3"/>
  <c r="E21" i="3"/>
  <c r="E376" i="3"/>
  <c r="E94" i="3"/>
  <c r="E427" i="3"/>
  <c r="E535" i="3"/>
  <c r="E390" i="3"/>
  <c r="E194" i="3"/>
  <c r="E51" i="3"/>
  <c r="E466" i="3"/>
  <c r="Y6" i="3"/>
  <c r="E211" i="3"/>
  <c r="E126" i="3"/>
  <c r="E73" i="3"/>
  <c r="E305" i="3"/>
  <c r="U6" i="3"/>
  <c r="E451" i="3"/>
  <c r="E52" i="3"/>
  <c r="E245" i="3"/>
  <c r="E539" i="3"/>
  <c r="E568" i="3"/>
  <c r="E232" i="3"/>
  <c r="E473" i="3"/>
  <c r="E184" i="3"/>
  <c r="E47" i="3"/>
  <c r="E397" i="3"/>
  <c r="E213" i="3"/>
  <c r="E54" i="3"/>
  <c r="E253" i="3"/>
  <c r="E337" i="3"/>
  <c r="A30" i="64"/>
  <c r="A30" i="51"/>
  <c r="B22" i="63" s="1"/>
  <c r="P75" i="15"/>
  <c r="E8" i="46"/>
  <c r="E10" i="46"/>
  <c r="E11" i="46"/>
  <c r="E9" i="46"/>
  <c r="AF11" i="46"/>
  <c r="AF13" i="46" s="1"/>
  <c r="Z7" i="46"/>
  <c r="C101" i="46"/>
  <c r="C109" i="46" s="1"/>
  <c r="F107" i="46"/>
  <c r="H101" i="46"/>
  <c r="H104" i="46" s="1"/>
  <c r="AB11" i="46"/>
  <c r="AB13" i="46" s="1"/>
  <c r="AA11" i="46"/>
  <c r="AA13" i="46" s="1"/>
  <c r="E22" i="46"/>
  <c r="F22" i="46"/>
  <c r="J101" i="46"/>
  <c r="J106" i="46" s="1"/>
  <c r="AJ11" i="46"/>
  <c r="AJ13" i="46" s="1"/>
  <c r="M101" i="46"/>
  <c r="M107" i="46" s="1"/>
  <c r="D101" i="46"/>
  <c r="D105" i="46" s="1"/>
  <c r="G22" i="46"/>
  <c r="Y11" i="46"/>
  <c r="Y13" i="46" s="1"/>
  <c r="F105" i="46"/>
  <c r="F104" i="46"/>
  <c r="AE11" i="46"/>
  <c r="AE13" i="46" s="1"/>
  <c r="AI11" i="46"/>
  <c r="AI13" i="46" s="1"/>
  <c r="AH11" i="46"/>
  <c r="AH13" i="46" s="1"/>
  <c r="AG11" i="46"/>
  <c r="AG13" i="46" s="1"/>
  <c r="K101" i="46"/>
  <c r="K109" i="46" s="1"/>
  <c r="E101" i="46"/>
  <c r="E104" i="46" s="1"/>
  <c r="L101" i="46"/>
  <c r="L103" i="46" s="1"/>
  <c r="B113" i="46"/>
  <c r="B117" i="46" s="1"/>
  <c r="C117" i="46" s="1"/>
  <c r="G101" i="46"/>
  <c r="G102" i="46" s="1"/>
  <c r="F103" i="46"/>
  <c r="F102" i="46"/>
  <c r="F109" i="46"/>
  <c r="AD11" i="46"/>
  <c r="AD13" i="46" s="1"/>
  <c r="N101" i="46"/>
  <c r="N106" i="46" s="1"/>
  <c r="I101" i="46"/>
  <c r="I103" i="46" s="1"/>
  <c r="J22" i="46"/>
  <c r="H49" i="46"/>
  <c r="H51" i="46"/>
  <c r="H50" i="46"/>
  <c r="H55" i="46"/>
  <c r="H52" i="46"/>
  <c r="H53" i="46"/>
  <c r="H48" i="46"/>
  <c r="H54" i="46"/>
  <c r="H47" i="46"/>
  <c r="G17" i="46"/>
  <c r="C16" i="46" s="1"/>
  <c r="D5" i="46" s="1"/>
  <c r="B54" i="46"/>
  <c r="M18" i="15"/>
  <c r="F31" i="43"/>
  <c r="D86" i="9"/>
  <c r="F29" i="12"/>
  <c r="F71" i="9"/>
  <c r="F24" i="43"/>
  <c r="C26" i="43" s="1"/>
  <c r="D24" i="43" s="1"/>
  <c r="B115" i="46"/>
  <c r="C115" i="46" s="1"/>
  <c r="E3" i="6"/>
  <c r="L38" i="9" s="1"/>
  <c r="B14" i="66" s="1"/>
  <c r="B1" i="66" s="1"/>
  <c r="C8" i="66" s="1"/>
  <c r="AY6" i="3"/>
  <c r="BI6" i="3"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D16" i="43"/>
  <c r="C16" i="43" s="1"/>
  <c r="D45" i="9"/>
  <c r="D16" i="12"/>
  <c r="D19" i="12" s="1"/>
  <c r="C19" i="12" s="1"/>
  <c r="E6" i="6"/>
  <c r="D13" i="11" s="1"/>
  <c r="C13" i="11" s="1"/>
  <c r="D21" i="12"/>
  <c r="C21" i="12" s="1"/>
  <c r="O9" i="1"/>
  <c r="P9" i="1" s="1"/>
  <c r="O7" i="1"/>
  <c r="P7" i="1" s="1"/>
  <c r="O11" i="1"/>
  <c r="P11" i="1" s="1"/>
  <c r="O10" i="1"/>
  <c r="P10" i="1" s="1"/>
  <c r="E14" i="6"/>
  <c r="E13" i="6"/>
  <c r="E10" i="6"/>
  <c r="E15" i="6"/>
  <c r="E12" i="6"/>
  <c r="E11" i="6"/>
  <c r="O13" i="1"/>
  <c r="P13" i="1" s="1"/>
  <c r="O6" i="1"/>
  <c r="G30" i="6"/>
  <c r="G31" i="6" s="1"/>
  <c r="E28" i="6"/>
  <c r="O12" i="1"/>
  <c r="P12" i="1" s="1"/>
  <c r="J104" i="46"/>
  <c r="A18" i="64"/>
  <c r="B74" i="63" s="1"/>
  <c r="C53" i="10"/>
  <c r="A25" i="64" s="1"/>
  <c r="T41" i="4"/>
  <c r="A17" i="51" s="1"/>
  <c r="B13" i="63" s="1"/>
  <c r="L5" i="54"/>
  <c r="B39" i="63" s="1"/>
  <c r="K5" i="54"/>
  <c r="A17" i="64"/>
  <c r="A18" i="51"/>
  <c r="B14" i="63" s="1"/>
  <c r="C5" i="46"/>
  <c r="A11" i="55"/>
  <c r="B62" i="63" s="1"/>
  <c r="N16" i="4"/>
  <c r="G8" i="1"/>
  <c r="G10" i="1"/>
  <c r="AP16" i="1"/>
  <c r="F22" i="11" s="1"/>
  <c r="L16" i="4"/>
  <c r="K17" i="4"/>
  <c r="A22" i="51" s="1"/>
  <c r="B16" i="63" s="1"/>
  <c r="K76" i="9"/>
  <c r="D58" i="33"/>
  <c r="E58" i="33" s="1"/>
  <c r="F58" i="33" s="1"/>
  <c r="G58" i="33" s="1"/>
  <c r="H58" i="33" s="1"/>
  <c r="I58" i="33" s="1"/>
  <c r="J58" i="33" s="1"/>
  <c r="K58" i="33" s="1"/>
  <c r="L58" i="33" s="1"/>
  <c r="M58" i="33" s="1"/>
  <c r="N58" i="33" s="1"/>
  <c r="O58" i="33" s="1"/>
  <c r="F7" i="33"/>
  <c r="H7" i="33"/>
  <c r="C25" i="12"/>
  <c r="C15" i="43"/>
  <c r="C31" i="43"/>
  <c r="C15" i="12"/>
  <c r="C95" i="9"/>
  <c r="C92" i="9" s="1"/>
  <c r="C30" i="44"/>
  <c r="C27" i="43"/>
  <c r="C28" i="15"/>
  <c r="D58" i="21"/>
  <c r="E58" i="21" s="1"/>
  <c r="F58" i="21" s="1"/>
  <c r="G58" i="21" s="1"/>
  <c r="H58" i="21" s="1"/>
  <c r="I58" i="21" s="1"/>
  <c r="J58" i="21" s="1"/>
  <c r="K58" i="21" s="1"/>
  <c r="L58" i="21" s="1"/>
  <c r="M58" i="21" s="1"/>
  <c r="N58" i="21" s="1"/>
  <c r="O58" i="21" s="1"/>
  <c r="H7" i="21"/>
  <c r="D59" i="34"/>
  <c r="C34" i="12"/>
  <c r="D33" i="12" s="1"/>
  <c r="C7" i="35"/>
  <c r="C48" i="35" s="1"/>
  <c r="C7" i="36"/>
  <c r="C46" i="36" s="1"/>
  <c r="C7" i="37"/>
  <c r="C52" i="37" s="1"/>
  <c r="C9" i="39"/>
  <c r="C70" i="39" s="1"/>
  <c r="C9" i="40"/>
  <c r="C65" i="40" s="1"/>
  <c r="G12" i="1"/>
  <c r="G16" i="1" s="1"/>
  <c r="D38" i="4"/>
  <c r="C39" i="4" s="1"/>
  <c r="G19" i="46"/>
  <c r="C18" i="11"/>
  <c r="K77" i="9"/>
  <c r="K79" i="9" s="1"/>
  <c r="K81" i="9" s="1"/>
  <c r="E12" i="52"/>
  <c r="B15" i="52"/>
  <c r="F31" i="15"/>
  <c r="F33" i="44"/>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69"/>
  <c r="C16" i="15"/>
  <c r="E2" i="65"/>
  <c r="C18" i="44"/>
  <c r="E3" i="65"/>
  <c r="O19" i="46" l="1"/>
  <c r="P25" i="46"/>
  <c r="P23" i="46"/>
  <c r="P21" i="46"/>
  <c r="C19" i="46"/>
  <c r="P24" i="46"/>
  <c r="P22" i="46"/>
  <c r="M20" i="46"/>
  <c r="Q58" i="69"/>
  <c r="Q67" i="69"/>
  <c r="B73" i="39"/>
  <c r="B68" i="40"/>
  <c r="C28" i="69"/>
  <c r="J18" i="69"/>
  <c r="C32" i="69"/>
  <c r="C33" i="69"/>
  <c r="L56" i="69"/>
  <c r="L59" i="69"/>
  <c r="I54" i="69"/>
  <c r="J59" i="69"/>
  <c r="J57" i="69"/>
  <c r="J55" i="69" s="1"/>
  <c r="J58" i="69" s="1"/>
  <c r="Q51" i="69" s="1"/>
  <c r="J60" i="69"/>
  <c r="Q49" i="69" s="1"/>
  <c r="Q61" i="69"/>
  <c r="Q74" i="69"/>
  <c r="J53" i="69"/>
  <c r="L57" i="69"/>
  <c r="C102" i="46"/>
  <c r="I118" i="46"/>
  <c r="J118" i="46" s="1"/>
  <c r="K118" i="46" s="1"/>
  <c r="L118" i="46" s="1"/>
  <c r="M118" i="46" s="1"/>
  <c r="E102" i="46"/>
  <c r="E106" i="46"/>
  <c r="J105" i="46"/>
  <c r="D22" i="12"/>
  <c r="C22" i="12" s="1"/>
  <c r="C20" i="12" s="1"/>
  <c r="D46" i="9"/>
  <c r="C21" i="4"/>
  <c r="O5" i="54" s="1"/>
  <c r="B45" i="63" s="1"/>
  <c r="K102" i="46"/>
  <c r="L109" i="46"/>
  <c r="K106" i="46"/>
  <c r="L106" i="46"/>
  <c r="K103" i="46"/>
  <c r="D22" i="46"/>
  <c r="C21" i="46" s="1"/>
  <c r="H103" i="46"/>
  <c r="C107" i="46"/>
  <c r="C105" i="46"/>
  <c r="C104" i="46"/>
  <c r="H105" i="46"/>
  <c r="H107" i="46"/>
  <c r="C7" i="66"/>
  <c r="M106" i="46"/>
  <c r="D117" i="46"/>
  <c r="E117" i="46" s="1"/>
  <c r="F117" i="46" s="1"/>
  <c r="G117" i="46" s="1"/>
  <c r="H117" i="46" s="1"/>
  <c r="G109" i="46"/>
  <c r="M109" i="46"/>
  <c r="M102" i="46"/>
  <c r="M104" i="46"/>
  <c r="G118" i="46"/>
  <c r="H118" i="46" s="1"/>
  <c r="J109" i="46"/>
  <c r="M105" i="46"/>
  <c r="J107" i="46"/>
  <c r="H6" i="3"/>
  <c r="E6" i="3" s="1"/>
  <c r="G107" i="46"/>
  <c r="E103" i="46"/>
  <c r="J103" i="46"/>
  <c r="N109" i="46"/>
  <c r="N107" i="46"/>
  <c r="J102" i="46"/>
  <c r="M103" i="46"/>
  <c r="C103" i="46"/>
  <c r="C106" i="46"/>
  <c r="M11" i="69"/>
  <c r="J10" i="69" s="1"/>
  <c r="J5" i="69" s="1"/>
  <c r="F11" i="69"/>
  <c r="I109" i="46"/>
  <c r="I105" i="46"/>
  <c r="K104" i="46"/>
  <c r="L104" i="46"/>
  <c r="L107" i="46"/>
  <c r="G104" i="46"/>
  <c r="I107" i="46"/>
  <c r="D107" i="46"/>
  <c r="D103" i="46"/>
  <c r="H102" i="46"/>
  <c r="H106" i="46"/>
  <c r="H109" i="46"/>
  <c r="D106" i="46"/>
  <c r="D102" i="46"/>
  <c r="D109" i="46"/>
  <c r="N104" i="46"/>
  <c r="N103" i="46"/>
  <c r="E105" i="46"/>
  <c r="D116" i="46"/>
  <c r="E116" i="46" s="1"/>
  <c r="F116" i="46" s="1"/>
  <c r="G116" i="46" s="1"/>
  <c r="H116" i="46" s="1"/>
  <c r="D115" i="46"/>
  <c r="E115" i="46" s="1"/>
  <c r="F115" i="46" s="1"/>
  <c r="G115" i="46" s="1"/>
  <c r="H115" i="46" s="1"/>
  <c r="B118" i="46"/>
  <c r="C118" i="46" s="1"/>
  <c r="E109" i="46"/>
  <c r="E107" i="46"/>
  <c r="D118" i="46"/>
  <c r="E118" i="46" s="1"/>
  <c r="F118" i="46" s="1"/>
  <c r="D104" i="46"/>
  <c r="N105" i="46"/>
  <c r="N102" i="46"/>
  <c r="I116" i="46"/>
  <c r="J116" i="46" s="1"/>
  <c r="K116" i="46" s="1"/>
  <c r="L116" i="46" s="1"/>
  <c r="M116" i="46" s="1"/>
  <c r="I115" i="46"/>
  <c r="J115" i="46" s="1"/>
  <c r="K115" i="46" s="1"/>
  <c r="L115" i="46" s="1"/>
  <c r="M115" i="46" s="1"/>
  <c r="I117" i="46"/>
  <c r="J117" i="46" s="1"/>
  <c r="K117" i="46" s="1"/>
  <c r="L117" i="46" s="1"/>
  <c r="M117" i="46" s="1"/>
  <c r="B116" i="46"/>
  <c r="C116" i="46" s="1"/>
  <c r="I102" i="46"/>
  <c r="I106" i="46"/>
  <c r="I104" i="46"/>
  <c r="G106" i="46"/>
  <c r="G105" i="46"/>
  <c r="G103" i="46"/>
  <c r="L102" i="46"/>
  <c r="L105" i="46"/>
  <c r="K107" i="46"/>
  <c r="K105" i="46"/>
  <c r="C16" i="12"/>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87" i="3"/>
  <c r="AY109" i="3"/>
  <c r="AY142" i="3"/>
  <c r="AY537" i="3"/>
  <c r="AY144" i="3"/>
  <c r="AY136" i="3"/>
  <c r="AY232" i="3"/>
  <c r="AY448" i="3"/>
  <c r="AY49" i="3"/>
  <c r="AY381" i="3"/>
  <c r="AY326" i="3"/>
  <c r="AY178" i="3"/>
  <c r="AY294" i="3"/>
  <c r="AY550" i="3"/>
  <c r="AY269" i="3"/>
  <c r="AY389" i="3"/>
  <c r="AY302" i="3"/>
  <c r="AY122" i="3"/>
  <c r="AY457" i="3"/>
  <c r="BC6"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97" i="3"/>
  <c r="AY198" i="3"/>
  <c r="AY77" i="3"/>
  <c r="AY73" i="3"/>
  <c r="AY57" i="3"/>
  <c r="AY262" i="3"/>
  <c r="AY349" i="3"/>
  <c r="AY397" i="3"/>
  <c r="AY149" i="3"/>
  <c r="AY379" i="3"/>
  <c r="AY463" i="3"/>
  <c r="AY135" i="3"/>
  <c r="AY372" i="3"/>
  <c r="AY62" i="3"/>
  <c r="AY376" i="3"/>
  <c r="AY155" i="3"/>
  <c r="AY450" i="3"/>
  <c r="AY307" i="3"/>
  <c r="AY412"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6"/>
  <c r="K20" i="6"/>
  <c r="K14" i="1"/>
  <c r="K19" i="6"/>
  <c r="S6" i="1" s="1"/>
  <c r="K23" i="6"/>
  <c r="M23" i="6" s="1"/>
  <c r="I23" i="6" s="1"/>
  <c r="K25" i="6"/>
  <c r="M25" i="6" s="1"/>
  <c r="I25" i="6" s="1"/>
  <c r="K21" i="6"/>
  <c r="M21" i="6" s="1"/>
  <c r="I21" i="6" s="1"/>
  <c r="K26" i="6"/>
  <c r="M26" i="6" s="1"/>
  <c r="I26" i="6" s="1"/>
  <c r="K22" i="6"/>
  <c r="M22" i="6" s="1"/>
  <c r="I22" i="6" s="1"/>
  <c r="E30" i="6"/>
  <c r="E31" i="6" s="1"/>
  <c r="D28" i="6"/>
  <c r="K24" i="6"/>
  <c r="M24" i="6" s="1"/>
  <c r="I24" i="6" s="1"/>
  <c r="P6" i="1"/>
  <c r="E58" i="40"/>
  <c r="E63" i="39"/>
  <c r="E62" i="40"/>
  <c r="E67" i="39"/>
  <c r="E16" i="6"/>
  <c r="E66" i="39"/>
  <c r="E61" i="40"/>
  <c r="E59" i="40"/>
  <c r="E64" i="39"/>
  <c r="D12" i="6"/>
  <c r="E65" i="39"/>
  <c r="E60" i="40"/>
  <c r="A25" i="51"/>
  <c r="B18" i="63" s="1"/>
  <c r="B38" i="63"/>
  <c r="A3" i="55"/>
  <c r="B56" i="63" s="1"/>
  <c r="H12" i="39"/>
  <c r="H12" i="40"/>
  <c r="J12" i="39"/>
  <c r="J12" i="40"/>
  <c r="F12" i="39"/>
  <c r="F12" i="40"/>
  <c r="D70" i="39"/>
  <c r="C72" i="39"/>
  <c r="D46" i="36"/>
  <c r="E46" i="36" s="1"/>
  <c r="F46" i="36" s="1"/>
  <c r="G46" i="36" s="1"/>
  <c r="H46" i="36" s="1"/>
  <c r="I46" i="36" s="1"/>
  <c r="J46" i="36" s="1"/>
  <c r="K46" i="36" s="1"/>
  <c r="L46" i="36" s="1"/>
  <c r="M46" i="36" s="1"/>
  <c r="N46" i="36" s="1"/>
  <c r="O46" i="36" s="1"/>
  <c r="H7" i="36"/>
  <c r="J7" i="36"/>
  <c r="U7" i="21"/>
  <c r="AB7" i="21"/>
  <c r="T48" i="21" s="1"/>
  <c r="G48" i="21" s="1"/>
  <c r="F7" i="21"/>
  <c r="AB7" i="33"/>
  <c r="T48" i="33" s="1"/>
  <c r="G48" i="33" s="1"/>
  <c r="U7" i="33"/>
  <c r="J7" i="33"/>
  <c r="C67" i="40"/>
  <c r="D65" i="40"/>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E59" i="34"/>
  <c r="J7" i="21"/>
  <c r="AA7" i="33"/>
  <c r="R48" i="33" s="1"/>
  <c r="S7" i="33"/>
  <c r="M19" i="44"/>
  <c r="B40" i="1"/>
  <c r="F24" i="69" s="1"/>
  <c r="F17" i="11"/>
  <c r="C17" i="11" s="1"/>
  <c r="C19" i="11" s="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6" i="1"/>
  <c r="C17" i="15"/>
  <c r="Q62" i="69" l="1"/>
  <c r="Q75" i="69"/>
  <c r="H7" i="37"/>
  <c r="F1" i="69"/>
  <c r="Q53" i="69"/>
  <c r="D15" i="6"/>
  <c r="F1" i="46"/>
  <c r="S6" i="46"/>
  <c r="S5" i="46"/>
  <c r="D113" i="46"/>
  <c r="S3" i="46"/>
  <c r="C23" i="46"/>
  <c r="S2" i="46"/>
  <c r="C24" i="69"/>
  <c r="C52" i="69"/>
  <c r="C47" i="69" s="1"/>
  <c r="C10" i="69"/>
  <c r="C5" i="69" s="1"/>
  <c r="J24" i="69"/>
  <c r="J26" i="69"/>
  <c r="S4" i="46"/>
  <c r="S7" i="46"/>
  <c r="E41" i="46"/>
  <c r="C41" i="46" s="1"/>
  <c r="C39" i="46" s="1"/>
  <c r="E39" i="46" s="1"/>
  <c r="C20" i="46"/>
  <c r="C34" i="46" s="1"/>
  <c r="M20" i="6"/>
  <c r="I20" i="6" s="1"/>
  <c r="S7" i="1"/>
  <c r="E63" i="40"/>
  <c r="D25" i="6"/>
  <c r="D5" i="6"/>
  <c r="C22" i="4"/>
  <c r="D10" i="6"/>
  <c r="D14" i="6"/>
  <c r="F45" i="9"/>
  <c r="D26" i="6"/>
  <c r="D29" i="6"/>
  <c r="D30" i="6" s="1"/>
  <c r="E46" i="9"/>
  <c r="E68" i="39"/>
  <c r="D23" i="6"/>
  <c r="D19" i="6"/>
  <c r="D24" i="6"/>
  <c r="E45" i="9"/>
  <c r="D21" i="6"/>
  <c r="D6" i="6"/>
  <c r="D20" i="6"/>
  <c r="K38" i="9"/>
  <c r="C14" i="66" s="1"/>
  <c r="B2" i="66" s="1"/>
  <c r="D9" i="6"/>
  <c r="F46" i="9"/>
  <c r="D22" i="6"/>
  <c r="D8" i="6"/>
  <c r="D13" i="6"/>
  <c r="S22" i="6"/>
  <c r="H22" i="6"/>
  <c r="S21" i="6"/>
  <c r="H21" i="6"/>
  <c r="R21" i="6" s="1"/>
  <c r="S23" i="6"/>
  <c r="H23" i="6"/>
  <c r="R23" i="6" s="1"/>
  <c r="M14" i="1"/>
  <c r="K16" i="1"/>
  <c r="S24" i="6"/>
  <c r="H24" i="6"/>
  <c r="S26" i="6"/>
  <c r="H26" i="6"/>
  <c r="R26" i="6" s="1"/>
  <c r="S25" i="6"/>
  <c r="H25" i="6"/>
  <c r="R25" i="6" s="1"/>
  <c r="K27" i="6"/>
  <c r="M19" i="6"/>
  <c r="S20" i="6"/>
  <c r="H20" i="6"/>
  <c r="R20" i="6" s="1"/>
  <c r="R7" i="1" s="1"/>
  <c r="R49" i="33"/>
  <c r="E48" i="33"/>
  <c r="H7" i="35"/>
  <c r="F7" i="35"/>
  <c r="J7" i="37"/>
  <c r="F7" i="37"/>
  <c r="E65" i="40"/>
  <c r="D67" i="40"/>
  <c r="AC7" i="33"/>
  <c r="V48" i="33" s="1"/>
  <c r="I48" i="33" s="1"/>
  <c r="G53" i="33" s="1"/>
  <c r="H53" i="33" s="1"/>
  <c r="W7" i="33"/>
  <c r="G52" i="33"/>
  <c r="H52" i="33" s="1"/>
  <c r="G52" i="21"/>
  <c r="H52" i="21" s="1"/>
  <c r="AC7" i="36"/>
  <c r="V36" i="36" s="1"/>
  <c r="I36" i="36" s="1"/>
  <c r="W7" i="36"/>
  <c r="F7" i="36"/>
  <c r="S12" i="40"/>
  <c r="AA12" i="40"/>
  <c r="AC12" i="40"/>
  <c r="W12" i="40"/>
  <c r="U12" i="40"/>
  <c r="AB12" i="40"/>
  <c r="W7" i="21"/>
  <c r="AC7" i="21"/>
  <c r="V48" i="21" s="1"/>
  <c r="I48" i="21" s="1"/>
  <c r="F59" i="34"/>
  <c r="G59" i="34" s="1"/>
  <c r="H59" i="34" s="1"/>
  <c r="I59" i="34" s="1"/>
  <c r="J59" i="34" s="1"/>
  <c r="K59" i="34" s="1"/>
  <c r="L59" i="34" s="1"/>
  <c r="M59" i="34" s="1"/>
  <c r="N59" i="34" s="1"/>
  <c r="O59" i="34" s="1"/>
  <c r="H7" i="34"/>
  <c r="J7" i="34"/>
  <c r="W7" i="35"/>
  <c r="AC7" i="35"/>
  <c r="V38" i="35" s="1"/>
  <c r="I38" i="35" s="1"/>
  <c r="AB7" i="37"/>
  <c r="T42" i="37" s="1"/>
  <c r="G42" i="37" s="1"/>
  <c r="U7" i="37"/>
  <c r="AA7" i="21"/>
  <c r="R48" i="21" s="1"/>
  <c r="S7" i="21"/>
  <c r="U7" i="36"/>
  <c r="AB7" i="36"/>
  <c r="T36" i="36" s="1"/>
  <c r="G36" i="36" s="1"/>
  <c r="D72" i="39"/>
  <c r="E70" i="39"/>
  <c r="AA12" i="39"/>
  <c r="S12" i="39"/>
  <c r="W12" i="39"/>
  <c r="AC12" i="39"/>
  <c r="U12" i="39"/>
  <c r="AB12" i="39"/>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35" i="69"/>
  <c r="AE7" i="1"/>
  <c r="C17" i="69"/>
  <c r="M21" i="69"/>
  <c r="S16" i="1" l="1"/>
  <c r="F62" i="69"/>
  <c r="C61" i="69" s="1"/>
  <c r="C34" i="69"/>
  <c r="C31" i="69" s="1"/>
  <c r="J20" i="69"/>
  <c r="R24" i="6"/>
  <c r="R22" i="6"/>
  <c r="D16" i="6"/>
  <c r="T7" i="46"/>
  <c r="V7" i="46" s="1"/>
  <c r="F68" i="15"/>
  <c r="C38" i="69"/>
  <c r="C60" i="69"/>
  <c r="C59" i="69"/>
  <c r="C65" i="69"/>
  <c r="T2" i="46"/>
  <c r="V2" i="46" s="1"/>
  <c r="T13" i="46"/>
  <c r="V13" i="46" s="1"/>
  <c r="T6" i="46"/>
  <c r="V6" i="46" s="1"/>
  <c r="C37" i="46"/>
  <c r="G37" i="46" s="1"/>
  <c r="I37" i="46" s="1"/>
  <c r="T10" i="46"/>
  <c r="V10" i="46" s="1"/>
  <c r="C29" i="46"/>
  <c r="C30" i="46" s="1"/>
  <c r="E30" i="46" s="1"/>
  <c r="T12" i="46"/>
  <c r="V12" i="46" s="1"/>
  <c r="T15" i="46"/>
  <c r="V15" i="46" s="1"/>
  <c r="T11" i="46"/>
  <c r="V11" i="46" s="1"/>
  <c r="T9" i="46"/>
  <c r="V9" i="46" s="1"/>
  <c r="C33" i="46"/>
  <c r="E33" i="46" s="1"/>
  <c r="T14" i="46"/>
  <c r="V14" i="46" s="1"/>
  <c r="T5" i="46"/>
  <c r="V5" i="46" s="1"/>
  <c r="C35" i="46"/>
  <c r="G35" i="46" s="1"/>
  <c r="I35" i="46" s="1"/>
  <c r="T8" i="46"/>
  <c r="V8" i="46" s="1"/>
  <c r="T16" i="46"/>
  <c r="V16" i="46" s="1"/>
  <c r="T3" i="46"/>
  <c r="V3" i="46" s="1"/>
  <c r="C36" i="46"/>
  <c r="G36" i="46" s="1"/>
  <c r="I36" i="46" s="1"/>
  <c r="T4" i="46"/>
  <c r="V4" i="46" s="1"/>
  <c r="C38" i="46"/>
  <c r="G38" i="46" s="1"/>
  <c r="I38" i="46" s="1"/>
  <c r="G34" i="46"/>
  <c r="I34" i="46" s="1"/>
  <c r="E34" i="46"/>
  <c r="D27" i="6"/>
  <c r="D31" i="6" s="1"/>
  <c r="I6" i="6" s="1"/>
  <c r="D8" i="66"/>
  <c r="D7" i="66"/>
  <c r="A20" i="64"/>
  <c r="A20" i="51"/>
  <c r="B15" i="63" s="1"/>
  <c r="A6" i="51"/>
  <c r="B7" i="63" s="1"/>
  <c r="A6" i="64"/>
  <c r="N5" i="54"/>
  <c r="B43" i="63" s="1"/>
  <c r="M27" i="6"/>
  <c r="I19" i="6"/>
  <c r="T11" i="1"/>
  <c r="T10" i="1"/>
  <c r="T8" i="1"/>
  <c r="T9" i="1"/>
  <c r="T7" i="1"/>
  <c r="T13" i="1"/>
  <c r="T12" i="1"/>
  <c r="T6" i="1"/>
  <c r="O14" i="1"/>
  <c r="O16" i="1" s="1"/>
  <c r="M16" i="1"/>
  <c r="F70" i="39"/>
  <c r="E72" i="39"/>
  <c r="G41" i="36"/>
  <c r="H41" i="36" s="1"/>
  <c r="G40" i="36"/>
  <c r="H40" i="36" s="1"/>
  <c r="G39" i="46"/>
  <c r="I39" i="46" s="1"/>
  <c r="R49" i="21"/>
  <c r="E48" i="21"/>
  <c r="I42" i="35"/>
  <c r="J42" i="35" s="1"/>
  <c r="AC7" i="34"/>
  <c r="V49" i="34" s="1"/>
  <c r="I49" i="34" s="1"/>
  <c r="W7" i="34"/>
  <c r="AA7" i="36"/>
  <c r="R36" i="36" s="1"/>
  <c r="S7" i="36"/>
  <c r="I40" i="36"/>
  <c r="J40" i="36" s="1"/>
  <c r="I52" i="33"/>
  <c r="J52" i="33" s="1"/>
  <c r="I53" i="33"/>
  <c r="J53" i="33" s="1"/>
  <c r="E67" i="40"/>
  <c r="F65" i="40"/>
  <c r="W7" i="37"/>
  <c r="AC7" i="37"/>
  <c r="V42" i="37" s="1"/>
  <c r="I42" i="37" s="1"/>
  <c r="AB7" i="35"/>
  <c r="T38" i="35" s="1"/>
  <c r="G38" i="35" s="1"/>
  <c r="U7" i="35"/>
  <c r="C48" i="33"/>
  <c r="C49" i="33"/>
  <c r="B3" i="33" s="1"/>
  <c r="B2" i="33" s="1"/>
  <c r="G46" i="37"/>
  <c r="H46" i="37" s="1"/>
  <c r="G47" i="37"/>
  <c r="H47" i="37" s="1"/>
  <c r="U7" i="34"/>
  <c r="AB7" i="34"/>
  <c r="T49" i="34" s="1"/>
  <c r="G49" i="34" s="1"/>
  <c r="I52" i="21"/>
  <c r="J52" i="21" s="1"/>
  <c r="I53" i="21"/>
  <c r="J53" i="21" s="1"/>
  <c r="G53" i="21"/>
  <c r="H53" i="21" s="1"/>
  <c r="AA7" i="37"/>
  <c r="R42" i="37" s="1"/>
  <c r="S7" i="37"/>
  <c r="AA7" i="35"/>
  <c r="R38" i="35" s="1"/>
  <c r="S7" i="35"/>
  <c r="E52" i="33"/>
  <c r="F52" i="33" s="1"/>
  <c r="E53" i="33"/>
  <c r="F53" i="33" s="1"/>
  <c r="F7" i="34"/>
  <c r="C65" i="15"/>
  <c r="C59" i="15"/>
  <c r="B5" i="11"/>
  <c r="B3" i="11"/>
  <c r="B4" i="11"/>
  <c r="C27" i="12"/>
  <c r="D26" i="12" s="1"/>
  <c r="C32" i="12" s="1"/>
  <c r="D30" i="12" s="1"/>
  <c r="J26" i="15"/>
  <c r="J29" i="15" s="1"/>
  <c r="J24" i="15"/>
  <c r="C38" i="15"/>
  <c r="Q58" i="44"/>
  <c r="Q67" i="44"/>
  <c r="Q49" i="44"/>
  <c r="Q55" i="44" s="1"/>
  <c r="C14" i="15"/>
  <c r="F41" i="69"/>
  <c r="F7" i="67"/>
  <c r="C14" i="69"/>
  <c r="C16" i="44"/>
  <c r="J29" i="69" l="1"/>
  <c r="F68" i="69"/>
  <c r="C18" i="69"/>
  <c r="C15" i="69"/>
  <c r="G33" i="46"/>
  <c r="I33" i="46" s="1"/>
  <c r="C27" i="46" s="1"/>
  <c r="E35" i="46"/>
  <c r="C58" i="69"/>
  <c r="E29" i="46"/>
  <c r="E37" i="46"/>
  <c r="E36" i="46"/>
  <c r="E38" i="46"/>
  <c r="I5" i="6"/>
  <c r="T16" i="1"/>
  <c r="C15" i="15"/>
  <c r="C18" i="15"/>
  <c r="C20" i="44"/>
  <c r="C17" i="44"/>
  <c r="L16" i="1"/>
  <c r="N16" i="1"/>
  <c r="C29" i="43" s="1"/>
  <c r="C13" i="43"/>
  <c r="P14" i="1"/>
  <c r="P16" i="1" s="1"/>
  <c r="C13" i="12" s="1"/>
  <c r="I27" i="6"/>
  <c r="S19" i="6"/>
  <c r="S27" i="6" s="1"/>
  <c r="H19" i="6"/>
  <c r="AA7" i="34"/>
  <c r="R49" i="34" s="1"/>
  <c r="S7" i="34"/>
  <c r="R39" i="35"/>
  <c r="E38" i="35"/>
  <c r="R43" i="37"/>
  <c r="E42" i="37"/>
  <c r="G42" i="35"/>
  <c r="H42" i="35" s="1"/>
  <c r="G43" i="35"/>
  <c r="H43" i="35" s="1"/>
  <c r="R37" i="36"/>
  <c r="E36" i="36"/>
  <c r="E53" i="21"/>
  <c r="F53" i="21" s="1"/>
  <c r="E52" i="21"/>
  <c r="F52" i="21" s="1"/>
  <c r="F72" i="39"/>
  <c r="G70" i="39"/>
  <c r="G54" i="34"/>
  <c r="H54" i="34" s="1"/>
  <c r="G53" i="34"/>
  <c r="H53" i="34" s="1"/>
  <c r="I46" i="37"/>
  <c r="J46" i="37" s="1"/>
  <c r="I47" i="37"/>
  <c r="J47" i="37" s="1"/>
  <c r="G65" i="40"/>
  <c r="F67" i="40"/>
  <c r="I53" i="34"/>
  <c r="J53" i="34" s="1"/>
  <c r="C49" i="21"/>
  <c r="B3" i="21" s="1"/>
  <c r="B2" i="21" s="1"/>
  <c r="C48" i="21"/>
  <c r="E4" i="67"/>
  <c r="D77" i="9"/>
  <c r="N75" i="9" s="1"/>
  <c r="E7" i="67"/>
  <c r="B7" i="67"/>
  <c r="C19" i="69" l="1"/>
  <c r="C20" i="69" s="1"/>
  <c r="C26" i="69" s="1"/>
  <c r="C26" i="46"/>
  <c r="B2" i="46" s="1"/>
  <c r="D4" i="46" s="1"/>
  <c r="C19" i="15"/>
  <c r="C20" i="15" s="1"/>
  <c r="C26" i="15" s="1"/>
  <c r="C21" i="44"/>
  <c r="C22" i="44" s="1"/>
  <c r="C25" i="44" s="1"/>
  <c r="C17" i="12"/>
  <c r="C14" i="12"/>
  <c r="H27" i="6"/>
  <c r="R19" i="6"/>
  <c r="C14" i="43"/>
  <c r="C17" i="43"/>
  <c r="G72" i="39"/>
  <c r="H70" i="39"/>
  <c r="E40" i="36"/>
  <c r="F40" i="36" s="1"/>
  <c r="E41" i="36"/>
  <c r="F41" i="36" s="1"/>
  <c r="I41" i="36"/>
  <c r="J41" i="36" s="1"/>
  <c r="C43" i="37"/>
  <c r="B3" i="37" s="1"/>
  <c r="B2" i="37" s="1"/>
  <c r="C42" i="37"/>
  <c r="C39" i="35"/>
  <c r="B3" i="35" s="1"/>
  <c r="B2" i="35" s="1"/>
  <c r="C38" i="35"/>
  <c r="R50" i="34"/>
  <c r="E49" i="34"/>
  <c r="G67" i="40"/>
  <c r="H65" i="40"/>
  <c r="C37" i="36"/>
  <c r="B3" i="36" s="1"/>
  <c r="B2" i="36" s="1"/>
  <c r="C36" i="36"/>
  <c r="E47" i="37"/>
  <c r="F47" i="37" s="1"/>
  <c r="E46" i="37"/>
  <c r="F46" i="37" s="1"/>
  <c r="E43" i="35"/>
  <c r="F43" i="35" s="1"/>
  <c r="E42" i="35"/>
  <c r="F42" i="35" s="1"/>
  <c r="I43" i="35"/>
  <c r="J43" i="35" s="1"/>
  <c r="E3" i="67"/>
  <c r="B2" i="67"/>
  <c r="C19" i="9"/>
  <c r="C23" i="69" l="1"/>
  <c r="C29" i="69" s="1"/>
  <c r="B3" i="46"/>
  <c r="L43" i="9"/>
  <c r="B4" i="46"/>
  <c r="R27" i="6"/>
  <c r="R6" i="1"/>
  <c r="C23" i="15"/>
  <c r="C29" i="15" s="1"/>
  <c r="C18" i="43"/>
  <c r="C19" i="43" s="1"/>
  <c r="C28" i="44"/>
  <c r="C31" i="44" s="1"/>
  <c r="C18" i="12"/>
  <c r="I65" i="40"/>
  <c r="H67" i="40"/>
  <c r="C50" i="34"/>
  <c r="B3" i="34" s="1"/>
  <c r="B2" i="34" s="1"/>
  <c r="C49" i="34"/>
  <c r="E54" i="34"/>
  <c r="F54" i="34" s="1"/>
  <c r="E53" i="34"/>
  <c r="F53" i="34" s="1"/>
  <c r="I54" i="34"/>
  <c r="J54" i="34" s="1"/>
  <c r="H72" i="39"/>
  <c r="I70" i="39"/>
  <c r="B3" i="67"/>
  <c r="B4" i="67"/>
  <c r="F35" i="15"/>
  <c r="M21" i="15"/>
  <c r="C20" i="9"/>
  <c r="C21" i="9"/>
  <c r="J14" i="69" l="1"/>
  <c r="J19" i="69"/>
  <c r="J17" i="69" s="1"/>
  <c r="C56" i="69"/>
  <c r="C63" i="69" s="1"/>
  <c r="Q50" i="69"/>
  <c r="C36" i="69"/>
  <c r="C13" i="69"/>
  <c r="C34" i="15"/>
  <c r="F62" i="15"/>
  <c r="C61" i="15" s="1"/>
  <c r="J20" i="15"/>
  <c r="R16" i="1"/>
  <c r="C25" i="43"/>
  <c r="C24" i="43" s="1"/>
  <c r="C22" i="43"/>
  <c r="C21" i="43" s="1"/>
  <c r="C23" i="12"/>
  <c r="C15" i="44"/>
  <c r="J21" i="44"/>
  <c r="J19" i="44" s="1"/>
  <c r="C35" i="44"/>
  <c r="C33" i="44" s="1"/>
  <c r="Q51" i="44"/>
  <c r="C38" i="44"/>
  <c r="J16" i="44"/>
  <c r="Q50" i="15"/>
  <c r="J19" i="15"/>
  <c r="C13" i="15"/>
  <c r="J14" i="15"/>
  <c r="J59" i="15"/>
  <c r="J60" i="15" s="1"/>
  <c r="C36" i="15"/>
  <c r="C33" i="15"/>
  <c r="C56" i="15"/>
  <c r="J65" i="40"/>
  <c r="I67" i="40"/>
  <c r="J70" i="39"/>
  <c r="I72" i="39"/>
  <c r="J22" i="69" l="1"/>
  <c r="J13" i="69"/>
  <c r="J23" i="69" s="1"/>
  <c r="Q71" i="69"/>
  <c r="C37" i="69"/>
  <c r="C30" i="69" s="1"/>
  <c r="C39" i="69" s="1"/>
  <c r="J35" i="69"/>
  <c r="C55" i="69"/>
  <c r="C64" i="69" s="1"/>
  <c r="C57" i="69" s="1"/>
  <c r="C66" i="69" s="1"/>
  <c r="C67" i="69" s="1"/>
  <c r="J17" i="15"/>
  <c r="C31" i="15"/>
  <c r="C28" i="43"/>
  <c r="C30" i="43" s="1"/>
  <c r="C32" i="43" s="1"/>
  <c r="B2" i="43" s="1"/>
  <c r="B3" i="43" s="1"/>
  <c r="C39" i="44"/>
  <c r="C32" i="44" s="1"/>
  <c r="C42" i="44" s="1"/>
  <c r="C43" i="44"/>
  <c r="Q72" i="44"/>
  <c r="Q49" i="15"/>
  <c r="C37" i="15"/>
  <c r="Q71" i="15"/>
  <c r="J35" i="15"/>
  <c r="C55" i="15"/>
  <c r="C64" i="15" s="1"/>
  <c r="C60" i="15"/>
  <c r="C58" i="15" s="1"/>
  <c r="C63" i="15"/>
  <c r="J22" i="15"/>
  <c r="J13" i="15"/>
  <c r="J23" i="15" s="1"/>
  <c r="J24" i="44"/>
  <c r="J15" i="44"/>
  <c r="J25" i="44" s="1"/>
  <c r="K70" i="39"/>
  <c r="J72" i="39"/>
  <c r="J67" i="40"/>
  <c r="K65" i="40"/>
  <c r="L51" i="69"/>
  <c r="J16" i="69" l="1"/>
  <c r="J25" i="69" s="1"/>
  <c r="J39" i="69"/>
  <c r="J40" i="69" s="1"/>
  <c r="Q68" i="69"/>
  <c r="C70" i="69"/>
  <c r="C40" i="69"/>
  <c r="Q70" i="69"/>
  <c r="Q69" i="69" s="1"/>
  <c r="C30" i="15"/>
  <c r="C39" i="15" s="1"/>
  <c r="J39" i="15" s="1"/>
  <c r="J40" i="15" s="1"/>
  <c r="B4" i="43"/>
  <c r="B5" i="43"/>
  <c r="J18" i="44"/>
  <c r="J27" i="44" s="1"/>
  <c r="J16" i="15"/>
  <c r="J25" i="15" s="1"/>
  <c r="L57" i="15"/>
  <c r="L60" i="15" s="1"/>
  <c r="Q58" i="15" s="1"/>
  <c r="Q71" i="44"/>
  <c r="Q70" i="44" s="1"/>
  <c r="C44" i="44"/>
  <c r="C45" i="44" s="1"/>
  <c r="C57" i="15"/>
  <c r="C66" i="15" s="1"/>
  <c r="C67" i="15" s="1"/>
  <c r="K67" i="40"/>
  <c r="L65" i="40"/>
  <c r="L70" i="39"/>
  <c r="K72" i="39"/>
  <c r="Q57" i="69" l="1"/>
  <c r="Q63" i="69" s="1"/>
  <c r="C43" i="69"/>
  <c r="Q66" i="69"/>
  <c r="Q76" i="69" s="1"/>
  <c r="Q48" i="69"/>
  <c r="Q54" i="69" s="1"/>
  <c r="B2" i="69"/>
  <c r="J42" i="69"/>
  <c r="J43" i="69" s="1"/>
  <c r="C46" i="69"/>
  <c r="C40" i="15"/>
  <c r="Q66" i="15" s="1"/>
  <c r="Q70" i="15"/>
  <c r="Q69" i="15" s="1"/>
  <c r="Q67" i="15"/>
  <c r="L46" i="15"/>
  <c r="L52" i="44"/>
  <c r="B2" i="44"/>
  <c r="C70" i="15"/>
  <c r="M65" i="40"/>
  <c r="L67" i="40"/>
  <c r="L72" i="39"/>
  <c r="M70" i="39"/>
  <c r="L51" i="15"/>
  <c r="D10" i="12" l="1"/>
  <c r="B3" i="69"/>
  <c r="D8" i="12" s="1"/>
  <c r="Q68" i="15"/>
  <c r="Q48" i="15"/>
  <c r="Q54" i="15" s="1"/>
  <c r="Q57" i="15"/>
  <c r="Q63" i="15" s="1"/>
  <c r="J42" i="15"/>
  <c r="J43" i="15" s="1"/>
  <c r="C43" i="15"/>
  <c r="C46" i="15"/>
  <c r="B2" i="15"/>
  <c r="C10" i="12" s="1"/>
  <c r="C6" i="12" s="1"/>
  <c r="Q76" i="15"/>
  <c r="B3" i="44"/>
  <c r="B4" i="44"/>
  <c r="B5" i="44"/>
  <c r="L58" i="44"/>
  <c r="L61" i="44" s="1"/>
  <c r="Q69" i="44"/>
  <c r="N70" i="39"/>
  <c r="N72" i="39" s="1"/>
  <c r="M72" i="39"/>
  <c r="N65" i="40"/>
  <c r="N67" i="40" s="1"/>
  <c r="M67" i="40"/>
  <c r="B3" i="15" l="1"/>
  <c r="C8" i="12" s="1"/>
  <c r="C24" i="12"/>
  <c r="C29" i="12"/>
  <c r="Q68" i="44"/>
  <c r="Q77" i="44" s="1"/>
  <c r="Q59" i="44"/>
  <c r="Q64" i="44" s="1"/>
  <c r="J9" i="40"/>
  <c r="F9" i="40"/>
  <c r="H9" i="40"/>
  <c r="J9" i="39"/>
  <c r="F9" i="39"/>
  <c r="H9" i="39"/>
  <c r="C28" i="12" l="1"/>
  <c r="C26" i="12" s="1"/>
  <c r="C31" i="12" s="1"/>
  <c r="C30" i="12" s="1"/>
  <c r="C35" i="12"/>
  <c r="C33" i="12" s="1"/>
  <c r="U9" i="39"/>
  <c r="AB9" i="39"/>
  <c r="T49" i="39" s="1"/>
  <c r="G49" i="39" s="1"/>
  <c r="W9" i="39"/>
  <c r="AC9" i="39"/>
  <c r="V49" i="39" s="1"/>
  <c r="I49" i="39" s="1"/>
  <c r="S9" i="40"/>
  <c r="AA9" i="40"/>
  <c r="R44" i="40" s="1"/>
  <c r="S9" i="39"/>
  <c r="AA9" i="39"/>
  <c r="R49" i="39" s="1"/>
  <c r="U9" i="40"/>
  <c r="AB9" i="40"/>
  <c r="T44" i="40" s="1"/>
  <c r="G44" i="40" s="1"/>
  <c r="AC9" i="40"/>
  <c r="V44" i="40" s="1"/>
  <c r="I44" i="40" s="1"/>
  <c r="I48" i="40" s="1"/>
  <c r="J48" i="40" s="1"/>
  <c r="W9" i="40"/>
  <c r="C36" i="12" l="1"/>
  <c r="B2" i="12" s="1"/>
  <c r="G49" i="40"/>
  <c r="H49" i="40" s="1"/>
  <c r="G48" i="40"/>
  <c r="H48" i="40" s="1"/>
  <c r="R50" i="39"/>
  <c r="E49" i="39"/>
  <c r="I54" i="39" s="1"/>
  <c r="J54" i="39" s="1"/>
  <c r="R45" i="40"/>
  <c r="E44" i="40"/>
  <c r="I53" i="39"/>
  <c r="J53" i="39" s="1"/>
  <c r="G53" i="39"/>
  <c r="H53" i="39" s="1"/>
  <c r="G54" i="39"/>
  <c r="H54" i="39" s="1"/>
  <c r="D19" i="9"/>
  <c r="L44" i="9" l="1"/>
  <c r="G19" i="9"/>
  <c r="D22" i="9"/>
  <c r="B5" i="12"/>
  <c r="B3" i="12"/>
  <c r="B4" i="12"/>
  <c r="C45" i="40"/>
  <c r="C44" i="40"/>
  <c r="C50" i="39"/>
  <c r="C49" i="39"/>
  <c r="I49" i="40"/>
  <c r="J49" i="40" s="1"/>
  <c r="E48" i="40"/>
  <c r="F48" i="40" s="1"/>
  <c r="E49" i="40"/>
  <c r="F49" i="40" s="1"/>
  <c r="E53" i="39"/>
  <c r="F53" i="39" s="1"/>
  <c r="E54" i="39"/>
  <c r="F54" i="39" s="1"/>
  <c r="D21" i="9"/>
  <c r="D20" i="9"/>
  <c r="G21" i="9" l="1"/>
  <c r="G20" i="9"/>
  <c r="G22" i="9"/>
  <c r="C32" i="9"/>
  <c r="N43" i="9"/>
  <c r="B59" i="39"/>
  <c r="F59" i="39" s="1"/>
  <c r="B63" i="39"/>
  <c r="F63" i="39" s="1"/>
  <c r="B66" i="39"/>
  <c r="F66" i="39" s="1"/>
  <c r="B67" i="39"/>
  <c r="F67" i="39" s="1"/>
  <c r="B62" i="39"/>
  <c r="F62" i="39" s="1"/>
  <c r="B58" i="39"/>
  <c r="F58" i="39" s="1"/>
  <c r="B65" i="39"/>
  <c r="F65" i="39" s="1"/>
  <c r="B64" i="39"/>
  <c r="F64" i="39" s="1"/>
  <c r="B61" i="39"/>
  <c r="F61" i="39" s="1"/>
  <c r="B60" i="39"/>
  <c r="F60" i="39" s="1"/>
  <c r="F68" i="39"/>
  <c r="B2"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O43" i="9" l="1"/>
  <c r="C34" i="9"/>
  <c r="C35" i="9"/>
  <c r="F42" i="9" s="1"/>
  <c r="C42" i="9"/>
  <c r="C33" i="9"/>
  <c r="O38" i="9"/>
  <c r="G6" i="72" s="1"/>
  <c r="B5" i="39"/>
  <c r="B4" i="39"/>
  <c r="B3" i="39"/>
  <c r="B5" i="40"/>
  <c r="B4" i="40"/>
  <c r="B3" i="40"/>
  <c r="K6" i="72" l="1"/>
  <c r="E42" i="9"/>
  <c r="P5" i="54" s="1"/>
  <c r="B46" i="63" s="1"/>
  <c r="M38" i="9"/>
  <c r="K27" i="9" s="1"/>
  <c r="K26" i="9"/>
  <c r="K25" i="9"/>
  <c r="C44" i="9"/>
  <c r="R5" i="54"/>
  <c r="B48" i="63" s="1"/>
  <c r="D14" i="66"/>
  <c r="N68" i="9"/>
  <c r="D63" i="9"/>
  <c r="N38" i="9"/>
  <c r="D42" i="9"/>
  <c r="Q5" i="54" s="1"/>
  <c r="B47" i="63" s="1"/>
  <c r="K28" i="9" l="1"/>
  <c r="H6" i="72"/>
  <c r="L6" i="72" s="1"/>
  <c r="D73" i="9"/>
  <c r="N73" i="9" s="1"/>
  <c r="C103" i="9"/>
  <c r="C111" i="9"/>
  <c r="C104" i="9" s="1"/>
  <c r="D71" i="9"/>
  <c r="D66" i="9" s="1"/>
  <c r="N72" i="9" s="1"/>
  <c r="C96" i="9"/>
  <c r="C91" i="9" s="1"/>
  <c r="C90" i="9"/>
  <c r="C82" i="9"/>
  <c r="C81" i="9" s="1"/>
  <c r="C85" i="9" s="1"/>
  <c r="C86" i="9" s="1"/>
  <c r="D72" i="9" s="1"/>
  <c r="D70" i="9"/>
  <c r="E14" i="66"/>
  <c r="F14" i="66"/>
  <c r="N69" i="9"/>
  <c r="F44" i="9"/>
  <c r="D44" i="9"/>
  <c r="E44" i="9"/>
  <c r="O39" i="9"/>
  <c r="G14" i="66"/>
  <c r="R6" i="54" l="1"/>
  <c r="B50" i="63" s="1"/>
  <c r="K29" i="9"/>
  <c r="K30" i="9" s="1"/>
  <c r="M84" i="9"/>
  <c r="N84" i="9" s="1"/>
  <c r="M83" i="9"/>
  <c r="N83" i="9" s="1"/>
  <c r="M86" i="9"/>
  <c r="N86" i="9" s="1"/>
  <c r="M87" i="9"/>
  <c r="N87" i="9" s="1"/>
  <c r="M85" i="9"/>
  <c r="N85" i="9" s="1"/>
  <c r="M88" i="9"/>
  <c r="N88" i="9" s="1"/>
  <c r="C97" i="9"/>
  <c r="C113" i="9"/>
  <c r="N89" i="9" l="1"/>
  <c r="O89" i="9" s="1"/>
  <c r="C98" i="9"/>
  <c r="E98" i="9" s="1"/>
  <c r="E99" i="9" s="1"/>
  <c r="C114" i="9"/>
  <c r="E114" i="9" s="1"/>
  <c r="E115" i="9" s="1"/>
  <c r="C115" i="9" l="1"/>
  <c r="D76" i="9" s="1"/>
  <c r="D74" i="9" s="1"/>
  <c r="N74" i="9" s="1"/>
  <c r="O77" i="9" s="1"/>
  <c r="Q77" i="9" s="1"/>
  <c r="C99" i="9"/>
  <c r="O79" i="9" l="1"/>
  <c r="O80" i="9" s="1"/>
  <c r="O78" i="9"/>
  <c r="O81" i="9" l="1"/>
  <c r="E17" i="66" l="1"/>
  <c r="F17" i="66"/>
  <c r="G17" i="66"/>
  <c r="E15" i="66" l="1"/>
  <c r="F15" i="66"/>
  <c r="K8" i="72" l="1"/>
  <c r="G8" i="72"/>
  <c r="I8" i="72"/>
  <c r="I10" i="72" s="1"/>
  <c r="D16" i="66" l="1"/>
  <c r="L8" i="72"/>
  <c r="J8" i="72"/>
  <c r="G16" i="66" l="1"/>
  <c r="B6" i="66" s="1"/>
  <c r="E16" i="66"/>
  <c r="F16" i="66"/>
  <c r="B5" i="66"/>
  <c r="H8" i="72"/>
  <c r="D5" i="66" l="1"/>
  <c r="C5" i="66"/>
  <c r="D6" i="66"/>
  <c r="C6" i="66"/>
  <c r="G7" i="72" l="1"/>
  <c r="K7" i="72" l="1"/>
  <c r="K10" i="72" s="1"/>
  <c r="G10" i="72"/>
  <c r="H7" i="72"/>
  <c r="L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<sst xmlns="http://schemas.openxmlformats.org/spreadsheetml/2006/main" count="7513" uniqueCount="3218">
  <si>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</si>
  <si>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</si>
  <si>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</si>
  <si>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</si>
  <si>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</si>
  <si>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</si>
  <si>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</si>
  <si>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</si>
  <si>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</si>
  <si>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</si>
  <si>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</si>
  <si>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</si>
  <si>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</si>
  <si>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</si>
  <si>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</si>
  <si>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</si>
  <si>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</si>
  <si>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</si>
  <si>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</si>
  <si>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</si>
  <si>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</si>
  <si>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</si>
  <si>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</si>
  <si>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</si>
  <si>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</si>
  <si>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</si>
  <si>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</si>
  <si>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</si>
  <si>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</si>
  <si>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</si>
  <si>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</si>
  <si>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</si>
  <si>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</si>
  <si>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</si>
  <si>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</si>
  <si>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</si>
  <si>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</si>
  <si>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</si>
  <si>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</si>
  <si>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</si>
  <si>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</si>
  <si>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</si>
  <si>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</si>
  <si>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</si>
  <si>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</si>
  <si>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</si>
  <si>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</si>
  <si>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</si>
  <si>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</si>
  <si>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</si>
  <si>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</si>
  <si>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</si>
  <si>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</si>
  <si>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</si>
  <si>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</si>
  <si>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</si>
  <si>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</si>
  <si>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</si>
  <si>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</si>
  <si>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</si>
  <si>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</si>
  <si>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</si>
  <si>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</si>
  <si>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</si>
  <si>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</si>
  <si>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</si>
  <si>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</si>
  <si>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</si>
  <si>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</si>
  <si>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</si>
  <si>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</si>
  <si>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</si>
  <si>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</si>
  <si>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</si>
  <si>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</si>
  <si>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</si>
  <si>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</si>
  <si>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</si>
  <si>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</si>
  <si>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</si>
  <si>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</si>
  <si>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</si>
  <si>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</si>
  <si>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</si>
  <si>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</si>
  <si>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</si>
  <si>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</si>
  <si>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</si>
  <si>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</si>
  <si>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</si>
  <si>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</si>
  <si>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</si>
  <si>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</si>
  <si>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</si>
  <si>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</si>
  <si>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</si>
  <si>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</si>
  <si>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</si>
  <si>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</si>
  <si>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</si>
  <si>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</si>
  <si>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</si>
  <si>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</si>
  <si>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</si>
  <si>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</si>
  <si>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</si>
  <si>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</si>
  <si>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</si>
  <si>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</si>
  <si>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</si>
  <si>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</si>
  <si>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</si>
  <si>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</si>
  <si>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</si>
  <si>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</si>
  <si>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</si>
  <si>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</si>
  <si>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</si>
  <si>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</si>
  <si>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</si>
  <si>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</si>
  <si>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</si>
  <si>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</si>
  <si>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</si>
  <si>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</si>
  <si>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</si>
  <si>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</si>
  <si>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</si>
  <si>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</si>
  <si>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</si>
  <si>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</si>
  <si>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</si>
  <si>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</si>
  <si>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</si>
  <si>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</si>
  <si>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</si>
  <si>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</si>
  <si>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</si>
  <si>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</si>
  <si>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</si>
  <si>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</si>
  <si>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</si>
  <si>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</si>
  <si>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</si>
  <si>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</si>
  <si>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</si>
  <si>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</si>
  <si>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</si>
  <si>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</si>
  <si>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</si>
  <si>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</si>
  <si>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</si>
  <si>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</si>
  <si>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</si>
  <si>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</si>
  <si>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</si>
  <si>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</si>
  <si>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</si>
  <si>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</si>
  <si>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</si>
  <si>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</si>
  <si>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</si>
  <si>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</si>
  <si>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</si>
  <si>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</si>
  <si>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</si>
  <si>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</si>
  <si>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</si>
  <si>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</si>
  <si>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</si>
  <si>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</si>
  <si>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</si>
  <si>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</si>
  <si>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</si>
  <si>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</si>
  <si>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</si>
  <si>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</si>
  <si>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</si>
  <si>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</si>
  <si>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</si>
  <si>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</si>
  <si>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</si>
  <si>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</si>
  <si>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</si>
  <si>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</si>
  <si>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</si>
  <si>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</si>
  <si>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</si>
  <si>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</si>
  <si>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</si>
  <si>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</si>
  <si>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</si>
  <si>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</si>
  <si>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</si>
  <si>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</si>
  <si>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</si>
  <si>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</si>
  <si>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</si>
  <si>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</si>
  <si>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</si>
  <si>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</si>
  <si>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</si>
  <si>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</si>
  <si>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</si>
  <si>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</si>
  <si>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</si>
  <si>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</si>
  <si>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</si>
  <si>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</si>
  <si>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</si>
  <si>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</si>
  <si>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</si>
  <si>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</si>
  <si>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</si>
  <si>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</si>
  <si>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</si>
  <si>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</si>
  <si>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</si>
  <si>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</si>
  <si>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</si>
  <si>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</si>
  <si>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</si>
  <si>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</si>
  <si>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</si>
  <si>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</si>
  <si>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</si>
  <si>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</si>
  <si>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</si>
  <si>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</si>
  <si>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</si>
  <si>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</si>
  <si>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</si>
  <si>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</si>
  <si>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</si>
  <si>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</si>
  <si>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</si>
  <si>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</si>
  <si>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</si>
  <si>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</si>
  <si>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</si>
  <si>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</si>
  <si>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</si>
  <si>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</si>
  <si>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</si>
  <si>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</si>
  <si>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</si>
  <si>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</si>
  <si>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</si>
  <si>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</si>
  <si>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</si>
  <si>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</si>
  <si>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</si>
  <si>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</si>
  <si>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</si>
  <si>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</si>
  <si>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</si>
  <si>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</si>
  <si>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</si>
  <si>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</si>
  <si>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</si>
  <si>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</si>
  <si>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</si>
  <si>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</si>
  <si>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</si>
  <si>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</si>
  <si>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</si>
  <si>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</si>
  <si>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</si>
  <si>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</si>
  <si>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</si>
  <si>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</si>
  <si>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</si>
  <si>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</si>
  <si>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</si>
  <si>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</si>
  <si>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</si>
  <si>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</si>
  <si>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</si>
  <si>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</si>
  <si>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</si>
  <si>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</si>
  <si>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</si>
  <si>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</si>
  <si>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</si>
  <si>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</si>
  <si>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</si>
  <si>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</si>
  <si>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</si>
  <si>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</si>
  <si>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</si>
  <si>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</si>
  <si>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</si>
  <si>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</si>
  <si>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</si>
  <si>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</si>
  <si>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</si>
  <si>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</si>
  <si>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</si>
  <si>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</si>
  <si>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</si>
  <si>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</si>
  <si>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</si>
  <si>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</si>
  <si>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</si>
  <si>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</si>
  <si>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</si>
  <si>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</si>
  <si>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</si>
  <si>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</si>
  <si>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</si>
  <si>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</si>
  <si>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</si>
  <si>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</si>
  <si>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</si>
  <si>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</si>
  <si>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</si>
  <si>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</si>
  <si>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</si>
  <si>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</si>
  <si>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</si>
  <si>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</si>
  <si>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</si>
  <si>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</si>
  <si>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</si>
  <si>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</si>
  <si>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</si>
  <si>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</si>
  <si>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</si>
  <si>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</si>
  <si>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</si>
  <si>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</si>
  <si>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</si>
  <si>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</si>
  <si>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</si>
  <si>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</si>
  <si>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</si>
  <si>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</si>
  <si>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</si>
  <si>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</si>
  <si>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</si>
  <si>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</si>
  <si>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</si>
  <si>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</si>
  <si>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</si>
  <si>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</si>
  <si>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</si>
  <si>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</si>
  <si>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</si>
  <si>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</si>
  <si>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</si>
  <si>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</si>
  <si>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</si>
  <si>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</si>
  <si>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</si>
  <si>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</si>
  <si>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</si>
  <si>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</si>
  <si>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</si>
  <si>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</si>
  <si>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</si>
  <si>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</si>
  <si>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</si>
  <si>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</si>
  <si>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</si>
  <si>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</si>
  <si>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</si>
  <si>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</si>
  <si>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</si>
  <si>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</si>
  <si>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</si>
  <si>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</si>
  <si>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</si>
  <si>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</si>
  <si>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</si>
  <si>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</si>
  <si>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</si>
  <si>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</si>
  <si>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</si>
  <si>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</si>
  <si>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</si>
  <si>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</si>
  <si>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</si>
  <si>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</si>
  <si>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</si>
  <si>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</si>
  <si>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</si>
  <si>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</si>
  <si>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</si>
  <si>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</si>
  <si>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</si>
  <si>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</si>
  <si>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</si>
  <si>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</si>
  <si>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</si>
  <si>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</si>
  <si>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</si>
  <si>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</si>
  <si>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</si>
  <si>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</si>
  <si>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</si>
  <si>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</si>
  <si>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</si>
  <si>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</si>
  <si>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</si>
  <si>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</si>
  <si>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</si>
  <si>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</si>
  <si>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</si>
  <si>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</si>
  <si>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</si>
  <si>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</si>
  <si>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</si>
  <si>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</si>
  <si>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</si>
  <si>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</si>
  <si>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</si>
  <si>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</si>
  <si>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</si>
  <si>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</si>
  <si>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</si>
  <si>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</si>
  <si>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</si>
  <si>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</si>
  <si>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</si>
  <si>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</si>
  <si>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</si>
  <si>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</si>
  <si>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</si>
  <si>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</si>
  <si>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</si>
  <si>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</si>
  <si>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</si>
  <si>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</si>
  <si>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</si>
  <si>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</si>
  <si>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</si>
  <si>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</si>
  <si>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</si>
  <si>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</si>
  <si>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</si>
  <si>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</si>
  <si>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</si>
  <si>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</si>
  <si>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</si>
  <si>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</si>
  <si>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</si>
  <si>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</si>
  <si>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</si>
  <si>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</si>
  <si>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</si>
  <si>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</si>
  <si>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</si>
  <si>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</si>
  <si>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</si>
  <si>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</si>
  <si>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</si>
  <si>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</si>
  <si>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</si>
  <si>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</si>
  <si>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</si>
  <si>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</si>
  <si>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</si>
  <si>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</si>
  <si>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</si>
  <si>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</si>
  <si>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</si>
  <si>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</si>
  <si>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</si>
  <si>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</si>
  <si>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</si>
  <si>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</si>
  <si>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</si>
  <si>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</si>
  <si>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</si>
  <si>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</si>
  <si>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</si>
  <si>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</si>
  <si>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</si>
  <si>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</si>
  <si>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</si>
  <si>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</si>
  <si>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</si>
  <si>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</si>
  <si>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</si>
  <si>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</si>
  <si>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</si>
  <si>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</si>
  <si>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</si>
  <si>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</si>
  <si>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</si>
  <si>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</si>
  <si>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</si>
  <si>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</si>
  <si>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</si>
  <si>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</si>
  <si>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</si>
  <si>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</si>
  <si>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</si>
  <si>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</si>
  <si>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</si>
  <si>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</si>
  <si>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</si>
  <si>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</si>
  <si>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</si>
  <si>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</si>
  <si>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</si>
  <si>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</si>
  <si>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</si>
  <si>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</si>
  <si>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</si>
  <si>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</si>
  <si>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</si>
  <si>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</si>
  <si>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</si>
  <si>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</si>
  <si>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</si>
  <si>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</si>
  <si>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</si>
  <si>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</si>
  <si>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</si>
  <si>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</si>
  <si>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</si>
  <si>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</si>
  <si>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</si>
  <si>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</si>
  <si>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</si>
  <si>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</si>
  <si>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</si>
  <si>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</si>
  <si>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</si>
  <si>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</si>
  <si>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</si>
  <si>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</si>
  <si>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</si>
  <si>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</si>
  <si>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</si>
  <si>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</si>
  <si>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</si>
  <si>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</si>
  <si>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</si>
  <si>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</si>
  <si>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</si>
  <si>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</si>
  <si>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</si>
  <si>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</si>
  <si>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</si>
  <si>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</si>
  <si>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</si>
  <si>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</si>
  <si>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</si>
  <si>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</si>
  <si>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</si>
  <si>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</si>
  <si>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</si>
  <si>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</si>
  <si>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</si>
  <si>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</si>
  <si>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</si>
  <si>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</si>
  <si>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</si>
  <si>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</si>
  <si>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</si>
  <si>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</si>
  <si>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</si>
  <si>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</si>
  <si>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</si>
  <si>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</si>
  <si>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</si>
  <si>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</si>
  <si>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</si>
  <si>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</si>
  <si>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</si>
  <si>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</si>
  <si>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</si>
  <si>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</si>
  <si>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</si>
  <si>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</si>
  <si>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</si>
  <si>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</si>
  <si>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</si>
  <si>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</si>
  <si>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</si>
  <si>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</si>
  <si>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</si>
  <si>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</si>
  <si>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</si>
  <si>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</si>
  <si>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</si>
  <si>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</si>
  <si>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</si>
  <si>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</si>
  <si>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</si>
  <si>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</si>
  <si>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</si>
  <si>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</si>
  <si>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</si>
  <si>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</si>
  <si>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</si>
  <si>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</si>
  <si>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</si>
  <si>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</si>
  <si>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</si>
  <si>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</si>
  <si>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</si>
  <si>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</si>
  <si>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</si>
  <si>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</si>
  <si>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</si>
  <si>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</si>
  <si>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</si>
  <si>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</si>
  <si>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</si>
  <si>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</si>
  <si>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</si>
  <si>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</si>
  <si>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</si>
  <si>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</si>
  <si>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</si>
  <si>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</si>
  <si>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</si>
  <si>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</si>
  <si>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</si>
  <si>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</si>
  <si>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</si>
  <si>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</si>
  <si>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</si>
  <si>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</si>
  <si>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</si>
  <si>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</si>
  <si>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</si>
  <si>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</si>
  <si>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</si>
  <si>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</si>
  <si>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</si>
  <si>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</si>
  <si>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</si>
  <si>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</si>
  <si>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</si>
  <si>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</si>
  <si>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</si>
  <si>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</si>
  <si>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</si>
  <si>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</si>
  <si>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</si>
  <si>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</si>
  <si>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</si>
  <si>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</si>
  <si>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</si>
  <si>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</si>
  <si>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</si>
  <si>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</si>
  <si>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</si>
  <si>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</si>
  <si>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</si>
  <si>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</si>
  <si>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</si>
  <si>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</si>
  <si>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</si>
  <si>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</si>
  <si>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</si>
  <si>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</si>
  <si>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</si>
  <si>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</si>
  <si>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</si>
  <si>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</si>
  <si>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</si>
  <si>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</si>
  <si>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</si>
  <si>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</si>
  <si>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</si>
  <si>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</si>
  <si>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</si>
  <si>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</si>
  <si>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</si>
  <si>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</si>
  <si>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</si>
  <si>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</si>
  <si>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</si>
  <si>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</si>
  <si>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</si>
  <si>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</si>
  <si>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</si>
  <si>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</si>
  <si>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</si>
  <si>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</si>
  <si>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</si>
  <si>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</si>
  <si>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</si>
  <si>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</si>
  <si>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</si>
  <si>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</si>
  <si>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</si>
  <si>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</si>
  <si>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</si>
  <si>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</si>
  <si>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</si>
  <si>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</si>
  <si>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</si>
  <si>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</si>
  <si>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</si>
  <si>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</si>
  <si>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</si>
  <si>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</si>
  <si>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</si>
  <si>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</si>
  <si>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</si>
  <si>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</si>
  <si>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</si>
  <si>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</si>
  <si>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</si>
  <si>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</si>
  <si>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</si>
  <si>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</si>
  <si>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</si>
  <si>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</si>
  <si>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</si>
  <si>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</si>
  <si>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</si>
  <si>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</si>
  <si>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</si>
  <si>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</si>
  <si>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</si>
  <si>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</si>
  <si>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</si>
  <si>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</si>
  <si>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</si>
  <si>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</si>
  <si>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</si>
  <si>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</si>
  <si>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</si>
  <si>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</si>
  <si>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</si>
  <si>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</si>
  <si>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</si>
  <si>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</si>
  <si>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</si>
  <si>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</si>
  <si>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</si>
  <si>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</si>
  <si>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</si>
  <si>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</si>
  <si>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</si>
  <si>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</si>
  <si>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</si>
  <si>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</si>
  <si>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</si>
  <si>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</si>
  <si>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</si>
  <si>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</si>
  <si>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</si>
  <si>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</si>
  <si>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</si>
  <si>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</si>
  <si>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</si>
  <si>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</si>
  <si>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</si>
  <si>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</si>
  <si>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</si>
  <si>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</si>
  <si>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</si>
  <si>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</si>
  <si>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</si>
  <si>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</si>
  <si>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</si>
  <si>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</si>
  <si>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</si>
  <si>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</si>
  <si>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</si>
  <si>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</si>
  <si>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</si>
  <si>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</si>
  <si>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</si>
  <si>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</si>
  <si>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</si>
  <si>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</si>
  <si>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</si>
  <si>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</si>
  <si>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</si>
  <si>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</si>
  <si>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</si>
  <si>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</si>
  <si>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</si>
  <si>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</si>
  <si>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</si>
  <si>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</si>
  <si>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</si>
  <si>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</si>
  <si>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</si>
  <si>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</si>
  <si>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</si>
  <si>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</si>
  <si>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</si>
  <si>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</si>
  <si>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</si>
  <si>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</si>
  <si>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</si>
  <si>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</si>
  <si>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</si>
  <si>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</si>
  <si>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</si>
  <si>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</si>
  <si>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</si>
  <si>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</si>
  <si>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</si>
  <si>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</si>
  <si>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</si>
  <si>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</si>
  <si>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</si>
  <si>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</si>
  <si>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</si>
  <si>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</si>
  <si>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</si>
  <si>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</si>
  <si>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</si>
  <si>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</si>
  <si>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</si>
  <si>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</si>
  <si>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</si>
  <si>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</si>
  <si>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</si>
  <si>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</si>
  <si>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</si>
  <si>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</si>
  <si>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</si>
  <si>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</si>
  <si>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</si>
  <si>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</si>
  <si>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</si>
  <si>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</si>
  <si>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</si>
  <si>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</si>
  <si>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</si>
  <si>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</si>
  <si>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</si>
  <si>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</si>
  <si>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</si>
  <si>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</si>
  <si>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</si>
  <si>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</si>
  <si>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</si>
  <si>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</si>
  <si>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</si>
  <si>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</si>
  <si>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</si>
  <si>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</si>
  <si>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</si>
  <si>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</si>
  <si>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</si>
  <si>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</si>
  <si>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</si>
  <si>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</si>
  <si>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</si>
  <si>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</si>
  <si>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</si>
  <si>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</si>
  <si>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</si>
  <si>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</si>
  <si>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</si>
  <si>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</si>
  <si>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</si>
  <si>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</si>
  <si>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</si>
  <si>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</si>
  <si>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</si>
  <si>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</si>
  <si>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</si>
  <si>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</si>
  <si>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</si>
  <si>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</si>
  <si>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</si>
  <si>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</si>
  <si>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</si>
  <si>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</si>
  <si>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</si>
  <si>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</si>
  <si>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</si>
  <si>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</si>
  <si>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</si>
  <si>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</si>
  <si>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</si>
  <si>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</si>
  <si>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</si>
  <si>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</si>
  <si>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</si>
  <si>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</si>
  <si>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</si>
  <si>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</si>
  <si>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</si>
  <si>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</si>
  <si>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</si>
  <si>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</si>
  <si>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</si>
  <si>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</si>
  <si>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</si>
  <si>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</si>
  <si>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</si>
  <si>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</si>
  <si>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</si>
  <si>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</si>
  <si>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</si>
  <si>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</si>
  <si>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</si>
  <si>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</si>
  <si>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</si>
  <si>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</si>
  <si>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</si>
  <si>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</si>
  <si>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</si>
  <si>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</si>
  <si>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</si>
  <si>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</si>
  <si>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</si>
  <si>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</si>
  <si>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</si>
  <si>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</si>
  <si>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</si>
  <si>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</si>
  <si>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</si>
  <si>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</si>
  <si>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</si>
  <si>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</si>
  <si>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</si>
  <si>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</si>
  <si>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</si>
  <si>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</si>
  <si>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</si>
  <si>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</si>
  <si>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</si>
  <si>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</si>
  <si>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</si>
  <si>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</si>
  <si>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</si>
  <si>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</si>
  <si>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</si>
  <si>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</si>
  <si>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</si>
  <si>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</si>
  <si>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</si>
  <si>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</si>
  <si>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</si>
  <si>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</si>
  <si>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</si>
  <si>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</si>
  <si>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</si>
  <si>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</si>
  <si>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</si>
  <si>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</si>
  <si>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</si>
  <si>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</si>
  <si>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</si>
  <si>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</si>
  <si>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</si>
  <si>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</si>
  <si>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</si>
  <si>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</si>
  <si>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</si>
  <si>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</si>
  <si>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</si>
  <si>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</si>
  <si>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</si>
  <si>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</si>
  <si>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</si>
  <si>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</si>
  <si>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</si>
  <si>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</si>
  <si>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</si>
  <si>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</si>
  <si>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</si>
  <si>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</si>
  <si>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</si>
  <si>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</si>
  <si>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</si>
  <si>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</si>
  <si>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</si>
  <si>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</si>
  <si>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</si>
  <si>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</si>
  <si>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</si>
  <si>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</si>
  <si>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</si>
  <si>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</si>
  <si>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</si>
  <si>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</si>
  <si>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</si>
  <si>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</si>
  <si>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</si>
  <si>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</si>
  <si>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</si>
  <si>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</si>
  <si>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</si>
  <si>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</si>
  <si>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</si>
  <si>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</si>
  <si>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</si>
  <si>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</si>
  <si>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</si>
  <si>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</si>
  <si>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</si>
  <si>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</si>
  <si>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</si>
  <si>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</si>
  <si>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</si>
  <si>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</si>
  <si>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</si>
  <si>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</si>
  <si>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</si>
  <si>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</si>
  <si>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</si>
  <si>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</si>
  <si>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</si>
  <si>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</si>
  <si>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</si>
  <si>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</si>
  <si>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</si>
  <si>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</si>
  <si>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</si>
  <si>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</si>
  <si>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</si>
  <si>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</si>
  <si>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</si>
  <si>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</si>
  <si>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</si>
  <si>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</si>
  <si>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</si>
  <si>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</si>
  <si>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</si>
  <si>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</si>
  <si>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</si>
  <si>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</si>
  <si>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</si>
  <si>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</si>
  <si>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</si>
  <si>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</si>
  <si>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</si>
  <si>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</si>
  <si>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</si>
  <si>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</si>
  <si>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</si>
  <si>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</si>
  <si>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</si>
  <si>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</si>
  <si>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</si>
  <si>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</si>
  <si>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</si>
  <si>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</si>
  <si>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</si>
  <si>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</si>
  <si>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</si>
  <si>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</si>
  <si>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</si>
  <si>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</si>
  <si>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</si>
  <si>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</si>
  <si>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</si>
  <si>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</si>
  <si>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</si>
  <si>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</si>
  <si>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</si>
  <si>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</si>
  <si>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</si>
  <si>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</si>
  <si>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</si>
  <si>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</si>
  <si>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</si>
  <si>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</si>
  <si>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</si>
  <si>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</si>
  <si>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</si>
  <si>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</si>
  <si>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</si>
  <si>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</si>
  <si>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</si>
  <si>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</si>
  <si>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</si>
  <si>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</si>
  <si>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</si>
  <si>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</si>
  <si>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</si>
  <si>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</si>
  <si>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</si>
  <si>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</si>
  <si>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</si>
  <si>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</si>
  <si>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</si>
  <si>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</si>
  <si>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</si>
  <si>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</si>
  <si>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</si>
  <si>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</si>
  <si>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</si>
  <si>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</si>
  <si>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</si>
  <si>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</si>
  <si>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</si>
  <si>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</si>
  <si>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</si>
  <si>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</si>
  <si>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</si>
  <si>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</si>
  <si>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</si>
  <si>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</si>
  <si>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</si>
  <si>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</si>
  <si>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</si>
  <si>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</si>
  <si>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</si>
  <si>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</si>
  <si>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</si>
  <si>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</si>
  <si>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</si>
  <si>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</si>
  <si>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</si>
  <si>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</si>
  <si>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</si>
  <si>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</si>
  <si>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</si>
  <si>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</si>
  <si>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</si>
  <si>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</si>
  <si>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</si>
  <si>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</si>
  <si>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</si>
  <si>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</si>
  <si>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</si>
  <si>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</si>
  <si>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</si>
  <si>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</si>
  <si>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</si>
  <si>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</si>
  <si>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</si>
  <si>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</si>
  <si>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</si>
  <si>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</si>
  <si>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</si>
  <si>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</si>
  <si>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</si>
  <si>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</si>
  <si>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</si>
  <si>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</si>
  <si>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</si>
  <si>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</si>
  <si>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</si>
  <si>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</si>
  <si>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</si>
  <si>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</si>
  <si>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</si>
  <si>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</si>
  <si>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</si>
  <si>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</si>
  <si>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</si>
  <si>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</si>
  <si>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</si>
  <si>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</si>
  <si>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</si>
  <si>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</si>
  <si>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</si>
  <si>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</si>
  <si>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</si>
  <si>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</si>
  <si>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</si>
  <si>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</si>
  <si>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</si>
  <si>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</si>
  <si>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</si>
  <si>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</si>
  <si>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</si>
  <si>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</si>
  <si>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</si>
  <si>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</si>
  <si>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</si>
  <si>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</si>
  <si>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</si>
  <si>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</si>
  <si>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</si>
  <si>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</si>
  <si>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</si>
  <si>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</si>
  <si>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</si>
  <si>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</si>
  <si>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</si>
  <si>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</si>
  <si>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</si>
  <si>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</si>
  <si>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</si>
  <si>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</si>
  <si>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</si>
  <si>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</si>
  <si>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</si>
  <si>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</si>
  <si>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</si>
  <si>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</si>
  <si>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</si>
  <si>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</si>
  <si>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</si>
  <si>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</si>
  <si>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</si>
  <si>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</si>
  <si>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</si>
  <si>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</si>
  <si>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</si>
  <si>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</si>
  <si>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</si>
  <si>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</si>
  <si>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</si>
  <si>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</si>
  <si>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</si>
  <si>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</si>
  <si>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</si>
  <si>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</si>
  <si>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</si>
  <si>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</si>
  <si>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</si>
  <si>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</si>
  <si>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</si>
  <si>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</si>
  <si>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</si>
  <si>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</si>
  <si>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</si>
  <si>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</si>
  <si>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</si>
  <si>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</si>
  <si>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</si>
  <si>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</si>
  <si>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</si>
  <si>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</si>
  <si>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</si>
  <si>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</si>
  <si>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</si>
  <si>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</si>
  <si>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</si>
  <si>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</si>
  <si>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</si>
  <si>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</si>
  <si>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</si>
  <si>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</si>
  <si>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</si>
  <si>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</si>
  <si>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</si>
  <si>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</si>
  <si>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</si>
  <si>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</si>
  <si>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</si>
  <si>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</si>
  <si>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</si>
  <si>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</si>
  <si>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</si>
  <si>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</si>
  <si>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</si>
  <si>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</si>
  <si>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</si>
  <si>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</si>
  <si>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</si>
  <si>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</si>
  <si>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</si>
  <si>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</si>
  <si>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</si>
  <si>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</si>
  <si>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</si>
  <si>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</si>
  <si>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</si>
  <si>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</si>
  <si>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</si>
  <si>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</si>
  <si>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</si>
  <si>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</si>
  <si>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</si>
  <si>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</si>
  <si>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</si>
  <si>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</si>
  <si>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</si>
  <si>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</si>
  <si>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</si>
  <si>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</si>
  <si>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</si>
  <si>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</si>
  <si>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</si>
  <si>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</si>
  <si>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</si>
  <si>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</si>
  <si>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</si>
  <si>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</si>
  <si>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</si>
  <si>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</si>
  <si>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</si>
  <si>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</si>
  <si>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</si>
  <si>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</si>
  <si>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</si>
  <si>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</si>
  <si>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</si>
  <si>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</si>
  <si>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</si>
  <si>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</si>
  <si>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</si>
  <si>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</si>
  <si>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</si>
  <si>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</si>
  <si>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</si>
  <si>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</si>
  <si>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</si>
  <si>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</si>
  <si>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</si>
  <si>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</si>
  <si>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</si>
  <si>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</si>
  <si>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</si>
  <si>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</si>
  <si>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</si>
  <si>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</si>
  <si>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</si>
  <si>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</si>
  <si>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</si>
  <si>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</si>
  <si>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</si>
  <si>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</si>
  <si>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</si>
  <si>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</si>
  <si>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</si>
  <si>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</si>
  <si>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</si>
  <si>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</si>
  <si>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</si>
  <si>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</si>
  <si>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</si>
  <si>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</si>
  <si>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</si>
  <si>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</si>
  <si>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</si>
  <si>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</si>
  <si>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</si>
  <si>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</si>
  <si>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</si>
  <si>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</si>
  <si>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</si>
  <si>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</si>
  <si>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</si>
  <si>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</si>
  <si>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</si>
  <si>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</si>
  <si>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</si>
  <si>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</si>
  <si>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</si>
  <si>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</si>
  <si>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</si>
  <si>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</si>
  <si>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</si>
  <si>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</si>
  <si>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</si>
  <si>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</si>
  <si>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</si>
  <si>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</si>
  <si>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</si>
  <si>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</si>
  <si>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</si>
  <si>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</si>
  <si>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</si>
  <si>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</si>
  <si>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</si>
  <si>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</si>
  <si>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</si>
  <si>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</si>
  <si>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</si>
  <si>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</si>
  <si>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</si>
  <si>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</si>
  <si>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</si>
  <si>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</si>
  <si>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</si>
  <si>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</si>
  <si>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</si>
  <si>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</si>
  <si>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</si>
  <si>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</si>
  <si>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</si>
  <si>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</si>
  <si>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</si>
  <si>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</si>
  <si>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</si>
  <si>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</si>
  <si>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</si>
  <si>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</si>
  <si>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</si>
  <si>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</si>
  <si>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</si>
  <si>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</si>
  <si>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</si>
  <si>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</si>
  <si>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</si>
  <si>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</si>
  <si>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</si>
  <si>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</si>
  <si>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</si>
  <si>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</si>
  <si>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</si>
  <si>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</si>
  <si>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</si>
  <si>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</si>
  <si>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</si>
  <si>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</si>
  <si>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</si>
  <si>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</si>
  <si>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</si>
  <si>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</si>
  <si>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</si>
  <si>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</si>
  <si>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</si>
  <si>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</si>
  <si>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</si>
  <si>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</si>
  <si>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</si>
  <si>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</si>
  <si>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</si>
  <si>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</si>
  <si>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</si>
  <si>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</si>
  <si>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</si>
  <si>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</si>
  <si>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</si>
  <si>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</si>
  <si>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</si>
  <si>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</si>
  <si>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</si>
  <si>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</si>
  <si>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</si>
  <si>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</si>
  <si>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</si>
  <si>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</si>
  <si>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</si>
  <si>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</si>
  <si>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</si>
  <si>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</si>
  <si>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</si>
  <si>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</si>
  <si>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</si>
  <si>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</si>
  <si>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</si>
  <si>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</si>
  <si>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</si>
  <si>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</si>
  <si>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</si>
  <si>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</si>
  <si>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</si>
  <si>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</si>
  <si>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</si>
  <si>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</si>
  <si>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</si>
  <si>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</si>
  <si>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</si>
  <si>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</si>
  <si>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</si>
  <si>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</si>
  <si>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</si>
  <si>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</si>
  <si>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</si>
  <si>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</si>
  <si>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</si>
  <si>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</si>
  <si>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</si>
  <si>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</si>
  <si>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</si>
  <si>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</si>
  <si>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</si>
  <si>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</si>
  <si>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</si>
  <si>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</si>
  <si>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</si>
  <si>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</si>
  <si>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</si>
  <si>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</si>
  <si>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</si>
  <si>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</si>
  <si>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</si>
  <si>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</si>
  <si>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</si>
  <si>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</si>
  <si>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</si>
  <si>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</si>
  <si>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</si>
  <si>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</si>
  <si>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</si>
  <si>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</si>
  <si>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</si>
  <si>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</si>
  <si>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</si>
  <si>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</si>
  <si>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</si>
  <si>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</si>
  <si>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</si>
  <si>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</si>
  <si>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</si>
  <si>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</si>
  <si>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</si>
  <si>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</si>
  <si>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</si>
  <si>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</si>
  <si>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</si>
  <si>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</si>
  <si>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</si>
  <si>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</si>
  <si>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</si>
  <si>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</si>
  <si>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</si>
  <si>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</si>
  <si>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</si>
  <si>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</si>
  <si>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</si>
  <si>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</si>
  <si>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</si>
  <si>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</si>
  <si>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</si>
  <si>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</si>
  <si>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</si>
  <si>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</si>
  <si>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</si>
  <si>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</si>
  <si>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</si>
  <si>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</si>
  <si>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</si>
  <si>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</si>
  <si>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</si>
  <si>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</si>
  <si>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</si>
  <si>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</si>
  <si>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</si>
  <si>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</si>
  <si>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</si>
  <si>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</si>
  <si>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</si>
  <si>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</si>
  <si>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</si>
  <si>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</si>
  <si>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</si>
  <si>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</si>
  <si>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</si>
  <si>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</si>
  <si>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</si>
  <si>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</si>
  <si>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</si>
  <si>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</si>
  <si>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</si>
  <si>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</si>
  <si>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</si>
  <si>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</si>
  <si>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</si>
  <si>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</si>
  <si>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</si>
  <si>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</si>
  <si>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</si>
  <si>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</si>
  <si>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</si>
  <si>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</si>
  <si>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</si>
  <si>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</si>
  <si>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</si>
  <si>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</si>
  <si>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</si>
  <si>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</si>
  <si>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</si>
  <si>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</si>
  <si>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</si>
  <si>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</si>
  <si>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</si>
  <si>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</si>
  <si>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</si>
  <si>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</si>
  <si>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</si>
  <si>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</si>
  <si>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</si>
  <si>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</si>
  <si>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</si>
  <si>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</si>
  <si>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</si>
  <si>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</si>
  <si>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</si>
  <si>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</si>
  <si>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</si>
  <si>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</si>
  <si>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</si>
  <si>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</si>
  <si>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</si>
  <si>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</si>
  <si>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</si>
  <si>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</si>
  <si>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</si>
  <si>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</si>
  <si>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</si>
  <si>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</si>
  <si>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</si>
  <si>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</si>
  <si>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</si>
  <si>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</si>
  <si>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</si>
  <si>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</si>
  <si>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</si>
  <si>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</si>
  <si>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</si>
  <si>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</si>
  <si>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</si>
  <si>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</si>
  <si>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</si>
  <si>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</si>
  <si>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</si>
  <si>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</si>
  <si>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</si>
  <si>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</si>
  <si>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</si>
  <si>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</si>
  <si>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</si>
  <si>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</si>
  <si>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</si>
  <si>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</si>
  <si>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</si>
  <si>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</si>
  <si>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</si>
  <si>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</si>
  <si>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</si>
  <si>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</si>
  <si>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</si>
  <si>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</si>
  <si>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</si>
  <si>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</si>
  <si>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</si>
  <si>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</si>
  <si>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</si>
  <si>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</si>
  <si>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</si>
  <si>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</si>
  <si>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</si>
  <si>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</si>
  <si>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</si>
  <si>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</si>
  <si>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</si>
  <si>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</si>
  <si>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</si>
  <si>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</si>
  <si>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</si>
  <si>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</si>
  <si>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</si>
  <si>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</si>
  <si>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</si>
  <si>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</si>
  <si>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</si>
  <si>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</si>
  <si>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</si>
  <si>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</si>
  <si>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</si>
  <si>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</si>
  <si>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</si>
  <si>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</si>
  <si>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</si>
  <si>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</si>
  <si>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</si>
  <si>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</si>
  <si>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</si>
  <si>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</si>
  <si>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</si>
  <si>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</si>
  <si>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</si>
  <si>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</si>
  <si>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</si>
  <si>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</si>
  <si>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</si>
  <si>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</si>
  <si>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</si>
  <si>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</si>
  <si>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</si>
  <si>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</si>
  <si>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</si>
  <si>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</si>
  <si>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</si>
  <si>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</si>
  <si>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</si>
  <si>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</si>
  <si>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</si>
  <si>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</si>
  <si>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</si>
  <si>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</si>
  <si>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</si>
  <si>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</si>
  <si>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</si>
  <si>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</si>
  <si>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</si>
  <si>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</si>
  <si>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</si>
  <si>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</si>
  <si>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</si>
  <si>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</si>
  <si>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</si>
  <si>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</si>
  <si>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</si>
  <si>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</si>
  <si>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</si>
  <si>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</si>
  <si>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</si>
  <si>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</si>
  <si>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</si>
  <si>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</si>
  <si>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</si>
  <si>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</si>
  <si>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</si>
  <si>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</si>
  <si>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</si>
  <si>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</si>
  <si>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</si>
  <si>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</si>
  <si>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</si>
  <si>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</si>
  <si>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</si>
  <si>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</si>
  <si>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</si>
  <si>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</si>
  <si>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</si>
  <si>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</si>
  <si>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</si>
  <si>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</si>
  <si>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</si>
  <si>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</si>
  <si>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</si>
  <si>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</si>
  <si>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</si>
  <si>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</si>
  <si>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</si>
  <si>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</si>
  <si>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</si>
  <si>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</si>
  <si>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</si>
  <si>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</si>
  <si>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</si>
  <si>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</si>
  <si>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</si>
  <si>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</si>
  <si>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</si>
  <si>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</si>
  <si>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</si>
  <si>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</si>
  <si>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</si>
  <si>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</si>
  <si>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</si>
  <si>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</si>
  <si>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</si>
  <si>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</si>
  <si>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</si>
  <si>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</si>
  <si>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</si>
  <si>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</si>
  <si>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</si>
  <si>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</si>
  <si>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</si>
  <si>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</si>
  <si>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</si>
  <si>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</si>
  <si>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</si>
  <si>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</si>
  <si>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</si>
  <si>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</si>
  <si>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</si>
  <si>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</si>
  <si>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</si>
  <si>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</si>
  <si>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</si>
  <si>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</si>
  <si>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</si>
  <si>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</si>
  <si>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</si>
  <si>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</si>
  <si>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</si>
  <si>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</si>
  <si>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</si>
  <si>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</si>
  <si>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</si>
  <si>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</si>
  <si>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</si>
  <si>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</si>
  <si>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</si>
  <si>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</si>
  <si>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</si>
  <si>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</si>
  <si>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</si>
  <si>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</si>
  <si>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</si>
  <si>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</si>
  <si>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</si>
  <si>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</si>
  <si>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</si>
  <si>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</si>
  <si>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</si>
  <si>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</si>
  <si>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</si>
  <si>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</si>
  <si>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</si>
  <si>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</si>
  <si>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</si>
  <si>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</si>
  <si>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</si>
  <si>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</si>
  <si>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</si>
  <si>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</si>
  <si>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</si>
  <si>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</si>
  <si>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</si>
  <si>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</si>
  <si>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</si>
  <si>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</si>
  <si>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</si>
  <si>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</si>
  <si>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</si>
  <si>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</si>
  <si>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</si>
  <si>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</si>
  <si>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</si>
  <si>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</si>
  <si>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</si>
  <si>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</si>
  <si>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</si>
  <si>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</si>
  <si>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</si>
  <si>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</si>
  <si>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</si>
  <si>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</si>
  <si>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</si>
  <si>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</si>
  <si>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</si>
  <si>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</si>
  <si>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</si>
  <si>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</si>
  <si>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</si>
  <si>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</si>
  <si>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</si>
  <si>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</si>
  <si>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</si>
  <si>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</si>
  <si>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</si>
  <si>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</si>
  <si>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</si>
  <si>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</si>
  <si>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</si>
  <si>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</si>
  <si>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</si>
  <si>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</si>
  <si>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</si>
  <si>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</si>
  <si>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</si>
  <si>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</si>
  <si>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</si>
  <si>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</si>
  <si>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</si>
  <si>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</si>
  <si>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</si>
  <si>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</si>
  <si>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</si>
  <si>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</si>
  <si>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</si>
  <si>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</si>
  <si>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</si>
  <si>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</si>
  <si>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</si>
  <si>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</si>
  <si>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</si>
  <si>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</si>
  <si>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</si>
  <si>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</si>
  <si>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</si>
  <si>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</si>
  <si>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</si>
  <si>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</si>
  <si>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</si>
  <si>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</si>
  <si>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</si>
  <si>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</si>
  <si>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</si>
  <si>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</si>
  <si>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</si>
  <si>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</si>
  <si>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</si>
  <si>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</si>
  <si>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</si>
  <si>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</si>
  <si>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</si>
  <si>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</si>
  <si>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</si>
  <si>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</si>
  <si>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</si>
  <si>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</si>
  <si>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</si>
  <si>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</si>
  <si>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</si>
  <si>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</si>
  <si>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</si>
  <si>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</si>
  <si>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</si>
  <si>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</si>
  <si>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</si>
  <si>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</si>
  <si>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</si>
  <si>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</si>
  <si>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</si>
  <si>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</si>
  <si>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</si>
  <si>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</si>
  <si>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</si>
  <si>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</si>
  <si>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</si>
  <si>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</si>
  <si>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</si>
  <si>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</si>
  <si>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</si>
  <si>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</si>
  <si>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</si>
  <si>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</si>
  <si>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</si>
  <si>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</si>
  <si>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</si>
  <si>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</si>
  <si>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</si>
  <si>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</si>
  <si>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</si>
  <si>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</si>
  <si>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</si>
  <si>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</si>
  <si>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</si>
  <si>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</si>
  <si>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</si>
  <si>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</si>
  <si>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</si>
  <si>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</si>
  <si>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</si>
  <si>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</si>
  <si>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</si>
  <si>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</si>
  <si>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</si>
  <si>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</si>
  <si>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</si>
  <si>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</si>
  <si>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</si>
  <si>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</si>
  <si>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</si>
  <si>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</si>
  <si>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</si>
  <si>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</si>
  <si>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</si>
  <si>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</si>
  <si>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</si>
  <si>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</si>
  <si>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</si>
  <si>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</si>
  <si>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</si>
  <si>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</si>
  <si>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</si>
  <si>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</si>
  <si>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</si>
  <si>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</si>
  <si>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</si>
  <si>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</si>
  <si>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</si>
  <si>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</si>
  <si>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</si>
  <si>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</si>
  <si>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</si>
  <si>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</si>
  <si>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</si>
  <si>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</si>
  <si>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</si>
  <si>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</si>
  <si>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</si>
  <si>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</si>
  <si>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</si>
  <si>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</si>
  <si>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</si>
  <si>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</si>
  <si>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</si>
  <si>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</si>
  <si>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</si>
  <si>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</si>
  <si>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</si>
  <si>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</si>
  <si>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</si>
  <si>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</si>
  <si>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</si>
  <si>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</si>
  <si>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</si>
  <si>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</si>
  <si>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</si>
  <si>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</si>
  <si>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</si>
  <si>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</si>
  <si>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</si>
  <si>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</si>
  <si>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</si>
  <si>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</si>
  <si>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</si>
  <si>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</si>
  <si>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</si>
  <si>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</si>
  <si>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</si>
  <si>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</si>
  <si>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</si>
  <si>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</si>
  <si>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</si>
  <si>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</si>
  <si>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</si>
  <si>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</si>
  <si>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</si>
  <si>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</si>
  <si>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</si>
  <si>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</si>
  <si>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</si>
  <si>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</si>
  <si>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</si>
  <si>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</si>
  <si>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</si>
  <si>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</si>
  <si>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</si>
  <si>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</si>
  <si>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</si>
  <si>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</si>
  <si>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</si>
  <si>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</si>
  <si>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</si>
  <si>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</si>
  <si>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</si>
  <si>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</si>
  <si>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</si>
  <si>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</si>
  <si>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</si>
  <si>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</si>
  <si>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</si>
  <si>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</si>
  <si>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</si>
  <si>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</si>
  <si>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</si>
  <si>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</si>
  <si>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</si>
  <si>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</si>
  <si>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</si>
  <si>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</si>
  <si>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</si>
  <si>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</si>
  <si>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</si>
  <si>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</si>
  <si>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</si>
  <si>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</si>
  <si>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</si>
  <si>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</si>
  <si>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</si>
  <si>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</si>
  <si>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</si>
  <si>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</si>
  <si>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</si>
  <si>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</si>
  <si>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</si>
  <si>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</si>
  <si>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</si>
  <si>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</si>
  <si>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</si>
  <si>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</si>
  <si>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</si>
  <si>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</si>
  <si>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</si>
  <si>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</si>
  <si>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</si>
  <si>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</si>
  <si>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</si>
  <si>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</si>
  <si>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</si>
  <si>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</si>
  <si>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</si>
  <si>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</si>
  <si>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</si>
  <si>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</si>
  <si>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</si>
  <si>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</si>
  <si>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</si>
  <si>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</si>
  <si>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</si>
  <si>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</si>
  <si>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</si>
  <si>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</si>
  <si>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</si>
  <si>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</si>
  <si>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</si>
  <si>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</si>
  <si>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</si>
  <si>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</si>
  <si>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</si>
  <si>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</si>
  <si>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</si>
  <si>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</si>
  <si>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</si>
  <si>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</si>
  <si>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</si>
  <si>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</si>
  <si>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</si>
  <si>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</si>
  <si>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</si>
  <si>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</si>
  <si>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</si>
  <si>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</si>
  <si>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</si>
  <si>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</si>
  <si>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</si>
  <si>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</si>
  <si>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</si>
  <si>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</si>
  <si>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</si>
  <si>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</si>
  <si>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</si>
  <si>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</si>
  <si>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</si>
  <si>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</si>
  <si>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</si>
  <si>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</si>
  <si>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</si>
  <si>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</si>
  <si>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</si>
  <si>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</si>
  <si>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</si>
  <si>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</si>
  <si>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</si>
  <si>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</si>
  <si>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</si>
  <si>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</si>
  <si>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</si>
  <si>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</si>
  <si>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</si>
  <si>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</si>
  <si>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</si>
  <si>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</si>
  <si>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</si>
  <si>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</si>
  <si>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</si>
  <si>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</si>
  <si>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</si>
  <si>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</si>
  <si>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</si>
  <si>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</si>
  <si>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</si>
  <si>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</si>
  <si>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</si>
  <si>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</si>
  <si>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</si>
  <si>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</si>
  <si>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</si>
  <si>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</si>
  <si>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</si>
  <si>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</si>
  <si>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</si>
  <si>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</si>
  <si>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</si>
  <si>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</si>
  <si>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</si>
  <si>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</si>
  <si>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</si>
  <si>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</si>
  <si>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</si>
  <si>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</si>
  <si>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</si>
  <si>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</si>
  <si>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</si>
  <si>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</si>
  <si>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</si>
  <si>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</si>
  <si>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</si>
  <si>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</si>
  <si>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</si>
  <si>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</si>
  <si>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</si>
  <si>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</si>
  <si>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</si>
  <si>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</si>
  <si>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</si>
  <si>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</si>
  <si>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</si>
  <si>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</si>
  <si>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</si>
  <si>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</si>
  <si>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</si>
  <si>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</si>
  <si>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</si>
  <si>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</si>
  <si>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</si>
  <si>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</si>
  <si>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</si>
  <si>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</si>
  <si>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</si>
  <si>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</si>
  <si>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</si>
  <si>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</si>
  <si>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</si>
  <si>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</si>
  <si>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</si>
  <si>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</si>
  <si>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</si>
  <si>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</si>
  <si>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</si>
  <si>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</si>
  <si>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</si>
  <si>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</si>
  <si>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</si>
  <si>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</si>
  <si>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</si>
  <si>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</si>
  <si>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</si>
  <si>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</si>
  <si>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</si>
  <si>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</si>
  <si>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</si>
  <si>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</si>
  <si>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</si>
  <si>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</si>
  <si>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</si>
  <si>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</si>
  <si>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</si>
  <si>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</si>
  <si>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</si>
  <si>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</si>
  <si>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</si>
  <si>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</si>
  <si>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</si>
  <si>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</si>
  <si>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</si>
  <si>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</si>
  <si>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</si>
  <si>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</si>
  <si>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</si>
  <si>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</si>
  <si>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</si>
  <si>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</si>
  <si>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</si>
  <si>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</si>
  <si>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</si>
  <si>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</si>
  <si>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</si>
  <si>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</si>
  <si>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</si>
  <si>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</si>
  <si>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</si>
  <si>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</si>
  <si>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</si>
  <si>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</si>
  <si>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</si>
  <si>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</si>
  <si>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</si>
  <si>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</si>
  <si>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</si>
  <si>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</si>
  <si>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</si>
  <si>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</si>
  <si>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</si>
  <si>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</si>
  <si>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</si>
  <si>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</si>
  <si>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</si>
  <si>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</si>
  <si>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</si>
  <si>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</si>
  <si>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</si>
  <si>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</si>
  <si>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</si>
  <si>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</si>
  <si>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</si>
  <si>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</si>
  <si>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</si>
  <si>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</si>
  <si>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</si>
  <si>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</si>
  <si>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</si>
  <si>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</si>
  <si>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</si>
  <si>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</si>
  <si>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</si>
  <si>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</si>
  <si>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</si>
  <si>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</si>
  <si>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</si>
  <si>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</si>
  <si>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</si>
  <si>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</si>
  <si>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</si>
  <si>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</si>
  <si>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</si>
  <si>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</si>
  <si>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</si>
  <si>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</si>
  <si>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</si>
  <si>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</si>
  <si>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</si>
  <si>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</si>
  <si>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</si>
  <si>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</si>
  <si>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</si>
  <si>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</si>
  <si>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</si>
  <si>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</si>
  <si>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</si>
  <si>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</si>
  <si>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</si>
  <si>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</si>
  <si>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</si>
  <si>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</si>
  <si>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</si>
  <si>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</si>
  <si>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</si>
  <si>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</si>
  <si>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</si>
  <si>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</si>
  <si>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</si>
  <si>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</si>
  <si>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</si>
  <si>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</si>
  <si>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</si>
  <si>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</si>
  <si>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</si>
  <si>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</si>
  <si>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</si>
  <si>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</si>
  <si>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</si>
  <si>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</si>
  <si>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</si>
  <si>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</si>
  <si>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</si>
  <si>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</si>
  <si>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</si>
  <si>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</si>
  <si>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</si>
  <si>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</si>
  <si>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</si>
  <si>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</si>
  <si>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</si>
  <si>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</si>
  <si>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</si>
  <si>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</si>
  <si>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</si>
  <si>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</si>
  <si>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</si>
  <si>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</si>
  <si>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</si>
  <si>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</si>
  <si>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</si>
  <si>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</si>
  <si>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</si>
  <si>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</si>
  <si>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</si>
  <si>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</si>
  <si>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</si>
  <si>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</si>
  <si>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</si>
  <si>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</si>
  <si>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</si>
  <si>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</si>
  <si>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</si>
  <si>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</si>
  <si>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</si>
  <si>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</si>
  <si>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</si>
  <si>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</si>
  <si>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</si>
  <si>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</si>
  <si>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</si>
  <si>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</si>
  <si>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</si>
  <si>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</si>
  <si>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</si>
  <si>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</si>
  <si>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</si>
  <si>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</si>
  <si>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</si>
  <si>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</si>
  <si>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</si>
  <si>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</si>
  <si>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</si>
  <si>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</si>
  <si>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</si>
  <si>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</si>
  <si>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</si>
  <si>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</si>
  <si>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</si>
  <si>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</si>
  <si>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</si>
  <si>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</si>
  <si>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</si>
  <si>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</si>
  <si>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</si>
  <si>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</si>
  <si>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</si>
  <si>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</si>
  <si>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</si>
  <si>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</si>
  <si>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</si>
  <si>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</si>
  <si>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</si>
  <si>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</si>
  <si>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</si>
  <si>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</si>
  <si>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</si>
  <si>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</si>
  <si>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</si>
  <si>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</si>
  <si>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</si>
  <si>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</si>
  <si>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</si>
  <si>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</si>
  <si>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</si>
  <si>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</si>
  <si>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</si>
  <si>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</si>
  <si>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</si>
  <si>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</si>
  <si>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</si>
  <si>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</si>
  <si>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</si>
  <si>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</si>
  <si>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</si>
  <si>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</si>
  <si>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</si>
  <si>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</si>
  <si>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</si>
  <si>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</si>
  <si>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</si>
  <si>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</si>
  <si>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</si>
  <si>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</si>
  <si>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</si>
  <si>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</si>
  <si>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</si>
  <si>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</si>
  <si>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</si>
  <si>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</si>
  <si>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</si>
  <si>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</si>
  <si>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</si>
  <si>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</si>
  <si>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</si>
  <si>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</si>
  <si>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</si>
  <si>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</si>
  <si>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</si>
  <si>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</si>
  <si>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</si>
  <si>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</si>
  <si>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</si>
  <si>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</si>
  <si>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</si>
  <si>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</si>
  <si>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</si>
  <si>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</si>
  <si>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</si>
  <si>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</si>
  <si>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</si>
  <si>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</si>
  <si>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</si>
  <si>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</si>
  <si>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</si>
  <si>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</si>
  <si>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</si>
  <si>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</si>
  <si>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</si>
  <si>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</si>
  <si>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</si>
  <si>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</si>
  <si>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</si>
  <si>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</si>
  <si>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</si>
  <si>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</si>
  <si>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</si>
  <si>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</si>
  <si>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</si>
  <si>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</si>
  <si>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</si>
  <si>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</si>
  <si>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</si>
  <si>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</si>
  <si>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</si>
  <si>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</si>
  <si>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</si>
  <si>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</si>
  <si>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</si>
  <si>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</si>
  <si>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</si>
  <si>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</si>
  <si>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</si>
  <si>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</si>
  <si>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</si>
  <si>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</si>
  <si>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</si>
  <si>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</si>
  <si>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</si>
  <si>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</si>
  <si>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</si>
  <si>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</si>
  <si>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</si>
  <si>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</si>
  <si>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</si>
  <si>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</si>
  <si>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</si>
  <si>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</si>
  <si>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</si>
  <si>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</si>
  <si>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</si>
  <si>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</si>
  <si>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</si>
  <si>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</si>
  <si>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</si>
  <si>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</si>
  <si>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</si>
  <si>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</si>
  <si>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</si>
  <si>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</si>
  <si>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</si>
  <si>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</si>
  <si>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</si>
  <si>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</si>
  <si>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</si>
  <si>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</si>
  <si>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</si>
  <si>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</si>
  <si>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</si>
  <si>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</si>
  <si>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</si>
  <si>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</si>
  <si>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</si>
  <si>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</si>
  <si>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</si>
  <si>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</si>
  <si>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</si>
  <si>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</si>
  <si>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</si>
  <si>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</si>
  <si>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</si>
  <si>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</si>
  <si>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</si>
  <si>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</si>
  <si>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</si>
  <si>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</si>
  <si>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</si>
  <si>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</si>
  <si>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</si>
  <si>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</si>
  <si>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</si>
  <si>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</si>
  <si>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</si>
  <si>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</si>
  <si>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</si>
  <si>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</si>
  <si>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</si>
  <si>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</si>
  <si>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</si>
  <si>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</si>
  <si>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</si>
  <si>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</si>
  <si>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</si>
  <si>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</si>
  <si>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</si>
  <si>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</si>
  <si>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</si>
  <si>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</si>
  <si>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</si>
  <si>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</si>
  <si>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</si>
  <si>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</si>
  <si>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</si>
  <si>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</si>
  <si>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</si>
  <si>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</si>
  <si>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</si>
  <si>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</si>
  <si>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</si>
  <si>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</si>
  <si>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</si>
  <si>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</si>
  <si>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</si>
  <si>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</si>
  <si>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</si>
  <si>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</si>
  <si>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</si>
  <si>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</si>
  <si>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</si>
  <si>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</si>
  <si>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</si>
  <si>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</si>
  <si>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</si>
  <si>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</si>
  <si>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</si>
  <si>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</si>
  <si>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</si>
  <si>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</si>
  <si>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</si>
  <si>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</si>
  <si>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</si>
  <si>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</si>
  <si>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</si>
  <si>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</si>
  <si>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</si>
  <si>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</si>
  <si>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</si>
  <si>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</si>
  <si>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</si>
  <si>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</si>
  <si>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</si>
  <si>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</si>
  <si>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</si>
  <si>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</si>
  <si>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</si>
  <si>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</si>
  <si>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</si>
  <si>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</si>
  <si>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</si>
  <si>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</si>
  <si>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</si>
  <si>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</si>
  <si>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</si>
  <si>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</si>
  <si>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</si>
  <si>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</si>
  <si>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</si>
  <si>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</si>
  <si>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</si>
  <si>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</si>
  <si>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</si>
  <si>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</si>
  <si>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</si>
  <si>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</si>
  <si>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</si>
  <si>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</si>
  <si>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</si>
  <si>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</si>
  <si>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</si>
  <si>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</si>
  <si>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</si>
  <si>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</si>
  <si>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</si>
  <si>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</si>
  <si>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</si>
  <si>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</si>
  <si>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</si>
  <si>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</si>
  <si>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</si>
  <si>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</si>
  <si>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</si>
  <si>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</si>
  <si>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</si>
  <si>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</si>
  <si>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</si>
  <si>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</si>
  <si>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</si>
  <si>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</si>
  <si>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</si>
  <si>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</si>
  <si>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</si>
  <si>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</si>
  <si>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</si>
  <si>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</si>
  <si>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</si>
  <si>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</si>
  <si>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</si>
  <si>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</si>
  <si>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</si>
  <si>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</si>
  <si>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</si>
  <si>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</si>
  <si>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</si>
  <si>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</si>
  <si>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</si>
  <si>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</si>
  <si>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</si>
  <si>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</si>
  <si>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</si>
  <si>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</si>
  <si>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</si>
  <si>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</si>
  <si>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</si>
  <si>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</si>
  <si>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</si>
  <si>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</si>
  <si>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</si>
  <si>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</si>
  <si>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</si>
  <si>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</si>
  <si>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</si>
  <si>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</si>
  <si>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</si>
  <si>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</si>
  <si>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</si>
  <si>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</si>
  <si>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</si>
  <si>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</si>
  <si>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</si>
  <si>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</si>
  <si>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</si>
  <si>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</si>
  <si>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</si>
  <si>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</si>
  <si>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</si>
  <si>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</si>
  <si>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</si>
  <si>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</si>
  <si>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</si>
  <si>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</si>
  <si>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</si>
  <si>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</si>
  <si>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</si>
  <si>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</si>
  <si>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</si>
  <si>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</si>
  <si>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</si>
  <si>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</si>
  <si>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</si>
  <si>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</si>
  <si>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</si>
  <si>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</si>
  <si>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</si>
  <si>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</si>
  <si>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</si>
  <si>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</si>
  <si>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</si>
  <si>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</si>
  <si>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</si>
  <si>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</si>
  <si>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</si>
  <si>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</si>
  <si>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</si>
  <si>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</si>
  <si>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</si>
  <si>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</si>
  <si>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</si>
  <si>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</si>
  <si>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</si>
  <si>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</si>
  <si>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</si>
  <si>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</si>
  <si>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</si>
  <si>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</si>
  <si>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</si>
  <si>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</si>
  <si>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</si>
  <si>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</si>
  <si>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</si>
  <si>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</si>
  <si>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</si>
  <si>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</si>
  <si>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</si>
  <si>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</si>
  <si>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</si>
  <si>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</si>
  <si>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</si>
  <si>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</si>
  <si>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</si>
  <si>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</si>
  <si>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</si>
  <si>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</si>
  <si>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</si>
  <si>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</si>
  <si>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</si>
  <si>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</si>
  <si>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</si>
  <si>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</si>
  <si>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</si>
  <si>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</si>
  <si>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</si>
  <si>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</si>
  <si>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</si>
  <si>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</si>
  <si>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</si>
  <si>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</si>
  <si>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</si>
  <si>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</si>
  <si>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</si>
  <si>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</si>
  <si>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</si>
  <si>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</si>
  <si>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</si>
  <si>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</si>
  <si>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</si>
  <si>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</si>
  <si>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</si>
  <si>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</si>
  <si>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</si>
  <si>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</si>
  <si>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</si>
  <si>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</si>
  <si>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</si>
  <si>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</si>
  <si>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</si>
  <si>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</si>
  <si>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</si>
  <si>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</si>
  <si>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</si>
  <si>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</si>
  <si>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</si>
  <si>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</si>
  <si>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</si>
  <si>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</si>
  <si>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</si>
  <si>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</si>
  <si>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</si>
  <si>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</si>
  <si>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</si>
  <si>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</si>
  <si>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</si>
  <si>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</si>
  <si>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</si>
  <si>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</si>
  <si>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</si>
  <si>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</si>
  <si>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</si>
  <si>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</si>
  <si>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</si>
  <si>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</si>
  <si>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</si>
  <si>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</si>
  <si>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</si>
  <si>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</si>
  <si>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</si>
  <si>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</si>
  <si>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</si>
  <si>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</si>
  <si>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</si>
  <si>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</si>
  <si>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</si>
  <si>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</si>
  <si>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</si>
  <si>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</si>
  <si>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</si>
  <si>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</si>
  <si>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</si>
  <si>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</si>
  <si>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</si>
  <si>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</si>
  <si>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</si>
  <si>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</si>
  <si>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</si>
  <si>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</si>
  <si>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</si>
  <si>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</si>
  <si>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</si>
  <si>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</si>
  <si>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</si>
  <si>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</si>
  <si>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</si>
  <si>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</si>
  <si>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</si>
  <si>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</si>
  <si>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</si>
  <si>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</si>
  <si>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</si>
  <si>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</si>
  <si>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</si>
  <si>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</si>
  <si>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</si>
  <si>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</si>
  <si>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</si>
  <si>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</si>
  <si>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</si>
  <si>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</si>
  <si>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</si>
  <si>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</si>
  <si>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</si>
  <si>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</si>
  <si>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</si>
  <si>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</si>
  <si>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</si>
  <si>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</si>
  <si>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</si>
  <si>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</si>
  <si>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</si>
  <si>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</si>
  <si>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</si>
  <si>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</si>
  <si>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</si>
  <si>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</si>
  <si>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</si>
  <si>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</si>
  <si>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</si>
  <si>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</si>
  <si>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</si>
  <si>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</si>
  <si>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</si>
  <si>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</si>
  <si>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</si>
  <si>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</si>
  <si>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</si>
  <si>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</si>
  <si>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</si>
  <si>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</si>
  <si>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</si>
  <si>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</si>
  <si>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</si>
  <si>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</si>
  <si>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</si>
  <si>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</si>
  <si>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</si>
  <si>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</si>
  <si>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</si>
  <si>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</si>
  <si>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商服</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</si>
  <si>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</si>
  <si>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</si>
  <si>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</si>
  <si>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</si>
  <si>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</si>
  <si>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</si>
  <si>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</si>
  <si>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</si>
  <si>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</si>
  <si>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</si>
  <si>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</si>
  <si>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</si>
  <si>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</si>
  <si>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</si>
  <si>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</si>
  <si>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</si>
  <si>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</si>
  <si>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</si>
  <si>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</si>
  <si>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</si>
  <si>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</si>
  <si>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</si>
  <si>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</si>
  <si>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</si>
  <si>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</si>
  <si>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</si>
  <si>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</si>
  <si>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</si>
  <si>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</si>
  <si>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</si>
  <si>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</si>
  <si>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</si>
  <si>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</si>
  <si>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</si>
  <si>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</si>
  <si>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</si>
  <si>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</si>
  <si>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</si>
  <si>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</si>
  <si>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</si>
  <si>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</si>
  <si>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</si>
  <si>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</si>
  <si>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</si>
  <si>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</si>
  <si>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</si>
  <si>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</si>
  <si>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</si>
  <si>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</si>
  <si>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</si>
  <si>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</si>
  <si>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</si>
  <si>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</si>
  <si>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</si>
  <si>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</si>
  <si>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</si>
  <si>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</si>
  <si>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</si>
  <si>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</si>
  <si>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</si>
  <si>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</si>
  <si>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</si>
  <si>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</si>
  <si>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</si>
  <si>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</si>
  <si>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</si>
  <si>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</si>
  <si>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</si>
  <si>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</si>
  <si>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</si>
  <si>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</si>
  <si>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</si>
  <si>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</si>
  <si>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</si>
  <si>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</si>
  <si>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</si>
  <si>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2020-1-0527-F01DYGJ1</t>
    <phoneticPr fontId="6" type="noConversion"/>
  </si>
  <si>
    <t>吴薇</t>
  </si>
  <si>
    <t>崔锴</t>
  </si>
  <si>
    <t>北京金谷创展置业有限责任公司</t>
    <phoneticPr fontId="6" type="noConversion"/>
  </si>
  <si>
    <t>建设银行总行北京分行城建支行</t>
    <phoneticPr fontId="6" type="noConversion"/>
  </si>
  <si>
    <t>抵押价格</t>
  </si>
  <si>
    <t>平谷区金海湖镇PG06-0100-6020、6021、6024地块3宗住宅、地下仓储、地下车库用地及PG06-0100-6019地块1宗商业、地下车库用地</t>
    <phoneticPr fontId="6" type="noConversion"/>
  </si>
  <si>
    <t>企业</t>
  </si>
  <si>
    <t>办公（公共服务设施）、住宅、地下仓储、商业、地下车库</t>
    <phoneticPr fontId="6" type="noConversion"/>
  </si>
  <si>
    <t>商业、地下车库</t>
    <phoneticPr fontId="6" type="noConversion"/>
  </si>
  <si>
    <t>一致</t>
  </si>
  <si>
    <t>符合</t>
  </si>
  <si>
    <t>商业</t>
  </si>
  <si>
    <t>车库</t>
  </si>
  <si>
    <t>仓储</t>
  </si>
  <si>
    <t>《建设工程规划许可证》[]、《出让合同》[]</t>
    <phoneticPr fontId="3" type="noConversion"/>
  </si>
  <si>
    <t>否</t>
  </si>
  <si>
    <t>商业项目</t>
  </si>
  <si>
    <t>无</t>
  </si>
  <si>
    <t>场地平整</t>
  </si>
  <si>
    <t>平整</t>
  </si>
  <si>
    <t>十一级</t>
  </si>
  <si>
    <t>通路</t>
  </si>
  <si>
    <t>通电</t>
  </si>
  <si>
    <t>通讯</t>
  </si>
  <si>
    <t>通上水</t>
  </si>
  <si>
    <t>通下水</t>
  </si>
  <si>
    <t>通热</t>
  </si>
  <si>
    <t>燃气</t>
  </si>
  <si>
    <t>估价对象</t>
  </si>
  <si>
    <t>坐落</t>
  </si>
  <si>
    <t>不动产权证号</t>
  </si>
  <si>
    <t>建筑面积依据</t>
  </si>
  <si>
    <t>楼号</t>
  </si>
  <si>
    <t>土地面积</t>
  </si>
  <si>
    <t>住宅（洋房）</t>
  </si>
  <si>
    <t>住宅（叠拼）</t>
  </si>
  <si>
    <t>住宅（合院）</t>
  </si>
  <si>
    <t>地下仓储</t>
  </si>
  <si>
    <t>设备及其他用房</t>
  </si>
  <si>
    <t>公共配套及物业用房</t>
  </si>
  <si>
    <r>
      <t>北京市平谷区金海湖镇</t>
    </r>
    <r>
      <rPr>
        <sz val="7.5"/>
        <color theme="1"/>
        <rFont val="Arial"/>
        <family val="2"/>
      </rPr>
      <t>PG06-0100-6019</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</si>
  <si>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0006433</t>
    </r>
    <r>
      <rPr>
        <sz val="7.5"/>
        <color theme="1"/>
        <rFont val="仿宋_GB2312"/>
        <family val="3"/>
        <charset val="134"/>
      </rPr>
      <t>号</t>
    </r>
  </si>
  <si>
    <r>
      <t>2019</t>
    </r>
    <r>
      <rPr>
        <sz val="7.5"/>
        <color theme="1"/>
        <rFont val="仿宋_GB2312"/>
        <family val="3"/>
        <charset val="134"/>
      </rPr>
      <t>规自（平）建字</t>
    </r>
    <r>
      <rPr>
        <sz val="7.5"/>
        <color theme="1"/>
        <rFont val="Arial"/>
        <family val="2"/>
      </rPr>
      <t>0011</t>
    </r>
    <r>
      <rPr>
        <sz val="7.5"/>
        <color theme="1"/>
        <rFont val="仿宋_GB2312"/>
        <family val="3"/>
        <charset val="134"/>
      </rPr>
      <t>号</t>
    </r>
  </si>
  <si>
    <r>
      <t>A-1#</t>
    </r>
    <r>
      <rPr>
        <sz val="7.5"/>
        <color theme="1"/>
        <rFont val="仿宋_GB2312"/>
        <family val="3"/>
        <charset val="134"/>
      </rPr>
      <t>居住配套商业服务楼</t>
    </r>
  </si>
  <si>
    <r>
      <t>A-2#</t>
    </r>
    <r>
      <rPr>
        <sz val="7.5"/>
        <color theme="1"/>
        <rFont val="仿宋_GB2312"/>
        <family val="3"/>
        <charset val="134"/>
      </rPr>
      <t>商业楼</t>
    </r>
  </si>
  <si>
    <r>
      <t>A-3#</t>
    </r>
    <r>
      <rPr>
        <sz val="7.5"/>
        <color theme="1"/>
        <rFont val="仿宋_GB2312"/>
        <family val="3"/>
        <charset val="134"/>
      </rPr>
      <t>商业楼</t>
    </r>
  </si>
  <si>
    <r>
      <t>A-4#</t>
    </r>
    <r>
      <rPr>
        <sz val="7.5"/>
        <color theme="1"/>
        <rFont val="仿宋_GB2312"/>
        <family val="3"/>
        <charset val="134"/>
      </rPr>
      <t>商业楼</t>
    </r>
  </si>
  <si>
    <r>
      <t>A-5#</t>
    </r>
    <r>
      <rPr>
        <sz val="7.5"/>
        <color theme="1"/>
        <rFont val="仿宋_GB2312"/>
        <family val="3"/>
        <charset val="134"/>
      </rPr>
      <t>商业楼</t>
    </r>
  </si>
  <si>
    <t>设备夹层</t>
  </si>
  <si>
    <r>
      <t>1#</t>
    </r>
    <r>
      <rPr>
        <sz val="7.5"/>
        <color theme="1"/>
        <rFont val="仿宋_GB2312"/>
        <family val="3"/>
        <charset val="134"/>
      </rPr>
      <t>地库</t>
    </r>
  </si>
  <si>
    <r>
      <t>北京市平谷区金海湖镇</t>
    </r>
    <r>
      <rPr>
        <sz val="7.5"/>
        <color theme="1"/>
        <rFont val="Arial"/>
        <family val="2"/>
      </rPr>
      <t>PG06-0100-6020</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</si>
  <si>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0006435</t>
    </r>
    <r>
      <rPr>
        <sz val="7.5"/>
        <color theme="1"/>
        <rFont val="仿宋_GB2312"/>
        <family val="3"/>
        <charset val="134"/>
      </rPr>
      <t>号</t>
    </r>
  </si>
  <si>
    <r>
      <t>B-1#</t>
    </r>
    <r>
      <rPr>
        <sz val="7.5"/>
        <color theme="1"/>
        <rFont val="仿宋_GB2312"/>
        <family val="3"/>
        <charset val="134"/>
      </rPr>
      <t>住宅楼</t>
    </r>
  </si>
  <si>
    <r>
      <t>B-2#</t>
    </r>
    <r>
      <rPr>
        <sz val="7.5"/>
        <color theme="1"/>
        <rFont val="仿宋_GB2312"/>
        <family val="3"/>
        <charset val="134"/>
      </rPr>
      <t>住宅楼</t>
    </r>
  </si>
  <si>
    <r>
      <t>B-3#</t>
    </r>
    <r>
      <rPr>
        <sz val="7.5"/>
        <color theme="1"/>
        <rFont val="仿宋_GB2312"/>
        <family val="3"/>
        <charset val="134"/>
      </rPr>
      <t>住宅楼</t>
    </r>
  </si>
  <si>
    <r>
      <t>B-4#</t>
    </r>
    <r>
      <rPr>
        <sz val="7.5"/>
        <color theme="1"/>
        <rFont val="仿宋_GB2312"/>
        <family val="3"/>
        <charset val="134"/>
      </rPr>
      <t>住宅楼</t>
    </r>
  </si>
  <si>
    <r>
      <t>B-5#</t>
    </r>
    <r>
      <rPr>
        <sz val="7.5"/>
        <color theme="1"/>
        <rFont val="仿宋_GB2312"/>
        <family val="3"/>
        <charset val="134"/>
      </rPr>
      <t>住宅楼</t>
    </r>
  </si>
  <si>
    <r>
      <t>B-6#</t>
    </r>
    <r>
      <rPr>
        <sz val="7.5"/>
        <color theme="1"/>
        <rFont val="仿宋_GB2312"/>
        <family val="3"/>
        <charset val="134"/>
      </rPr>
      <t>住宅楼</t>
    </r>
  </si>
  <si>
    <r>
      <t>B-7#</t>
    </r>
    <r>
      <rPr>
        <sz val="7.5"/>
        <color theme="1"/>
        <rFont val="仿宋_GB2312"/>
        <family val="3"/>
        <charset val="134"/>
      </rPr>
      <t>住宅楼</t>
    </r>
  </si>
  <si>
    <r>
      <t>B-8#</t>
    </r>
    <r>
      <rPr>
        <sz val="7.5"/>
        <color theme="1"/>
        <rFont val="仿宋_GB2312"/>
        <family val="3"/>
        <charset val="134"/>
      </rPr>
      <t>住宅楼</t>
    </r>
  </si>
  <si>
    <r>
      <t>B-9#</t>
    </r>
    <r>
      <rPr>
        <sz val="7.5"/>
        <color theme="1"/>
        <rFont val="仿宋_GB2312"/>
        <family val="3"/>
        <charset val="134"/>
      </rPr>
      <t>住宅楼</t>
    </r>
  </si>
  <si>
    <r>
      <t>B-10#</t>
    </r>
    <r>
      <rPr>
        <sz val="7.5"/>
        <color theme="1"/>
        <rFont val="仿宋_GB2312"/>
        <family val="3"/>
        <charset val="134"/>
      </rPr>
      <t>住宅楼</t>
    </r>
  </si>
  <si>
    <r>
      <t>B-11#</t>
    </r>
    <r>
      <rPr>
        <sz val="7.5"/>
        <color theme="1"/>
        <rFont val="仿宋_GB2312"/>
        <family val="3"/>
        <charset val="134"/>
      </rPr>
      <t>住宅楼</t>
    </r>
  </si>
  <si>
    <r>
      <t>B-12#</t>
    </r>
    <r>
      <rPr>
        <sz val="7.5"/>
        <color theme="1"/>
        <rFont val="仿宋_GB2312"/>
        <family val="3"/>
        <charset val="134"/>
      </rPr>
      <t>住宅楼</t>
    </r>
  </si>
  <si>
    <r>
      <t>B-13#</t>
    </r>
    <r>
      <rPr>
        <sz val="7.5"/>
        <color theme="1"/>
        <rFont val="仿宋_GB2312"/>
        <family val="3"/>
        <charset val="134"/>
      </rPr>
      <t>住宅楼</t>
    </r>
  </si>
  <si>
    <r>
      <t>B-14#</t>
    </r>
    <r>
      <rPr>
        <sz val="7.5"/>
        <color theme="1"/>
        <rFont val="仿宋_GB2312"/>
        <family val="3"/>
        <charset val="134"/>
      </rPr>
      <t>住宅楼</t>
    </r>
  </si>
  <si>
    <r>
      <t>B-15#</t>
    </r>
    <r>
      <rPr>
        <sz val="7.5"/>
        <color theme="1"/>
        <rFont val="仿宋_GB2312"/>
        <family val="3"/>
        <charset val="134"/>
      </rPr>
      <t>住宅楼</t>
    </r>
  </si>
  <si>
    <r>
      <t>B-16#</t>
    </r>
    <r>
      <rPr>
        <sz val="7.5"/>
        <color theme="1"/>
        <rFont val="仿宋_GB2312"/>
        <family val="3"/>
        <charset val="134"/>
      </rPr>
      <t>住宅楼</t>
    </r>
  </si>
  <si>
    <r>
      <t>B-17#</t>
    </r>
    <r>
      <rPr>
        <sz val="7.5"/>
        <color theme="1"/>
        <rFont val="仿宋_GB2312"/>
        <family val="3"/>
        <charset val="134"/>
      </rPr>
      <t>住宅楼</t>
    </r>
  </si>
  <si>
    <r>
      <t>B-18#</t>
    </r>
    <r>
      <rPr>
        <sz val="7.5"/>
        <color theme="1"/>
        <rFont val="仿宋_GB2312"/>
        <family val="3"/>
        <charset val="134"/>
      </rPr>
      <t>住宅楼</t>
    </r>
  </si>
  <si>
    <r>
      <t>B-19#</t>
    </r>
    <r>
      <rPr>
        <sz val="7.5"/>
        <color theme="1"/>
        <rFont val="仿宋_GB2312"/>
        <family val="3"/>
        <charset val="134"/>
      </rPr>
      <t>住宅楼</t>
    </r>
  </si>
  <si>
    <r>
      <t>B-20#</t>
    </r>
    <r>
      <rPr>
        <sz val="7.5"/>
        <color theme="1"/>
        <rFont val="仿宋_GB2312"/>
        <family val="3"/>
        <charset val="134"/>
      </rPr>
      <t>住宅楼</t>
    </r>
  </si>
  <si>
    <r>
      <t>B-21#</t>
    </r>
    <r>
      <rPr>
        <sz val="7.5"/>
        <color theme="1"/>
        <rFont val="仿宋_GB2312"/>
        <family val="3"/>
        <charset val="134"/>
      </rPr>
      <t>住宅楼</t>
    </r>
  </si>
  <si>
    <r>
      <t>B-22#</t>
    </r>
    <r>
      <rPr>
        <sz val="7.5"/>
        <color theme="1"/>
        <rFont val="仿宋_GB2312"/>
        <family val="3"/>
        <charset val="134"/>
      </rPr>
      <t>住宅楼</t>
    </r>
  </si>
  <si>
    <r>
      <t>B-23#</t>
    </r>
    <r>
      <rPr>
        <sz val="7.5"/>
        <color theme="1"/>
        <rFont val="仿宋_GB2312"/>
        <family val="3"/>
        <charset val="134"/>
      </rPr>
      <t>住宅楼</t>
    </r>
  </si>
  <si>
    <r>
      <t>B-24#</t>
    </r>
    <r>
      <rPr>
        <sz val="7.5"/>
        <color theme="1"/>
        <rFont val="仿宋_GB2312"/>
        <family val="3"/>
        <charset val="134"/>
      </rPr>
      <t>住宅楼</t>
    </r>
  </si>
  <si>
    <r>
      <t>B-25#</t>
    </r>
    <r>
      <rPr>
        <sz val="7.5"/>
        <color theme="1"/>
        <rFont val="仿宋_GB2312"/>
        <family val="3"/>
        <charset val="134"/>
      </rPr>
      <t>住宅楼</t>
    </r>
  </si>
  <si>
    <r>
      <t>B-26#</t>
    </r>
    <r>
      <rPr>
        <sz val="7.5"/>
        <color theme="1"/>
        <rFont val="仿宋_GB2312"/>
        <family val="3"/>
        <charset val="134"/>
      </rPr>
      <t>住宅楼</t>
    </r>
  </si>
  <si>
    <r>
      <t>B-27#</t>
    </r>
    <r>
      <rPr>
        <sz val="7.5"/>
        <color theme="1"/>
        <rFont val="仿宋_GB2312"/>
        <family val="3"/>
        <charset val="134"/>
      </rPr>
      <t>住宅楼</t>
    </r>
  </si>
  <si>
    <r>
      <t>B-28#</t>
    </r>
    <r>
      <rPr>
        <sz val="7.5"/>
        <color theme="1"/>
        <rFont val="仿宋_GB2312"/>
        <family val="3"/>
        <charset val="134"/>
      </rPr>
      <t>住宅楼</t>
    </r>
  </si>
  <si>
    <r>
      <t>B-29#</t>
    </r>
    <r>
      <rPr>
        <sz val="7.5"/>
        <color theme="1"/>
        <rFont val="仿宋_GB2312"/>
        <family val="3"/>
        <charset val="134"/>
      </rPr>
      <t>住宅楼</t>
    </r>
  </si>
  <si>
    <r>
      <t>B-30#</t>
    </r>
    <r>
      <rPr>
        <sz val="7.5"/>
        <color theme="1"/>
        <rFont val="仿宋_GB2312"/>
        <family val="3"/>
        <charset val="134"/>
      </rPr>
      <t>配套设施楼</t>
    </r>
  </si>
  <si>
    <r>
      <t>B-31#</t>
    </r>
    <r>
      <rPr>
        <sz val="7.5"/>
        <color theme="1"/>
        <rFont val="仿宋_GB2312"/>
        <family val="3"/>
        <charset val="134"/>
      </rPr>
      <t>配电室楼</t>
    </r>
  </si>
  <si>
    <r>
      <t>2#</t>
    </r>
    <r>
      <rPr>
        <sz val="7.5"/>
        <color theme="1"/>
        <rFont val="仿宋_GB2312"/>
        <family val="3"/>
        <charset val="134"/>
      </rPr>
      <t>地库</t>
    </r>
  </si>
  <si>
    <r>
      <t>北京市平谷区金海湖镇</t>
    </r>
    <r>
      <rPr>
        <sz val="7.5"/>
        <color theme="1"/>
        <rFont val="Arial"/>
        <family val="2"/>
      </rPr>
      <t>PG06-0100-6021</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</si>
  <si>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0006432</t>
    </r>
    <r>
      <rPr>
        <sz val="7.5"/>
        <color theme="1"/>
        <rFont val="仿宋_GB2312"/>
        <family val="3"/>
        <charset val="134"/>
      </rPr>
      <t>号</t>
    </r>
  </si>
  <si>
    <r>
      <t>2019</t>
    </r>
    <r>
      <rPr>
        <sz val="7.5"/>
        <color theme="1"/>
        <rFont val="仿宋_GB2312"/>
        <family val="3"/>
        <charset val="134"/>
      </rPr>
      <t>规自（平）建字</t>
    </r>
    <r>
      <rPr>
        <sz val="7.5"/>
        <color theme="1"/>
        <rFont val="Arial"/>
        <family val="2"/>
      </rPr>
      <t>0012</t>
    </r>
    <r>
      <rPr>
        <sz val="7.5"/>
        <color theme="1"/>
        <rFont val="仿宋_GB2312"/>
        <family val="3"/>
        <charset val="134"/>
      </rPr>
      <t>号</t>
    </r>
  </si>
  <si>
    <r>
      <t>C-1#</t>
    </r>
    <r>
      <rPr>
        <sz val="7.5"/>
        <color theme="1"/>
        <rFont val="仿宋_GB2312"/>
        <family val="3"/>
        <charset val="134"/>
      </rPr>
      <t>住宅楼</t>
    </r>
  </si>
  <si>
    <r>
      <t>C-2#</t>
    </r>
    <r>
      <rPr>
        <sz val="7.5"/>
        <color theme="1"/>
        <rFont val="仿宋_GB2312"/>
        <family val="3"/>
        <charset val="134"/>
      </rPr>
      <t>住宅楼</t>
    </r>
  </si>
  <si>
    <r>
      <t>C-3#</t>
    </r>
    <r>
      <rPr>
        <sz val="7.5"/>
        <color theme="1"/>
        <rFont val="仿宋_GB2312"/>
        <family val="3"/>
        <charset val="134"/>
      </rPr>
      <t>住宅楼</t>
    </r>
  </si>
  <si>
    <r>
      <t>C-4#</t>
    </r>
    <r>
      <rPr>
        <sz val="7.5"/>
        <color theme="1"/>
        <rFont val="仿宋_GB2312"/>
        <family val="3"/>
        <charset val="134"/>
      </rPr>
      <t>住宅楼</t>
    </r>
  </si>
  <si>
    <r>
      <t>C-5#</t>
    </r>
    <r>
      <rPr>
        <sz val="7.5"/>
        <color theme="1"/>
        <rFont val="仿宋_GB2312"/>
        <family val="3"/>
        <charset val="134"/>
      </rPr>
      <t>住宅楼</t>
    </r>
  </si>
  <si>
    <r>
      <t>C-6#</t>
    </r>
    <r>
      <rPr>
        <sz val="7.5"/>
        <color theme="1"/>
        <rFont val="仿宋_GB2312"/>
        <family val="3"/>
        <charset val="134"/>
      </rPr>
      <t>住宅楼</t>
    </r>
  </si>
  <si>
    <r>
      <t>C-7#</t>
    </r>
    <r>
      <rPr>
        <sz val="7.5"/>
        <color theme="1"/>
        <rFont val="仿宋_GB2312"/>
        <family val="3"/>
        <charset val="134"/>
      </rPr>
      <t>住宅楼</t>
    </r>
  </si>
  <si>
    <r>
      <t>C-8#</t>
    </r>
    <r>
      <rPr>
        <sz val="7.5"/>
        <color theme="1"/>
        <rFont val="仿宋_GB2312"/>
        <family val="3"/>
        <charset val="134"/>
      </rPr>
      <t>住宅楼</t>
    </r>
  </si>
  <si>
    <r>
      <t>C-9#</t>
    </r>
    <r>
      <rPr>
        <sz val="7.5"/>
        <color theme="1"/>
        <rFont val="仿宋_GB2312"/>
        <family val="3"/>
        <charset val="134"/>
      </rPr>
      <t>住宅楼</t>
    </r>
  </si>
  <si>
    <r>
      <t>C-10#</t>
    </r>
    <r>
      <rPr>
        <sz val="7.5"/>
        <color theme="1"/>
        <rFont val="仿宋_GB2312"/>
        <family val="3"/>
        <charset val="134"/>
      </rPr>
      <t>住宅楼</t>
    </r>
  </si>
  <si>
    <r>
      <t>C-11#</t>
    </r>
    <r>
      <rPr>
        <sz val="7.5"/>
        <color theme="1"/>
        <rFont val="仿宋_GB2312"/>
        <family val="3"/>
        <charset val="134"/>
      </rPr>
      <t>住宅楼</t>
    </r>
  </si>
  <si>
    <r>
      <t>C-12#</t>
    </r>
    <r>
      <rPr>
        <sz val="7.5"/>
        <color theme="1"/>
        <rFont val="仿宋_GB2312"/>
        <family val="3"/>
        <charset val="134"/>
      </rPr>
      <t>住宅楼</t>
    </r>
  </si>
  <si>
    <r>
      <t>C-13#</t>
    </r>
    <r>
      <rPr>
        <sz val="7.5"/>
        <color theme="1"/>
        <rFont val="仿宋_GB2312"/>
        <family val="3"/>
        <charset val="134"/>
      </rPr>
      <t>住宅楼</t>
    </r>
  </si>
  <si>
    <r>
      <t>C-14#</t>
    </r>
    <r>
      <rPr>
        <sz val="7.5"/>
        <color theme="1"/>
        <rFont val="仿宋_GB2312"/>
        <family val="3"/>
        <charset val="134"/>
      </rPr>
      <t>住宅楼</t>
    </r>
  </si>
  <si>
    <r>
      <t>C-15#</t>
    </r>
    <r>
      <rPr>
        <sz val="7.5"/>
        <color theme="1"/>
        <rFont val="仿宋_GB2312"/>
        <family val="3"/>
        <charset val="134"/>
      </rPr>
      <t>住宅楼</t>
    </r>
  </si>
  <si>
    <r>
      <t>C-16#</t>
    </r>
    <r>
      <rPr>
        <sz val="7.5"/>
        <color theme="1"/>
        <rFont val="仿宋_GB2312"/>
        <family val="3"/>
        <charset val="134"/>
      </rPr>
      <t>住宅楼</t>
    </r>
  </si>
  <si>
    <r>
      <t>C-17#</t>
    </r>
    <r>
      <rPr>
        <sz val="7.5"/>
        <color theme="1"/>
        <rFont val="仿宋_GB2312"/>
        <family val="3"/>
        <charset val="134"/>
      </rPr>
      <t>住宅楼</t>
    </r>
  </si>
  <si>
    <r>
      <t>C-18#</t>
    </r>
    <r>
      <rPr>
        <sz val="7.5"/>
        <color theme="1"/>
        <rFont val="仿宋_GB2312"/>
        <family val="3"/>
        <charset val="134"/>
      </rPr>
      <t>住宅楼</t>
    </r>
  </si>
  <si>
    <r>
      <t>C-19#</t>
    </r>
    <r>
      <rPr>
        <sz val="7.5"/>
        <color theme="1"/>
        <rFont val="仿宋_GB2312"/>
        <family val="3"/>
        <charset val="134"/>
      </rPr>
      <t>住宅楼</t>
    </r>
  </si>
  <si>
    <r>
      <t>C-20#</t>
    </r>
    <r>
      <rPr>
        <sz val="7.5"/>
        <color theme="1"/>
        <rFont val="仿宋_GB2312"/>
        <family val="3"/>
        <charset val="134"/>
      </rPr>
      <t>住宅楼</t>
    </r>
  </si>
  <si>
    <r>
      <t>C-21#</t>
    </r>
    <r>
      <rPr>
        <sz val="7.5"/>
        <color theme="1"/>
        <rFont val="仿宋_GB2312"/>
        <family val="3"/>
        <charset val="134"/>
      </rPr>
      <t>住宅楼</t>
    </r>
  </si>
  <si>
    <r>
      <t>C-22#</t>
    </r>
    <r>
      <rPr>
        <sz val="7.5"/>
        <color theme="1"/>
        <rFont val="仿宋_GB2312"/>
        <family val="3"/>
        <charset val="134"/>
      </rPr>
      <t>住宅楼</t>
    </r>
  </si>
  <si>
    <r>
      <t>C-23#</t>
    </r>
    <r>
      <rPr>
        <sz val="7.5"/>
        <color theme="1"/>
        <rFont val="仿宋_GB2312"/>
        <family val="3"/>
        <charset val="134"/>
      </rPr>
      <t>住宅楼</t>
    </r>
  </si>
  <si>
    <r>
      <t>C-24#</t>
    </r>
    <r>
      <rPr>
        <sz val="7.5"/>
        <color theme="1"/>
        <rFont val="仿宋_GB2312"/>
        <family val="3"/>
        <charset val="134"/>
      </rPr>
      <t>住宅楼</t>
    </r>
  </si>
  <si>
    <r>
      <t>C-25#</t>
    </r>
    <r>
      <rPr>
        <sz val="7.5"/>
        <color theme="1"/>
        <rFont val="仿宋_GB2312"/>
        <family val="3"/>
        <charset val="134"/>
      </rPr>
      <t>住宅楼</t>
    </r>
  </si>
  <si>
    <r>
      <t>C-26#</t>
    </r>
    <r>
      <rPr>
        <sz val="7.5"/>
        <color theme="1"/>
        <rFont val="仿宋_GB2312"/>
        <family val="3"/>
        <charset val="134"/>
      </rPr>
      <t>住宅楼</t>
    </r>
  </si>
  <si>
    <r>
      <t>C-27#</t>
    </r>
    <r>
      <rPr>
        <sz val="7.5"/>
        <color theme="1"/>
        <rFont val="仿宋_GB2312"/>
        <family val="3"/>
        <charset val="134"/>
      </rPr>
      <t>住宅楼</t>
    </r>
  </si>
  <si>
    <r>
      <t>C-28#</t>
    </r>
    <r>
      <rPr>
        <sz val="7.5"/>
        <color theme="1"/>
        <rFont val="仿宋_GB2312"/>
        <family val="3"/>
        <charset val="134"/>
      </rPr>
      <t>住宅楼</t>
    </r>
  </si>
  <si>
    <r>
      <t>C-29#</t>
    </r>
    <r>
      <rPr>
        <sz val="7.5"/>
        <color theme="1"/>
        <rFont val="仿宋_GB2312"/>
        <family val="3"/>
        <charset val="134"/>
      </rPr>
      <t>住宅楼</t>
    </r>
  </si>
  <si>
    <r>
      <t>C-30#</t>
    </r>
    <r>
      <rPr>
        <sz val="7.5"/>
        <color theme="1"/>
        <rFont val="仿宋_GB2312"/>
        <family val="3"/>
        <charset val="134"/>
      </rPr>
      <t>住宅楼</t>
    </r>
  </si>
  <si>
    <r>
      <t>C-31#</t>
    </r>
    <r>
      <rPr>
        <sz val="7.5"/>
        <color theme="1"/>
        <rFont val="仿宋_GB2312"/>
        <family val="3"/>
        <charset val="134"/>
      </rPr>
      <t>住宅楼</t>
    </r>
  </si>
  <si>
    <r>
      <t>C-32#</t>
    </r>
    <r>
      <rPr>
        <sz val="7.5"/>
        <color theme="1"/>
        <rFont val="仿宋_GB2312"/>
        <family val="3"/>
        <charset val="134"/>
      </rPr>
      <t>住宅楼</t>
    </r>
  </si>
  <si>
    <r>
      <t>C-33#</t>
    </r>
    <r>
      <rPr>
        <sz val="7.5"/>
        <color theme="1"/>
        <rFont val="仿宋_GB2312"/>
        <family val="3"/>
        <charset val="134"/>
      </rPr>
      <t>住宅楼</t>
    </r>
  </si>
  <si>
    <r>
      <t>C-34#</t>
    </r>
    <r>
      <rPr>
        <sz val="7.5"/>
        <color theme="1"/>
        <rFont val="仿宋_GB2312"/>
        <family val="3"/>
        <charset val="134"/>
      </rPr>
      <t>住宅楼</t>
    </r>
  </si>
  <si>
    <r>
      <t>C-35#</t>
    </r>
    <r>
      <rPr>
        <sz val="7.5"/>
        <color theme="1"/>
        <rFont val="仿宋_GB2312"/>
        <family val="3"/>
        <charset val="134"/>
      </rPr>
      <t>配套设施楼</t>
    </r>
  </si>
  <si>
    <r>
      <t>C-36#</t>
    </r>
    <r>
      <rPr>
        <sz val="7.5"/>
        <color theme="1"/>
        <rFont val="仿宋_GB2312"/>
        <family val="3"/>
        <charset val="134"/>
      </rPr>
      <t>配套设施楼</t>
    </r>
  </si>
  <si>
    <r>
      <t>3#</t>
    </r>
    <r>
      <rPr>
        <sz val="7.5"/>
        <color theme="1"/>
        <rFont val="仿宋_GB2312"/>
        <family val="3"/>
        <charset val="134"/>
      </rPr>
      <t>地库</t>
    </r>
  </si>
  <si>
    <r>
      <t>北京市平谷区金海湖镇</t>
    </r>
    <r>
      <rPr>
        <sz val="7.5"/>
        <color theme="1"/>
        <rFont val="Arial"/>
        <family val="2"/>
      </rPr>
      <t>PG06-0100-6024</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</si>
  <si>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0006431</t>
    </r>
    <r>
      <rPr>
        <sz val="7.5"/>
        <color theme="1"/>
        <rFont val="仿宋_GB2312"/>
        <family val="3"/>
        <charset val="134"/>
      </rPr>
      <t>号</t>
    </r>
  </si>
  <si>
    <r>
      <t>D-1#</t>
    </r>
    <r>
      <rPr>
        <sz val="7.5"/>
        <color theme="1"/>
        <rFont val="仿宋_GB2312"/>
        <family val="3"/>
        <charset val="134"/>
      </rPr>
      <t>住宅楼</t>
    </r>
  </si>
  <si>
    <r>
      <t>D-2#</t>
    </r>
    <r>
      <rPr>
        <sz val="7.5"/>
        <color theme="1"/>
        <rFont val="仿宋_GB2312"/>
        <family val="3"/>
        <charset val="134"/>
      </rPr>
      <t>住宅楼</t>
    </r>
  </si>
  <si>
    <r>
      <t>D-3#</t>
    </r>
    <r>
      <rPr>
        <sz val="7.5"/>
        <color theme="1"/>
        <rFont val="仿宋_GB2312"/>
        <family val="3"/>
        <charset val="134"/>
      </rPr>
      <t>住宅楼</t>
    </r>
  </si>
  <si>
    <r>
      <t>D-4#</t>
    </r>
    <r>
      <rPr>
        <sz val="7.5"/>
        <color theme="1"/>
        <rFont val="仿宋_GB2312"/>
        <family val="3"/>
        <charset val="134"/>
      </rPr>
      <t>住宅楼</t>
    </r>
  </si>
  <si>
    <r>
      <t>D-5#</t>
    </r>
    <r>
      <rPr>
        <sz val="7.5"/>
        <color theme="1"/>
        <rFont val="仿宋_GB2312"/>
        <family val="3"/>
        <charset val="134"/>
      </rPr>
      <t>住宅楼</t>
    </r>
  </si>
  <si>
    <r>
      <t>D-6#</t>
    </r>
    <r>
      <rPr>
        <sz val="7.5"/>
        <color theme="1"/>
        <rFont val="仿宋_GB2312"/>
        <family val="3"/>
        <charset val="134"/>
      </rPr>
      <t>住宅楼</t>
    </r>
  </si>
  <si>
    <r>
      <t>D-7#</t>
    </r>
    <r>
      <rPr>
        <sz val="7.5"/>
        <color theme="1"/>
        <rFont val="仿宋_GB2312"/>
        <family val="3"/>
        <charset val="134"/>
      </rPr>
      <t>住宅楼</t>
    </r>
  </si>
  <si>
    <r>
      <t>D-8#</t>
    </r>
    <r>
      <rPr>
        <sz val="7.5"/>
        <color theme="1"/>
        <rFont val="仿宋_GB2312"/>
        <family val="3"/>
        <charset val="134"/>
      </rPr>
      <t>住宅楼</t>
    </r>
  </si>
  <si>
    <r>
      <t>D-9#</t>
    </r>
    <r>
      <rPr>
        <sz val="7.5"/>
        <color theme="1"/>
        <rFont val="仿宋_GB2312"/>
        <family val="3"/>
        <charset val="134"/>
      </rPr>
      <t>住宅楼</t>
    </r>
  </si>
  <si>
    <r>
      <t>D-10#</t>
    </r>
    <r>
      <rPr>
        <sz val="7.5"/>
        <color theme="1"/>
        <rFont val="仿宋_GB2312"/>
        <family val="3"/>
        <charset val="134"/>
      </rPr>
      <t>住宅楼</t>
    </r>
  </si>
  <si>
    <r>
      <t>D-11#</t>
    </r>
    <r>
      <rPr>
        <sz val="7.5"/>
        <color theme="1"/>
        <rFont val="仿宋_GB2312"/>
        <family val="3"/>
        <charset val="134"/>
      </rPr>
      <t>住宅楼</t>
    </r>
  </si>
  <si>
    <r>
      <t>D-12#</t>
    </r>
    <r>
      <rPr>
        <sz val="7.5"/>
        <color theme="1"/>
        <rFont val="仿宋_GB2312"/>
        <family val="3"/>
        <charset val="134"/>
      </rPr>
      <t>住宅楼</t>
    </r>
  </si>
  <si>
    <r>
      <t>D-13#</t>
    </r>
    <r>
      <rPr>
        <sz val="7.5"/>
        <color theme="1"/>
        <rFont val="仿宋_GB2312"/>
        <family val="3"/>
        <charset val="134"/>
      </rPr>
      <t>住宅楼</t>
    </r>
  </si>
  <si>
    <r>
      <t>D-14#</t>
    </r>
    <r>
      <rPr>
        <sz val="7.5"/>
        <color theme="1"/>
        <rFont val="仿宋_GB2312"/>
        <family val="3"/>
        <charset val="134"/>
      </rPr>
      <t>住宅楼</t>
    </r>
  </si>
  <si>
    <r>
      <t>D-15#</t>
    </r>
    <r>
      <rPr>
        <sz val="7.5"/>
        <color theme="1"/>
        <rFont val="仿宋_GB2312"/>
        <family val="3"/>
        <charset val="134"/>
      </rPr>
      <t>住宅楼</t>
    </r>
  </si>
  <si>
    <r>
      <t>D-16#</t>
    </r>
    <r>
      <rPr>
        <sz val="7.5"/>
        <color theme="1"/>
        <rFont val="仿宋_GB2312"/>
        <family val="3"/>
        <charset val="134"/>
      </rPr>
      <t>住宅楼</t>
    </r>
  </si>
  <si>
    <r>
      <t>D-17#</t>
    </r>
    <r>
      <rPr>
        <sz val="7.5"/>
        <color theme="1"/>
        <rFont val="仿宋_GB2312"/>
        <family val="3"/>
        <charset val="134"/>
      </rPr>
      <t>住宅楼</t>
    </r>
  </si>
  <si>
    <r>
      <t>D-18#</t>
    </r>
    <r>
      <rPr>
        <sz val="7.5"/>
        <color theme="1"/>
        <rFont val="仿宋_GB2312"/>
        <family val="3"/>
        <charset val="134"/>
      </rPr>
      <t>住宅楼</t>
    </r>
  </si>
  <si>
    <r>
      <t>D-19#</t>
    </r>
    <r>
      <rPr>
        <sz val="7.5"/>
        <color theme="1"/>
        <rFont val="仿宋_GB2312"/>
        <family val="3"/>
        <charset val="134"/>
      </rPr>
      <t>住宅楼</t>
    </r>
  </si>
  <si>
    <r>
      <t>D-20#</t>
    </r>
    <r>
      <rPr>
        <sz val="7.5"/>
        <color theme="1"/>
        <rFont val="仿宋_GB2312"/>
        <family val="3"/>
        <charset val="134"/>
      </rPr>
      <t>配电室楼</t>
    </r>
  </si>
  <si>
    <r>
      <t>4#</t>
    </r>
    <r>
      <rPr>
        <sz val="7.5"/>
        <color theme="1"/>
        <rFont val="仿宋_GB2312"/>
        <family val="3"/>
        <charset val="134"/>
      </rPr>
      <t>地库</t>
    </r>
  </si>
  <si>
    <t>地上</t>
  </si>
  <si>
    <t>独立商业</t>
  </si>
  <si>
    <t>地下</t>
  </si>
  <si>
    <t>商业</t>
    <phoneticPr fontId="7" type="noConversion"/>
  </si>
  <si>
    <t>车库</t>
    <phoneticPr fontId="7" type="noConversion"/>
  </si>
  <si>
    <t>较差</t>
  </si>
  <si>
    <t>较差</t>
    <phoneticPr fontId="3" type="noConversion"/>
  </si>
  <si>
    <t xml:space="preserve"> </t>
    <phoneticPr fontId="3" type="noConversion"/>
  </si>
  <si>
    <t>七通</t>
    <phoneticPr fontId="3" type="noConversion"/>
  </si>
  <si>
    <t>较好</t>
  </si>
  <si>
    <t>较好</t>
    <phoneticPr fontId="3" type="noConversion"/>
  </si>
  <si>
    <t>一般</t>
  </si>
  <si>
    <t>一般</t>
    <phoneticPr fontId="21" type="noConversion"/>
  </si>
  <si>
    <t>批发零售用地</t>
  </si>
  <si>
    <t>不临58条商业街</t>
  </si>
  <si>
    <t>与级别开发程度不一致</t>
  </si>
  <si>
    <t>好</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</si>
  <si>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</si>
  <si>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</si>
  <si>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</si>
  <si>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</si>
  <si>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</si>
  <si>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</si>
  <si>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</si>
  <si>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</si>
  <si>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基准地价</t>
  </si>
  <si>
    <t>剩余法-待开发</t>
  </si>
  <si>
    <t>总价</t>
    <phoneticPr fontId="9" type="noConversion"/>
  </si>
  <si>
    <t>单价</t>
    <phoneticPr fontId="9" type="noConversion"/>
  </si>
  <si>
    <r>
      <t>2019</t>
    </r>
    <r>
      <rPr>
        <sz val="10"/>
        <color theme="3"/>
        <rFont val="宋体"/>
        <family val="3"/>
        <charset val="134"/>
      </rPr>
      <t>年结果</t>
    </r>
    <phoneticPr fontId="9" type="noConversion"/>
  </si>
  <si>
    <r>
      <t>B</t>
    </r>
    <r>
      <rPr>
        <sz val="11"/>
        <color theme="1"/>
        <rFont val="宋体"/>
        <family val="3"/>
        <charset val="134"/>
        <scheme val="minor"/>
      </rPr>
      <t>-</t>
    </r>
    <phoneticPr fontId="228" type="noConversion"/>
  </si>
  <si>
    <t>#</t>
    <phoneticPr fontId="228" type="noConversion"/>
  </si>
  <si>
    <t>住宅楼</t>
    <phoneticPr fontId="228" type="noConversion"/>
  </si>
  <si>
    <t>住宅</t>
    <phoneticPr fontId="228" type="noConversion"/>
  </si>
  <si>
    <t>储藏间</t>
    <phoneticPr fontId="228" type="noConversion"/>
  </si>
  <si>
    <t>设备</t>
    <phoneticPr fontId="228" type="noConversion"/>
  </si>
  <si>
    <t>地上</t>
    <phoneticPr fontId="228" type="noConversion"/>
  </si>
  <si>
    <t>地下</t>
    <phoneticPr fontId="228" type="noConversion"/>
  </si>
  <si>
    <t>小计</t>
    <phoneticPr fontId="228" type="noConversion"/>
  </si>
  <si>
    <t>非机动车库</t>
    <phoneticPr fontId="228" type="noConversion"/>
  </si>
  <si>
    <r>
      <t>A</t>
    </r>
    <r>
      <rPr>
        <sz val="11"/>
        <color theme="1"/>
        <rFont val="宋体"/>
        <family val="3"/>
        <charset val="134"/>
        <scheme val="minor"/>
      </rPr>
      <t>-</t>
    </r>
    <phoneticPr fontId="228" type="noConversion"/>
  </si>
  <si>
    <t>居住配套商业服务楼</t>
    <phoneticPr fontId="228" type="noConversion"/>
  </si>
  <si>
    <t>公共配套</t>
    <phoneticPr fontId="228" type="noConversion"/>
  </si>
  <si>
    <t>配套设施楼</t>
    <phoneticPr fontId="228" type="noConversion"/>
  </si>
  <si>
    <t>人防</t>
    <phoneticPr fontId="228" type="noConversion"/>
  </si>
  <si>
    <t>配电室楼</t>
    <phoneticPr fontId="228" type="noConversion"/>
  </si>
  <si>
    <t>地库</t>
    <phoneticPr fontId="228" type="noConversion"/>
  </si>
  <si>
    <t>地下</t>
    <phoneticPr fontId="228" type="noConversion"/>
  </si>
  <si>
    <t>车库</t>
    <phoneticPr fontId="228" type="noConversion"/>
  </si>
  <si>
    <t>公共配套</t>
    <phoneticPr fontId="228" type="noConversion"/>
  </si>
  <si>
    <t>商业楼</t>
    <phoneticPr fontId="228" type="noConversion"/>
  </si>
  <si>
    <t>地上商业</t>
    <phoneticPr fontId="228" type="noConversion"/>
  </si>
  <si>
    <t>设备夹层</t>
    <phoneticPr fontId="228" type="noConversion"/>
  </si>
  <si>
    <t>自定义容积率</t>
  </si>
  <si>
    <t>住宅</t>
    <phoneticPr fontId="7" type="noConversion"/>
  </si>
  <si>
    <t>商业</t>
    <phoneticPr fontId="7" type="noConversion"/>
  </si>
  <si>
    <t>仓储</t>
    <phoneticPr fontId="7" type="noConversion"/>
  </si>
  <si>
    <t>车库</t>
    <phoneticPr fontId="7" type="noConversion"/>
  </si>
  <si>
    <t>规划面积</t>
    <phoneticPr fontId="7" type="noConversion"/>
  </si>
  <si>
    <t>合同面积</t>
    <phoneticPr fontId="7" type="noConversion"/>
  </si>
  <si>
    <t>合同单价</t>
    <phoneticPr fontId="7" type="noConversion"/>
  </si>
  <si>
    <t>——</t>
    <phoneticPr fontId="228" type="noConversion"/>
  </si>
  <si>
    <t>2021-1</t>
    <phoneticPr fontId="3"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</si>
  <si>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</si>
  <si>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</si>
  <si>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</si>
  <si>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</si>
  <si>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</si>
  <si>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</si>
  <si>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</si>
  <si>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</si>
  <si>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</si>
  <si>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</si>
  <si>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</si>
  <si>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</si>
  <si>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</si>
  <si>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</si>
  <si>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</si>
  <si>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</si>
  <si>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</si>
  <si>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</si>
  <si>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</si>
  <si>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</si>
  <si>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</si>
  <si>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</si>
  <si>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t>土地面积</t>
    <phoneticPr fontId="228" type="noConversion"/>
  </si>
  <si>
    <t>建筑面积</t>
    <phoneticPr fontId="228" type="noConversion"/>
  </si>
  <si>
    <t>总价</t>
    <phoneticPr fontId="228" type="noConversion"/>
  </si>
  <si>
    <t>单价</t>
    <phoneticPr fontId="228" type="noConversion"/>
  </si>
  <si>
    <t>土地价值</t>
    <phoneticPr fontId="228" type="noConversion"/>
  </si>
  <si>
    <t>建筑物价值</t>
    <phoneticPr fontId="228" type="noConversion"/>
  </si>
  <si>
    <t>房地产价值</t>
    <phoneticPr fontId="228" type="noConversion"/>
  </si>
  <si>
    <t>——</t>
    <phoneticPr fontId="228" type="noConversion"/>
  </si>
  <si>
    <t>合计</t>
    <phoneticPr fontId="228" type="noConversion"/>
  </si>
  <si>
    <t>自定义</t>
  </si>
  <si>
    <t>单位：平方米、万元、元/平方米</t>
    <phoneticPr fontId="228" type="noConversion"/>
  </si>
  <si>
    <t>北京市平谷区金海湖镇PG06-0100-6019地块土地</t>
    <phoneticPr fontId="228" type="noConversion"/>
  </si>
  <si>
    <t>北京市平谷区金海湖镇PG06-0100-6020地块土地</t>
    <phoneticPr fontId="228" type="noConversion"/>
  </si>
  <si>
    <t>北京市平谷区金海湖镇PG06-0100-6024地块土地</t>
    <phoneticPr fontId="228" type="noConversion"/>
  </si>
  <si>
    <t>北京市平谷区金海湖镇PG06-0100-6021地块在建工程</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</si>
</sst>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7.5"/>
      <color theme="1"/>
      <name val="仿宋_GB2312"/>
      <family val="3"/>
      <charset val="134"/>
    </font>
    <font>
      <sz val="7.5"/>
      <color theme="1"/>
      <name val="Arial"/>
      <family val="2"/>
    </font>
    <font>
      <sz val="10"/>
      <color theme="3"/>
      <name val="Arial"/>
      <family val="2"/>
    </font>
    <font>
      <sz val="10"/>
      <color theme="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238" fillId="16" borderId="0" xfId="13" applyFont="1" applyFill="1" applyBorder="1" applyAlignment="1" applyProtection="1">
      <alignment horizontal="left" vertical="center"/>
      <protection locked="0"/>
    </xf>
    <xf numFmtId="0" fontId="230" fillId="16" borderId="0" xfId="13"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0" xfId="13" applyFont="1" applyFill="1" applyAlignment="1">
      <alignment horizontal="left" vertical="center"/>
    </xf>
    <xf numFmtId="0" fontId="152" fillId="0" borderId="0" xfId="10" applyFont="1" applyAlignment="1">
      <alignment horizontal="left" vertical="center"/>
    </xf>
    <xf numFmtId="0" fontId="158" fillId="6" borderId="0" xfId="13" applyFont="1" applyFill="1" applyAlignment="1">
      <alignment horizontal="left" vertical="center"/>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0" fontId="152" fillId="0" borderId="122" xfId="10" applyFont="1" applyBorder="1" applyAlignment="1">
      <alignment horizontal="left" vertical="center"/>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66" xfId="0" applyFont="1" applyBorder="1" applyAlignment="1">
      <alignment vertical="center" wrapText="1"/>
    </xf>
    <xf numFmtId="0" fontId="281" fillId="0" borderId="66" xfId="0" applyFont="1" applyBorder="1" applyAlignment="1">
      <alignment vertical="center" wrapText="1"/>
    </xf>
    <xf numFmtId="0" fontId="281" fillId="6" borderId="66" xfId="0" applyFont="1" applyFill="1" applyBorder="1" applyAlignment="1">
      <alignment vertical="center" wrapText="1"/>
    </xf>
    <xf numFmtId="0" fontId="0" fillId="6" borderId="0" xfId="0" applyFill="1">
      <alignment vertical="center"/>
    </xf>
    <xf numFmtId="0" fontId="86" fillId="20" borderId="46" xfId="2" applyNumberFormat="1"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282" fillId="5" borderId="0" xfId="0" applyFont="1" applyFill="1" applyAlignment="1" applyProtection="1">
      <alignment horizontal="center" vertical="center"/>
      <protection locked="0"/>
    </xf>
    <xf numFmtId="0" fontId="283" fillId="5" borderId="0" xfId="0" applyFont="1" applyFill="1" applyAlignment="1" applyProtection="1">
      <alignment horizontal="center" vertical="center"/>
      <protection locked="0"/>
    </xf>
    <xf numFmtId="0" fontId="145" fillId="9" borderId="0" xfId="0" applyFont="1" applyFill="1">
      <alignment vertical="center"/>
    </xf>
    <xf numFmtId="0" fontId="0" fillId="9" borderId="0" xfId="0" applyFill="1">
      <alignment vertical="center"/>
    </xf>
    <xf numFmtId="0" fontId="145" fillId="21" borderId="0" xfId="0" applyFont="1" applyFill="1">
      <alignment vertical="center"/>
    </xf>
    <xf numFmtId="0" fontId="0" fillId="21" borderId="0" xfId="0" applyFill="1">
      <alignment vertical="center"/>
    </xf>
    <xf numFmtId="10" fontId="153" fillId="0" borderId="2" xfId="0" applyNumberFormat="1" applyFont="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80" fontId="71" fillId="0" borderId="2" xfId="0" applyNumberFormat="1" applyFont="1" applyFill="1" applyBorder="1" applyAlignment="1" applyProtection="1">
      <alignment horizontal="center" vertical="center"/>
      <protection locked="0"/>
    </xf>
    <xf numFmtId="0" fontId="81" fillId="0" borderId="0" xfId="0" applyFont="1" applyProtection="1">
      <alignment vertical="center"/>
      <protection locked="0"/>
    </xf>
    <xf numFmtId="0" fontId="157" fillId="0" borderId="0" xfId="13" applyFont="1" applyAlignment="1">
      <alignment horizontal="left" vertical="center"/>
    </xf>
    <xf numFmtId="0" fontId="157" fillId="0" borderId="148" xfId="13" applyFont="1" applyBorder="1" applyAlignment="1">
      <alignment horizontal="left" vertical="center"/>
    </xf>
    <xf numFmtId="0" fontId="157" fillId="0" borderId="149" xfId="13" applyFont="1" applyBorder="1" applyAlignment="1">
      <alignment horizontal="left" vertical="center"/>
    </xf>
    <xf numFmtId="0" fontId="157" fillId="16" borderId="122" xfId="13" applyFont="1" applyFill="1" applyBorder="1" applyAlignment="1">
      <alignment horizontal="left" vertical="center"/>
    </xf>
    <xf numFmtId="0" fontId="157" fillId="16" borderId="0" xfId="13" applyFont="1" applyFill="1" applyBorder="1" applyAlignment="1">
      <alignment horizontal="left" vertical="center"/>
    </xf>
    <xf numFmtId="0" fontId="157" fillId="16" borderId="0" xfId="13" applyFont="1" applyFill="1" applyAlignment="1">
      <alignment horizontal="left" vertical="center"/>
    </xf>
    <xf numFmtId="0" fontId="152" fillId="16" borderId="0" xfId="13" applyFont="1" applyFill="1" applyAlignment="1">
      <alignment horizontal="left" vertical="center"/>
    </xf>
    <xf numFmtId="10" fontId="152" fillId="16" borderId="0" xfId="13" applyNumberFormat="1" applyFont="1" applyFill="1" applyAlignment="1">
      <alignment horizontal="left" vertical="center"/>
    </xf>
    <xf numFmtId="0" fontId="157" fillId="0" borderId="122" xfId="13" applyFont="1" applyFill="1" applyBorder="1" applyAlignment="1">
      <alignment horizontal="left" vertical="center"/>
    </xf>
    <xf numFmtId="0" fontId="157" fillId="0" borderId="0" xfId="13" applyFont="1" applyFill="1" applyBorder="1" applyAlignment="1">
      <alignment horizontal="left" vertical="center"/>
    </xf>
    <xf numFmtId="0" fontId="157" fillId="0" borderId="0" xfId="13" applyFont="1" applyFill="1" applyBorder="1" applyAlignment="1" applyProtection="1">
      <alignment horizontal="left" vertical="center"/>
      <protection locked="0"/>
    </xf>
    <xf numFmtId="0" fontId="152" fillId="0" borderId="0" xfId="13" applyFont="1" applyAlignment="1">
      <alignment horizontal="left" vertical="center"/>
    </xf>
    <xf numFmtId="10" fontId="152" fillId="0" borderId="0" xfId="13" applyNumberFormat="1" applyFont="1" applyAlignment="1">
      <alignment horizontal="left" vertical="center"/>
    </xf>
    <xf numFmtId="49" fontId="86" fillId="14" borderId="2" xfId="13" applyNumberFormat="1" applyFont="1" applyFill="1" applyBorder="1" applyAlignment="1" applyProtection="1">
      <alignment horizontal="left" vertical="center" wrapText="1"/>
    </xf>
    <xf numFmtId="185" fontId="238" fillId="14" borderId="0" xfId="13" applyNumberFormat="1" applyFont="1" applyFill="1" applyBorder="1" applyAlignment="1">
      <alignment horizontal="left" vertical="center"/>
    </xf>
    <xf numFmtId="0" fontId="236" fillId="14" borderId="124" xfId="13" applyFont="1" applyFill="1" applyBorder="1" applyAlignment="1" applyProtection="1">
      <alignment horizontal="left" vertical="center" wrapText="1"/>
    </xf>
    <xf numFmtId="0" fontId="238" fillId="14" borderId="0" xfId="13" applyFont="1" applyFill="1" applyBorder="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pplyProtection="1">
      <alignment horizontal="left" vertical="center" wrapText="1"/>
    </xf>
    <xf numFmtId="185" fontId="152" fillId="0" borderId="0" xfId="13" applyNumberFormat="1" applyFont="1" applyAlignment="1">
      <alignment horizontal="left" vertical="center"/>
    </xf>
    <xf numFmtId="10" fontId="152" fillId="0" borderId="122" xfId="13" applyNumberFormat="1" applyFont="1" applyBorder="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6" fillId="12" borderId="120" xfId="13" applyFont="1" applyFill="1" applyBorder="1" applyAlignment="1" applyProtection="1">
      <alignment horizontal="left" vertical="center" wrapText="1"/>
    </xf>
    <xf numFmtId="0" fontId="236" fillId="12" borderId="121" xfId="13" applyFont="1" applyFill="1" applyBorder="1" applyAlignment="1" applyProtection="1">
      <alignment horizontal="left" vertical="center" wrapText="1"/>
    </xf>
    <xf numFmtId="182" fontId="152" fillId="0" borderId="122" xfId="13" applyNumberFormat="1" applyFont="1" applyBorder="1" applyAlignment="1">
      <alignment horizontal="left" vertical="center"/>
    </xf>
    <xf numFmtId="182" fontId="152" fillId="0" borderId="0" xfId="13" applyNumberFormat="1" applyFont="1" applyAlignment="1">
      <alignment horizontal="left" vertical="center"/>
    </xf>
    <xf numFmtId="0" fontId="236" fillId="12" borderId="124" xfId="13" applyFont="1" applyFill="1" applyBorder="1" applyAlignment="1" applyProtection="1">
      <alignment horizontal="left" vertical="center" wrapText="1"/>
    </xf>
    <xf numFmtId="0" fontId="236" fillId="12" borderId="128" xfId="13" applyFont="1" applyFill="1" applyBorder="1" applyAlignment="1" applyProtection="1">
      <alignment horizontal="left" vertical="center" wrapText="1"/>
    </xf>
    <xf numFmtId="10" fontId="152" fillId="0" borderId="132" xfId="13" applyNumberFormat="1" applyFont="1" applyBorder="1" applyAlignment="1">
      <alignment horizontal="left" vertical="center"/>
    </xf>
    <xf numFmtId="10" fontId="152" fillId="0" borderId="14" xfId="13" applyNumberFormat="1" applyFont="1" applyBorder="1" applyAlignment="1">
      <alignment horizontal="left" vertical="center"/>
    </xf>
    <xf numFmtId="10" fontId="152" fillId="0" borderId="0" xfId="13" applyNumberFormat="1" applyFont="1" applyBorder="1" applyAlignment="1">
      <alignment horizontal="left" vertical="center"/>
    </xf>
    <xf numFmtId="0" fontId="236" fillId="12" borderId="130" xfId="13" applyFont="1" applyFill="1" applyBorder="1" applyAlignment="1" applyProtection="1">
      <alignment horizontal="left" vertical="center" wrapText="1"/>
    </xf>
    <xf numFmtId="0" fontId="236" fillId="12" borderId="131" xfId="13" applyFont="1" applyFill="1" applyBorder="1" applyAlignment="1" applyProtection="1">
      <alignment horizontal="left" vertical="center" wrapText="1"/>
    </xf>
    <xf numFmtId="0" fontId="152" fillId="0" borderId="122" xfId="13" applyFont="1" applyBorder="1" applyAlignment="1">
      <alignment horizontal="left" vertical="center"/>
    </xf>
    <xf numFmtId="0" fontId="236" fillId="13" borderId="120" xfId="13" applyFont="1" applyFill="1" applyBorder="1" applyAlignment="1" applyProtection="1">
      <alignment horizontal="left" vertical="center" wrapText="1"/>
    </xf>
    <xf numFmtId="0" fontId="236" fillId="13" borderId="121" xfId="13" applyFont="1" applyFill="1" applyBorder="1" applyAlignment="1" applyProtection="1">
      <alignment horizontal="left" vertical="center" wrapText="1"/>
    </xf>
    <xf numFmtId="185" fontId="157" fillId="12" borderId="124" xfId="13" applyNumberFormat="1" applyFont="1" applyFill="1" applyBorder="1" applyAlignment="1">
      <alignment horizontal="left" vertical="center" wrapText="1"/>
    </xf>
    <xf numFmtId="185" fontId="157" fillId="12" borderId="133" xfId="13" applyNumberFormat="1" applyFont="1" applyFill="1" applyBorder="1" applyAlignment="1">
      <alignment horizontal="left" vertical="center" wrapText="1"/>
    </xf>
    <xf numFmtId="0" fontId="152" fillId="13" borderId="120" xfId="13" applyFont="1" applyFill="1" applyBorder="1" applyAlignment="1" applyProtection="1">
      <alignment horizontal="left" vertical="center" wrapText="1"/>
    </xf>
    <xf numFmtId="0" fontId="152" fillId="13" borderId="121" xfId="13" applyFont="1" applyFill="1" applyBorder="1" applyAlignment="1" applyProtection="1">
      <alignment horizontal="left" vertical="center" wrapText="1"/>
    </xf>
    <xf numFmtId="49" fontId="86" fillId="6" borderId="2" xfId="13" applyNumberFormat="1" applyFont="1" applyFill="1" applyBorder="1" applyAlignment="1" applyProtection="1">
      <alignment horizontal="left" vertical="center" wrapText="1"/>
    </xf>
    <xf numFmtId="185" fontId="152" fillId="6" borderId="0" xfId="13" applyNumberFormat="1" applyFont="1" applyFill="1" applyAlignment="1">
      <alignment horizontal="left" vertical="center"/>
    </xf>
    <xf numFmtId="0" fontId="152" fillId="6" borderId="124" xfId="13" applyFont="1" applyFill="1" applyBorder="1" applyAlignment="1" applyProtection="1">
      <alignment horizontal="left" vertical="center" wrapText="1"/>
    </xf>
    <xf numFmtId="0" fontId="152" fillId="6" borderId="128" xfId="13" applyFont="1" applyFill="1" applyBorder="1" applyAlignment="1" applyProtection="1">
      <alignment horizontal="left" vertical="center" wrapText="1"/>
    </xf>
    <xf numFmtId="0" fontId="152" fillId="6" borderId="0" xfId="13" applyFont="1" applyFill="1" applyAlignment="1">
      <alignment horizontal="left" vertical="center"/>
    </xf>
    <xf numFmtId="10" fontId="152" fillId="6" borderId="122" xfId="13" applyNumberFormat="1" applyFont="1" applyFill="1" applyBorder="1" applyAlignment="1">
      <alignment horizontal="left" vertical="center"/>
    </xf>
    <xf numFmtId="10" fontId="152" fillId="6" borderId="0" xfId="13" applyNumberFormat="1" applyFont="1" applyFill="1" applyAlignment="1">
      <alignment horizontal="left" vertical="center"/>
    </xf>
    <xf numFmtId="178" fontId="152" fillId="6" borderId="0" xfId="13" applyNumberFormat="1" applyFont="1" applyFill="1" applyAlignment="1">
      <alignment horizontal="left" vertical="center"/>
    </xf>
    <xf numFmtId="10" fontId="152" fillId="6" borderId="126" xfId="13" applyNumberFormat="1" applyFont="1" applyFill="1" applyBorder="1" applyAlignment="1">
      <alignment horizontal="left" vertical="center"/>
    </xf>
    <xf numFmtId="10" fontId="152" fillId="6" borderId="19" xfId="13" applyNumberFormat="1" applyFont="1" applyFill="1" applyBorder="1" applyAlignment="1">
      <alignment horizontal="left" vertical="center"/>
    </xf>
    <xf numFmtId="0" fontId="200" fillId="6" borderId="0" xfId="13" applyFont="1" applyFill="1" applyAlignment="1">
      <alignment horizontal="left" vertical="center"/>
    </xf>
    <xf numFmtId="0" fontId="152" fillId="6" borderId="0" xfId="13" applyNumberFormat="1" applyFont="1" applyFill="1" applyAlignment="1">
      <alignment horizontal="left" vertical="center"/>
    </xf>
    <xf numFmtId="0" fontId="152" fillId="12" borderId="130" xfId="13" applyFont="1" applyFill="1" applyBorder="1" applyAlignment="1" applyProtection="1">
      <alignment horizontal="left" vertical="center" wrapText="1"/>
    </xf>
    <xf numFmtId="0" fontId="152" fillId="12" borderId="131" xfId="13" applyFont="1" applyFill="1" applyBorder="1" applyAlignment="1" applyProtection="1">
      <alignment horizontal="left" vertical="center" wrapText="1"/>
    </xf>
    <xf numFmtId="14" fontId="152" fillId="0" borderId="0" xfId="13" applyNumberFormat="1" applyFont="1" applyAlignment="1">
      <alignment horizontal="left" vertical="center"/>
    </xf>
    <xf numFmtId="0" fontId="200" fillId="0" borderId="0" xfId="13" applyFont="1" applyAlignment="1">
      <alignment horizontal="left" vertical="center"/>
    </xf>
    <xf numFmtId="0" fontId="152" fillId="0" borderId="0" xfId="13" applyNumberFormat="1" applyFont="1" applyAlignment="1">
      <alignment horizontal="left" vertical="center"/>
    </xf>
    <xf numFmtId="185" fontId="157" fillId="12" borderId="130" xfId="13" applyNumberFormat="1" applyFont="1" applyFill="1" applyBorder="1" applyAlignment="1">
      <alignment horizontal="left" vertical="center" wrapText="1"/>
    </xf>
    <xf numFmtId="185" fontId="157" fillId="12" borderId="134" xfId="13" applyNumberFormat="1" applyFont="1" applyFill="1" applyBorder="1" applyAlignment="1">
      <alignment horizontal="left" vertical="center" wrapText="1"/>
    </xf>
    <xf numFmtId="185" fontId="152" fillId="14" borderId="0" xfId="13" applyNumberFormat="1" applyFont="1" applyFill="1" applyAlignment="1">
      <alignment horizontal="left" vertical="center"/>
    </xf>
    <xf numFmtId="185" fontId="152" fillId="0" borderId="61" xfId="13" applyNumberFormat="1" applyFont="1" applyBorder="1" applyAlignment="1">
      <alignment horizontal="left" vertical="center"/>
    </xf>
    <xf numFmtId="0" fontId="236" fillId="13" borderId="135" xfId="13" applyFont="1" applyFill="1" applyBorder="1" applyAlignment="1" applyProtection="1">
      <alignment horizontal="left" vertical="center" wrapText="1"/>
    </xf>
    <xf numFmtId="0" fontId="236" fillId="13" borderId="136" xfId="13" applyFont="1" applyFill="1" applyBorder="1" applyAlignment="1" applyProtection="1">
      <alignment horizontal="left" vertical="center" wrapText="1"/>
    </xf>
    <xf numFmtId="0" fontId="152" fillId="0" borderId="61" xfId="13" applyFont="1" applyBorder="1" applyAlignment="1">
      <alignment horizontal="left" vertical="center"/>
    </xf>
    <xf numFmtId="10" fontId="152" fillId="0" borderId="137" xfId="13" applyNumberFormat="1" applyFont="1" applyBorder="1" applyAlignment="1">
      <alignment horizontal="left" vertical="center"/>
    </xf>
    <xf numFmtId="10" fontId="152" fillId="0" borderId="61" xfId="13" applyNumberFormat="1" applyFont="1" applyBorder="1" applyAlignment="1">
      <alignment horizontal="left" vertical="center"/>
    </xf>
    <xf numFmtId="178" fontId="152" fillId="0" borderId="61" xfId="13" applyNumberFormat="1" applyFont="1" applyBorder="1" applyAlignment="1">
      <alignment horizontal="left" vertical="center"/>
    </xf>
    <xf numFmtId="0" fontId="236" fillId="12" borderId="138" xfId="13" applyFont="1" applyFill="1" applyBorder="1" applyAlignment="1" applyProtection="1">
      <alignment horizontal="left" vertical="center" wrapText="1"/>
    </xf>
    <xf numFmtId="0" fontId="236" fillId="12" borderId="139" xfId="13" applyFont="1" applyFill="1" applyBorder="1" applyAlignment="1" applyProtection="1">
      <alignment horizontal="left" vertical="center" wrapText="1"/>
    </xf>
    <xf numFmtId="10" fontId="152" fillId="15" borderId="122" xfId="13" applyNumberFormat="1" applyFont="1" applyFill="1" applyBorder="1" applyAlignment="1">
      <alignment horizontal="left" vertical="center"/>
    </xf>
    <xf numFmtId="10" fontId="152" fillId="15" borderId="0" xfId="13" applyNumberFormat="1" applyFont="1" applyFill="1" applyAlignment="1">
      <alignment horizontal="left" vertical="center"/>
    </xf>
    <xf numFmtId="179" fontId="152" fillId="0" borderId="0" xfId="13" applyNumberFormat="1" applyFont="1" applyAlignment="1">
      <alignment horizontal="left" vertical="center"/>
    </xf>
    <xf numFmtId="10" fontId="152" fillId="15" borderId="126" xfId="13" applyNumberFormat="1" applyFont="1" applyFill="1" applyBorder="1" applyAlignment="1">
      <alignment horizontal="left" vertical="center"/>
    </xf>
    <xf numFmtId="10" fontId="152" fillId="15" borderId="19" xfId="13" applyNumberFormat="1" applyFont="1" applyFill="1" applyBorder="1" applyAlignment="1">
      <alignment horizontal="left" vertical="center"/>
    </xf>
    <xf numFmtId="10" fontId="152" fillId="15" borderId="137" xfId="13" applyNumberFormat="1" applyFont="1" applyFill="1" applyBorder="1" applyAlignment="1">
      <alignment horizontal="left" vertical="center"/>
    </xf>
    <xf numFmtId="10" fontId="152" fillId="15" borderId="61" xfId="13" applyNumberFormat="1" applyFont="1" applyFill="1" applyBorder="1" applyAlignment="1">
      <alignment horizontal="left" vertical="center"/>
    </xf>
    <xf numFmtId="179" fontId="152" fillId="0" borderId="61" xfId="13" applyNumberFormat="1" applyFont="1" applyBorder="1" applyAlignment="1">
      <alignment horizontal="left" vertical="center"/>
    </xf>
    <xf numFmtId="0" fontId="157" fillId="13" borderId="140" xfId="13" applyFont="1" applyFill="1" applyBorder="1" applyAlignment="1">
      <alignment horizontal="left" vertical="center" wrapText="1"/>
    </xf>
    <xf numFmtId="0" fontId="157" fillId="13" borderId="141" xfId="13" applyFont="1" applyFill="1" applyBorder="1" applyAlignment="1">
      <alignment horizontal="left" vertical="center" wrapText="1"/>
    </xf>
    <xf numFmtId="181" fontId="152" fillId="0" borderId="0" xfId="13" applyNumberFormat="1" applyFont="1" applyAlignment="1">
      <alignment horizontal="left" vertical="center"/>
    </xf>
    <xf numFmtId="181" fontId="152" fillId="0" borderId="122" xfId="13" applyNumberFormat="1" applyFont="1" applyBorder="1" applyAlignment="1">
      <alignment horizontal="left" vertical="center"/>
    </xf>
    <xf numFmtId="178" fontId="152" fillId="15" borderId="0" xfId="13" applyNumberFormat="1" applyFont="1" applyFill="1" applyAlignment="1">
      <alignment horizontal="left" vertical="center"/>
    </xf>
    <xf numFmtId="0" fontId="236" fillId="13" borderId="130" xfId="13" applyFont="1" applyFill="1" applyBorder="1" applyAlignment="1" applyProtection="1">
      <alignment horizontal="left" vertical="center" wrapText="1"/>
    </xf>
    <xf numFmtId="0" fontId="157" fillId="12" borderId="130" xfId="13" applyFont="1" applyFill="1" applyBorder="1" applyAlignment="1">
      <alignment horizontal="left" vertical="center" wrapText="1"/>
    </xf>
    <xf numFmtId="0" fontId="157" fillId="12" borderId="134" xfId="13" applyFont="1" applyFill="1" applyBorder="1" applyAlignment="1">
      <alignment horizontal="left" vertical="center" wrapText="1"/>
    </xf>
    <xf numFmtId="0" fontId="236" fillId="6" borderId="124" xfId="13" applyFont="1" applyFill="1" applyBorder="1" applyAlignment="1" applyProtection="1">
      <alignment horizontal="left" vertical="center" wrapText="1"/>
    </xf>
    <xf numFmtId="181" fontId="152" fillId="6" borderId="0" xfId="13" applyNumberFormat="1" applyFont="1" applyFill="1" applyAlignment="1">
      <alignment horizontal="left" vertical="center"/>
    </xf>
    <xf numFmtId="0" fontId="152" fillId="6" borderId="122" xfId="13" applyFont="1" applyFill="1" applyBorder="1" applyAlignment="1">
      <alignment horizontal="left" vertical="center"/>
    </xf>
    <xf numFmtId="179" fontId="152" fillId="6" borderId="0" xfId="13" applyNumberFormat="1" applyFont="1" applyFill="1" applyAlignment="1">
      <alignment horizontal="left" vertical="center"/>
    </xf>
    <xf numFmtId="0" fontId="157" fillId="12" borderId="142" xfId="13" applyFont="1" applyFill="1" applyBorder="1" applyAlignment="1">
      <alignment horizontal="left" vertical="center" wrapText="1"/>
    </xf>
    <xf numFmtId="0" fontId="157" fillId="12" borderId="143" xfId="13" applyFont="1" applyFill="1" applyBorder="1" applyAlignment="1">
      <alignment horizontal="left" vertical="center" wrapText="1"/>
    </xf>
    <xf numFmtId="0" fontId="157" fillId="12" borderId="144" xfId="13" applyFont="1" applyFill="1" applyBorder="1" applyAlignment="1">
      <alignment horizontal="left" vertical="center" wrapText="1"/>
    </xf>
    <xf numFmtId="0" fontId="210" fillId="0" borderId="0" xfId="13" applyFont="1" applyAlignment="1">
      <alignment horizontal="left" vertical="center"/>
    </xf>
    <xf numFmtId="0" fontId="158" fillId="0" borderId="0" xfId="13" applyFont="1" applyAlignment="1">
      <alignment horizontal="left" vertical="center"/>
    </xf>
    <xf numFmtId="0" fontId="158" fillId="0" borderId="122" xfId="13" applyFont="1" applyBorder="1" applyAlignment="1">
      <alignment horizontal="left" vertical="center"/>
    </xf>
    <xf numFmtId="181" fontId="158" fillId="0" borderId="0" xfId="13" applyNumberFormat="1" applyFont="1" applyAlignment="1">
      <alignment horizontal="left" vertical="center"/>
    </xf>
    <xf numFmtId="181" fontId="158" fillId="0" borderId="122" xfId="13" applyNumberFormat="1" applyFont="1" applyBorder="1" applyAlignment="1">
      <alignment horizontal="left" vertical="center"/>
    </xf>
    <xf numFmtId="0" fontId="236" fillId="13" borderId="145" xfId="13" applyFont="1" applyFill="1" applyBorder="1" applyAlignment="1">
      <alignment horizontal="left" vertical="center" wrapText="1"/>
    </xf>
    <xf numFmtId="0" fontId="236" fillId="13" borderId="120" xfId="13" applyFont="1" applyFill="1" applyBorder="1" applyAlignment="1">
      <alignment horizontal="left" vertical="center" wrapText="1"/>
    </xf>
    <xf numFmtId="0" fontId="236" fillId="12" borderId="146" xfId="13" applyFont="1" applyFill="1" applyBorder="1" applyAlignment="1">
      <alignment horizontal="left" vertical="center" wrapText="1"/>
    </xf>
    <xf numFmtId="0" fontId="236" fillId="12" borderId="124" xfId="13" applyFont="1" applyFill="1" applyBorder="1" applyAlignment="1">
      <alignment horizontal="left" vertical="center" wrapText="1"/>
    </xf>
    <xf numFmtId="0" fontId="236" fillId="13" borderId="146" xfId="13" applyFont="1" applyFill="1" applyBorder="1" applyAlignment="1">
      <alignment horizontal="left" vertical="center" wrapText="1"/>
    </xf>
    <xf numFmtId="0" fontId="236" fillId="13" borderId="124" xfId="13" applyFont="1" applyFill="1" applyBorder="1" applyAlignment="1">
      <alignment horizontal="left" vertical="center" wrapText="1"/>
    </xf>
    <xf numFmtId="0" fontId="236" fillId="12" borderId="147" xfId="13" applyFont="1" applyFill="1" applyBorder="1" applyAlignment="1">
      <alignment horizontal="left" vertical="center" wrapText="1"/>
    </xf>
    <xf numFmtId="0" fontId="236" fillId="12" borderId="130" xfId="13" applyFont="1" applyFill="1" applyBorder="1" applyAlignment="1">
      <alignment horizontal="left" vertical="center" wrapText="1"/>
    </xf>
    <xf numFmtId="0" fontId="164" fillId="0" borderId="2" xfId="0" applyFont="1" applyBorder="1" applyAlignment="1">
      <alignment horizontal="left" vertical="center"/>
    </xf>
    <xf numFmtId="0" fontId="164" fillId="0" borderId="2" xfId="0" applyFont="1" applyBorder="1" applyAlignment="1">
      <alignment horizontal="left" vertical="center" wrapText="1"/>
    </xf>
    <xf numFmtId="0" fontId="164" fillId="0" borderId="2" xfId="0" applyFont="1" applyFill="1" applyBorder="1" applyAlignment="1">
      <alignment horizontal="lef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0" borderId="35" xfId="0" applyFont="1" applyBorder="1" applyAlignment="1">
      <alignment vertical="center" wrapText="1"/>
    </xf>
    <xf numFmtId="0" fontId="281" fillId="0" borderId="79" xfId="0" applyFont="1" applyBorder="1" applyAlignment="1">
      <alignment vertical="center" wrapText="1"/>
    </xf>
    <xf numFmtId="0" fontId="281" fillId="0" borderId="80" xfId="0" applyFont="1" applyBorder="1" applyAlignment="1">
      <alignment vertical="center" wrapText="1"/>
    </xf>
    <xf numFmtId="0" fontId="280" fillId="6" borderId="36" xfId="0" applyFont="1" applyFill="1" applyBorder="1" applyAlignment="1">
      <alignment vertical="center" wrapText="1"/>
    </xf>
    <xf numFmtId="0" fontId="280" fillId="6" borderId="37" xfId="0" applyFont="1" applyFill="1" applyBorder="1" applyAlignment="1">
      <alignment vertical="center" wrapText="1"/>
    </xf>
    <xf numFmtId="0" fontId="280" fillId="6" borderId="38" xfId="0" applyFont="1" applyFill="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0" borderId="35" xfId="0" applyFont="1" applyBorder="1" applyAlignment="1">
      <alignment vertical="center" wrapText="1"/>
    </xf>
    <xf numFmtId="0" fontId="280" fillId="0" borderId="80" xfId="0" applyFont="1" applyBorder="1" applyAlignment="1">
      <alignment vertical="center" wrapText="1"/>
    </xf>
    <xf numFmtId="0" fontId="280" fillId="0" borderId="79"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29" xfId="13" applyFont="1" applyFill="1" applyBorder="1" applyAlignment="1" applyProtection="1">
      <alignment horizontal="left" vertical="center" wrapText="1"/>
    </xf>
    <xf numFmtId="0" fontId="236" fillId="12" borderId="123" xfId="13" applyFont="1" applyFill="1" applyBorder="1" applyAlignment="1" applyProtection="1">
      <alignment horizontal="left" vertical="center" wrapText="1"/>
    </xf>
    <xf numFmtId="0" fontId="236" fillId="12" borderId="125" xfId="13" applyFont="1" applyFill="1" applyBorder="1" applyAlignment="1" applyProtection="1">
      <alignment horizontal="left" vertical="center" wrapText="1"/>
    </xf>
    <xf numFmtId="0" fontId="152" fillId="12" borderId="129" xfId="13" applyFont="1" applyFill="1" applyBorder="1" applyAlignment="1" applyProtection="1">
      <alignment horizontal="left" vertical="center" wrapText="1"/>
    </xf>
    <xf numFmtId="0" fontId="152" fillId="12" borderId="123" xfId="13" applyFont="1" applyFill="1" applyBorder="1" applyAlignment="1" applyProtection="1">
      <alignment horizontal="left" vertical="center" wrapText="1"/>
    </xf>
    <xf numFmtId="0" fontId="152" fillId="12" borderId="125" xfId="13" applyFont="1" applyFill="1" applyBorder="1" applyAlignment="1" applyProtection="1">
      <alignment horizontal="left" vertical="center" wrapText="1"/>
    </xf>
    <xf numFmtId="0" fontId="230" fillId="0" borderId="0" xfId="13" applyFont="1" applyAlignment="1">
      <alignment horizontal="left" vertical="center"/>
    </xf>
    <xf numFmtId="0" fontId="157" fillId="0" borderId="0" xfId="13" applyFont="1" applyAlignment="1">
      <alignment horizontal="left" vertical="center"/>
    </xf>
    <xf numFmtId="0" fontId="236" fillId="12" borderId="152" xfId="13" applyFont="1" applyFill="1" applyBorder="1" applyAlignment="1" applyProtection="1">
      <alignment horizontal="left" vertical="center" wrapText="1"/>
    </xf>
    <xf numFmtId="0" fontId="236" fillId="12" borderId="119" xfId="13" applyFont="1" applyFill="1" applyBorder="1" applyAlignment="1" applyProtection="1">
      <alignment horizontal="left" vertical="center" wrapText="1"/>
    </xf>
    <xf numFmtId="0" fontId="234" fillId="0" borderId="0" xfId="13" applyFont="1" applyAlignment="1">
      <alignment horizontal="left"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0" xfId="0" applyFont="1" applyFill="1" applyBorder="1" applyAlignment="1">
      <alignment horizontal="left" vertical="center" wrapText="1"/>
    </xf>
    <xf numFmtId="0" fontId="164" fillId="0" borderId="2" xfId="0" applyFont="1" applyBorder="1" applyAlignment="1">
      <alignment horizontal="left" vertical="center"/>
    </xf>
    <xf numFmtId="0" fontId="164" fillId="0" borderId="2" xfId="0" applyFont="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22312;&#24314;3.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3.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istrator\Desktop\&#38376;&#40594;-&#20013;&#35802;&#20449;&#25176;-&#38605;&#26223;&#26691;&#28304;\&#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33238.620000000003</v>
          </cell>
          <cell r="E3">
            <v>60146.96</v>
          </cell>
        </row>
        <row r="19">
          <cell r="G19">
            <v>2983.76</v>
          </cell>
        </row>
        <row r="20">
          <cell r="G20">
            <v>6899.9699999999993</v>
          </cell>
        </row>
        <row r="22">
          <cell r="G22">
            <v>15029.24</v>
          </cell>
        </row>
        <row r="27">
          <cell r="F27">
            <v>33201.770000000004</v>
          </cell>
        </row>
      </sheetData>
      <sheetData sheetId="15"/>
      <sheetData sheetId="16"/>
      <sheetData sheetId="17">
        <row r="14">
          <cell r="B14">
            <v>60146.96</v>
          </cell>
          <cell r="C14">
            <v>33238.620000000003</v>
          </cell>
          <cell r="G14">
            <v>37682</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70826.34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43894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72555.72</v>
          </cell>
          <cell r="C14">
            <v>40036.67</v>
          </cell>
          <cell r="D14">
            <v>51985</v>
          </cell>
        </row>
      </sheetData>
      <sheetData sheetId="18">
        <row r="118">
          <cell r="B118">
            <v>72555.72</v>
          </cell>
          <cell r="C118">
            <v>40036.67</v>
          </cell>
          <cell r="D118">
            <v>45435</v>
          </cell>
          <cell r="E118">
            <v>6262</v>
          </cell>
          <cell r="F118">
            <v>6550</v>
          </cell>
          <cell r="G118">
            <v>903</v>
          </cell>
          <cell r="H118">
            <v>51985</v>
          </cell>
          <cell r="I118">
            <v>7165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38060</v>
          </cell>
        </row>
      </sheetData>
      <sheetData sheetId="18">
        <row r="38">
          <cell r="K38">
            <v>33238.620000000003</v>
          </cell>
          <cell r="L38">
            <v>60146.96</v>
          </cell>
          <cell r="N38">
            <v>6328</v>
          </cell>
          <cell r="O38">
            <v>38060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抵押</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K38">
            <v>38548.01</v>
          </cell>
          <cell r="L38">
            <v>70826.34</v>
          </cell>
          <cell r="N38">
            <v>6197</v>
          </cell>
          <cell r="O38">
            <v>43894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2612</v>
      </c>
      <c r="B1" s="2606" t="s">
        <v>2709</v>
      </c>
    </row>
    <row r="2" spans="1:55" s="2610" customFormat="1" ht="15" thickTop="1">
      <c r="A2" s="2608" t="s">
        <v>2616</v>
      </c>
      <c r="B2" s="2609" t="str">
        <f>'预评函-封皮'!B37</f>
        <v>北京市平谷区金海湖镇PG06-0100-6020、6021、6024地块3宗住宅、地下仓储、地下车库用地及PG06-0100-6019地块1宗商业、地下车库用地出让国有建设用地使用权抵押价格预评估</v>
      </c>
      <c r="AX2" s="2611"/>
      <c r="AZ2" s="2611"/>
      <c r="BA2" s="2612"/>
      <c r="BC2" s="2612"/>
    </row>
    <row r="3" spans="1:55" s="2613" customFormat="1">
      <c r="A3" s="2592" t="s">
        <v>2617</v>
      </c>
      <c r="B3" s="2595" t="str">
        <f>'预评函-封皮'!B40</f>
        <v>北京金谷创展置业有限责任公司</v>
      </c>
    </row>
    <row r="4" spans="1:55" s="2594" customFormat="1">
      <c r="A4" s="2592" t="s">
        <v>2618</v>
      </c>
      <c r="B4" s="2593" t="str">
        <f>'预评函-封皮'!B46</f>
        <v>吴薇、崔锴</v>
      </c>
      <c r="N4" s="2594" t="str">
        <f>'预评函-1'!A28</f>
        <v/>
      </c>
    </row>
    <row r="5" spans="1:55" s="2607" customFormat="1" ht="15" thickBot="1">
      <c r="A5" s="2614" t="s">
        <v>2619</v>
      </c>
      <c r="B5" s="2615" t="str">
        <f>'预评函-封皮'!B49</f>
        <v>康正预评字2020-1-0527-F01DYGJ1号</v>
      </c>
    </row>
    <row r="6" spans="1:55" s="2616" customFormat="1" ht="15" thickTop="1">
      <c r="A6" s="2608" t="s">
        <v>2661</v>
      </c>
      <c r="B6" s="2609" t="str">
        <f>'预评函-1'!A4</f>
        <v>受贵公司委托，我公司对北京市平谷区金海湖镇PG06-0100-6020、6021、6024地块3宗住宅、地下仓储、地下车库用地及PG06-0100-6019地块1宗商业、地下车库用地出让国有建设用地使用权抵押价格进行了预评估。</v>
      </c>
      <c r="AM6" s="2617"/>
    </row>
    <row r="7" spans="1:55" s="2591" customFormat="1">
      <c r="A7" s="2592" t="s">
        <v>2613</v>
      </c>
      <c r="B7" s="2593" t="str">
        <f>'预评函-1'!A6</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8" spans="1:55" s="2591" customFormat="1">
      <c r="A8" s="2592" t="s">
        <v>2614</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2664</v>
      </c>
      <c r="B9" s="2593" t="str">
        <f>'预评函-1'!A9</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2615</v>
      </c>
      <c r="B10" s="2593" t="str">
        <f>'预评函-1'!A11</f>
        <v>2021年3月11日（评估专业人员勘察现场之日）</v>
      </c>
    </row>
    <row r="11" spans="1:55" s="2591" customFormat="1">
      <c r="A11" s="2592" t="s">
        <v>2621</v>
      </c>
      <c r="B11" s="2593" t="str">
        <f>'预评函-1'!A14</f>
        <v>根据《国有土地使用证》[]，本次评估估价对象证载（地类）用途为办公（公共服务设施）、住宅、地下仓储、商业、地下车库。</v>
      </c>
    </row>
    <row r="12" spans="1:55" s="2591" customFormat="1">
      <c r="A12" s="2592" t="s">
        <v>2622</v>
      </c>
      <c r="B12" s="2593" t="str">
        <f>'预评函-1'!A15</f>
        <v>本次评估设定用途即为证载用途商业、地下车库。</v>
      </c>
    </row>
    <row r="13" spans="1:55" s="2591" customFormat="1">
      <c r="A13" s="2592" t="s">
        <v>2623</v>
      </c>
      <c r="B13" s="2593" t="str">
        <f>'预评函-1'!A17</f>
        <v>根据委托估价方介绍及评估专业人员现场勘查，本次评估估价对象实际土地开发程度为红线外市政基础设施达“七通”（即通路、通电、通讯、通上水、通下水、通热、燃气）、宗地红线内场地平整。</v>
      </c>
    </row>
    <row r="14" spans="1:55" s="2591" customFormat="1">
      <c r="A14" s="2592" t="s">
        <v>2624</v>
      </c>
      <c r="B14" s="2593" t="str">
        <f>'预评函-1'!A18</f>
        <v>本次评估设定土地开发程度为红线外市政基础设施达“七通”、宗地红线内场地平整。</v>
      </c>
    </row>
    <row r="15" spans="1:55" s="2591" customFormat="1">
      <c r="A15" s="2592" t="s">
        <v>2620</v>
      </c>
      <c r="B15" s="2593" t="str">
        <f>'预评函-1'!A20</f>
        <v>根据《国有土地使用证》[]，估价对象（分摊）出让国有建设用地使用权面积为9817.37平方米。根据《建设工程规划许可证》[]、《出让合同》[]，估价对象规划建筑面积为14621.33平方米。</v>
      </c>
    </row>
    <row r="16" spans="1:55" s="2591" customFormat="1">
      <c r="A16" s="2592" t="s">
        <v>2625</v>
      </c>
      <c r="B16" s="2593" t="str">
        <f>'预评函-1'!A22</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17" spans="1:48" s="2591" customFormat="1">
      <c r="A17" s="2592" t="s">
        <v>2626</v>
      </c>
      <c r="B17" s="2593" t="str">
        <f>'预评函-1'!A23</f>
        <v>本次评估设定估价对象剩余土地使用年限为。</v>
      </c>
    </row>
    <row r="18" spans="1:48" s="2591" customFormat="1">
      <c r="A18" s="2592" t="s">
        <v>2627</v>
      </c>
      <c r="B18" s="2593" t="str">
        <f>'预评函-1'!A25</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19" spans="1:48" s="2591" customFormat="1">
      <c r="A19" s="2592" t="s">
        <v>2628</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2629</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2630</v>
      </c>
      <c r="B21" s="2615" t="str">
        <f>'预评函-1'!A28</f>
        <v/>
      </c>
    </row>
    <row r="22" spans="1:48" ht="15" thickTop="1">
      <c r="A22" s="2603" t="s">
        <v>2631</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2" t="s">
        <v>2632</v>
      </c>
      <c r="B23" s="2593" t="str">
        <f>'预评函-2'!K2</f>
        <v>估价期日：2021年3月11日</v>
      </c>
    </row>
    <row r="24" spans="1:48">
      <c r="A24" s="2592" t="s">
        <v>2633</v>
      </c>
      <c r="B24" s="2593" t="str">
        <f>'预评函-2'!R2</f>
        <v>估价期日的国有建设用地使用权性质：出让</v>
      </c>
    </row>
    <row r="25" spans="1:48">
      <c r="A25" s="2592" t="s">
        <v>2689</v>
      </c>
      <c r="B25" s="2593" t="str">
        <f>'预评函-2'!A3</f>
        <v>估价期日土地使用者</v>
      </c>
    </row>
    <row r="26" spans="1:48">
      <c r="A26" s="2592" t="s">
        <v>2665</v>
      </c>
      <c r="B26" s="2593" t="str">
        <f>'预评函-2'!A5</f>
        <v>中信开发</v>
      </c>
    </row>
    <row r="27" spans="1:48">
      <c r="A27" s="2592" t="s">
        <v>2690</v>
      </c>
      <c r="B27" s="2593" t="str">
        <f>'预评函-2'!B3</f>
        <v>宗地编号/不动产单元号</v>
      </c>
    </row>
    <row r="28" spans="1:48">
      <c r="A28" s="2592" t="s">
        <v>2666</v>
      </c>
      <c r="B28" s="2593" t="str">
        <f>'预评函-2'!B5</f>
        <v>11111111111</v>
      </c>
    </row>
    <row r="29" spans="1:48">
      <c r="A29" s="2592" t="s">
        <v>2692</v>
      </c>
      <c r="B29" s="2593">
        <f>'预评函-2'!C5</f>
        <v>22</v>
      </c>
    </row>
    <row r="30" spans="1:48">
      <c r="A30" s="2592" t="s">
        <v>2693</v>
      </c>
      <c r="B30" s="2593" t="str">
        <f>'预评函-2'!D3</f>
        <v>土地使用证编号/不动产权证书编号</v>
      </c>
    </row>
    <row r="31" spans="1:48">
      <c r="A31" s="2592" t="s">
        <v>2667</v>
      </c>
      <c r="B31" s="2593" t="str">
        <f>'预评函-2'!D5</f>
        <v>京国土字第111号</v>
      </c>
    </row>
    <row r="32" spans="1:48">
      <c r="A32" s="2592" t="s">
        <v>2668</v>
      </c>
      <c r="B32" s="2593" t="str">
        <f>'预评函-2'!E5</f>
        <v>办公（公共服务设施）、住宅、地下仓储、商业、地下车库</v>
      </c>
      <c r="AV32" s="2597"/>
    </row>
    <row r="33" spans="1:2">
      <c r="A33" s="2592" t="s">
        <v>2669</v>
      </c>
      <c r="B33" s="2593">
        <f>'预评函-2'!F5</f>
        <v>258</v>
      </c>
    </row>
    <row r="34" spans="1:2">
      <c r="A34" s="2592" t="s">
        <v>2670</v>
      </c>
      <c r="B34" s="2593" t="str">
        <f>'预评函-2'!G5</f>
        <v>商业、地下车库</v>
      </c>
    </row>
    <row r="35" spans="1:2">
      <c r="A35" s="2592" t="s">
        <v>2671</v>
      </c>
      <c r="B35" s="2593">
        <f>'预评函-2'!H5</f>
        <v>1.5</v>
      </c>
    </row>
    <row r="36" spans="1:2">
      <c r="A36" s="2592" t="s">
        <v>2672</v>
      </c>
      <c r="B36" s="2593">
        <f>'预评函-2'!I5</f>
        <v>1.5</v>
      </c>
    </row>
    <row r="37" spans="1:2">
      <c r="A37" s="2592" t="s">
        <v>2673</v>
      </c>
      <c r="B37" s="2593">
        <f>'预评函-2'!J5</f>
        <v>1.5</v>
      </c>
    </row>
    <row r="38" spans="1:2">
      <c r="A38" s="2592" t="s">
        <v>2674</v>
      </c>
      <c r="B38" s="2593" t="str">
        <f>'预评函-2'!K5</f>
        <v>红线外七通、宗地红线内场地平整</v>
      </c>
    </row>
    <row r="39" spans="1:2">
      <c r="A39" s="2592" t="s">
        <v>2675</v>
      </c>
      <c r="B39" s="2593" t="str">
        <f>'预评函-2'!L5</f>
        <v>红线外七通、宗地红线内场地平整</v>
      </c>
    </row>
    <row r="40" spans="1:2">
      <c r="A40" s="2592" t="s">
        <v>2694</v>
      </c>
      <c r="B40" s="2593" t="str">
        <f>'预评函-2'!M3</f>
        <v>（剩余）土地使用年限/年</v>
      </c>
    </row>
    <row r="41" spans="1:2">
      <c r="A41" s="2592" t="s">
        <v>2676</v>
      </c>
      <c r="B41" s="2593">
        <f>'预评函-2'!M5</f>
        <v>0</v>
      </c>
    </row>
    <row r="42" spans="1:2">
      <c r="A42" s="2592" t="s">
        <v>2695</v>
      </c>
      <c r="B42" s="2593" t="str">
        <f>'预评函-2'!N3</f>
        <v>（分摊）出让国有建设用地使用权面积/㎡</v>
      </c>
    </row>
    <row r="43" spans="1:2">
      <c r="A43" s="2592" t="s">
        <v>2677</v>
      </c>
      <c r="B43" s="2593">
        <f>'预评函-2'!N5</f>
        <v>9817.3700000000008</v>
      </c>
    </row>
    <row r="44" spans="1:2">
      <c r="A44" s="2592" t="s">
        <v>2696</v>
      </c>
      <c r="B44" s="2593" t="str">
        <f>'预评函-2'!O3</f>
        <v>规划建筑面积/㎡</v>
      </c>
    </row>
    <row r="45" spans="1:2">
      <c r="A45" s="2592" t="s">
        <v>2678</v>
      </c>
      <c r="B45" s="2593">
        <f>'预评函-2'!O5</f>
        <v>14621.33</v>
      </c>
    </row>
    <row r="46" spans="1:2">
      <c r="A46" s="2592" t="s">
        <v>2679</v>
      </c>
      <c r="B46" s="2593">
        <f ca="1">'预评函-2'!P5</f>
        <v>2093</v>
      </c>
    </row>
    <row r="47" spans="1:2">
      <c r="A47" s="2592" t="s">
        <v>2680</v>
      </c>
      <c r="B47" s="2593">
        <f ca="1">'预评函-2'!Q5</f>
        <v>1405</v>
      </c>
    </row>
    <row r="48" spans="1:2">
      <c r="A48" s="2592" t="s">
        <v>2681</v>
      </c>
      <c r="B48" s="2593">
        <f ca="1">'预评函-2'!R5</f>
        <v>2055</v>
      </c>
    </row>
    <row r="49" spans="1:2">
      <c r="A49" s="2592" t="s">
        <v>2697</v>
      </c>
      <c r="B49" s="2593" t="str">
        <f>'预评函-2'!A6</f>
        <v>抵押价格</v>
      </c>
    </row>
    <row r="50" spans="1:2">
      <c r="A50" s="2592" t="s">
        <v>2682</v>
      </c>
      <c r="B50" s="2593">
        <f ca="1">'预评函-2'!R6</f>
        <v>2055</v>
      </c>
    </row>
    <row r="51" spans="1:2">
      <c r="A51" s="2592" t="s">
        <v>2698</v>
      </c>
      <c r="B51" s="2593" t="str">
        <f>'预评函-2'!A7</f>
        <v>——</v>
      </c>
    </row>
    <row r="52" spans="1:2">
      <c r="A52" s="2592" t="s">
        <v>2683</v>
      </c>
      <c r="B52" s="2593" t="str">
        <f>'预评函-2'!R7</f>
        <v>——</v>
      </c>
    </row>
    <row r="53" spans="1:2">
      <c r="A53" s="2592" t="s">
        <v>2699</v>
      </c>
      <c r="B53" s="2593" t="str">
        <f>'预评函-2'!A8</f>
        <v>——</v>
      </c>
    </row>
    <row r="54" spans="1:2" s="2607" customFormat="1" ht="15" thickBot="1">
      <c r="A54" s="2614" t="s">
        <v>2684</v>
      </c>
      <c r="B54" s="2615" t="str">
        <f>'预评函-2'!R8</f>
        <v>——</v>
      </c>
    </row>
    <row r="55" spans="1:2" ht="15" thickTop="1">
      <c r="A55" s="2603" t="s">
        <v>2634</v>
      </c>
      <c r="B55" s="2604" t="str">
        <f>'预评函-3'!A2</f>
        <v>1.权利限制：根据估价对象《不动产权证书》复印件、，截至估价期日，估价对象已设定抵押。未设定租赁等其他他项权利。</v>
      </c>
    </row>
    <row r="56" spans="1:2">
      <c r="A56" s="2592" t="s">
        <v>2635</v>
      </c>
      <c r="B56" s="2593" t="str">
        <f>'预评函-3'!A3</f>
        <v>2.基础设施条件：估价对象实际开发程度为红线外七通、宗地红线内场地平整；本次评估设定开发程度为红线外七通、宗地红线内场地平整。</v>
      </c>
    </row>
    <row r="57" spans="1:2">
      <c r="A57" s="2592" t="s">
        <v>2636</v>
      </c>
      <c r="B57" s="2593" t="str">
        <f>'预评函-3'!A4</f>
        <v>3.估价规划限制条件：详见《建设工程规划许可证》[]、《出让合同》[]。</v>
      </c>
    </row>
    <row r="58" spans="1:2" s="2607" customFormat="1" ht="15" thickBot="1">
      <c r="A58" s="2614" t="s">
        <v>2685</v>
      </c>
      <c r="B58" s="2615" t="str">
        <f>'预评函-3'!A5</f>
        <v>4.影响价格的其他限定条件：无。</v>
      </c>
    </row>
    <row r="59" spans="1:2" ht="15" thickTop="1">
      <c r="A59" s="2603" t="s">
        <v>2637</v>
      </c>
      <c r="B59" s="2604" t="str">
        <f>'预评函-3'!A8</f>
        <v>2.本《评估意见函》仅供金融机构进行内部审核使用，不做其他目的之用。</v>
      </c>
    </row>
    <row r="60" spans="1:2">
      <c r="A60" s="2592" t="s">
        <v>2638</v>
      </c>
      <c r="B60" s="2593" t="str">
        <f>'预评函-3'!A9</f>
        <v>3.抵押双方在办理抵押登记手续时，应使用本公司出具的正式《土地估价报告》，特提请报告使用者注意。</v>
      </c>
    </row>
    <row r="61" spans="1:2">
      <c r="A61" s="2592" t="s">
        <v>2640</v>
      </c>
      <c r="B61" s="2593" t="str">
        <f>'预评函-3'!A10</f>
        <v>4.估价师所知悉的法定优先受偿款情况为：</v>
      </c>
    </row>
    <row r="62" spans="1:2">
      <c r="A62" s="2592" t="s">
        <v>2639</v>
      </c>
      <c r="B62" s="259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2641</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2642</v>
      </c>
      <c r="B64" s="2598" t="str">
        <f>'预评函-3'!A13</f>
        <v>（3）。</v>
      </c>
    </row>
    <row r="65" spans="1:2">
      <c r="A65" s="2592" t="s">
        <v>2643</v>
      </c>
      <c r="B65" s="2599" t="str">
        <f>'预评函-3'!A14</f>
        <v>综上，本次评估不存在估价师知悉的法定优先受偿款</v>
      </c>
    </row>
    <row r="66" spans="1:2">
      <c r="A66" s="2592" t="s">
        <v>2644</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2645</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2648</v>
      </c>
      <c r="B68" s="2618">
        <f>'预评函-3'!D30</f>
        <v>42558</v>
      </c>
    </row>
    <row r="69" spans="1:2" ht="15" thickTop="1">
      <c r="A69" s="2603" t="s">
        <v>2646</v>
      </c>
      <c r="B69" s="2604" t="str">
        <f>'预评函-3'!A20</f>
        <v>吴薇</v>
      </c>
    </row>
    <row r="70" spans="1:2">
      <c r="A70" s="2592" t="s">
        <v>2646</v>
      </c>
      <c r="B70" s="2599">
        <f ca="1">'预评函-3'!B20</f>
        <v>2002110125</v>
      </c>
    </row>
    <row r="71" spans="1:2">
      <c r="A71" s="2592" t="s">
        <v>2647</v>
      </c>
      <c r="B71" s="2593" t="str">
        <f>'预评函-3'!A21</f>
        <v>崔锴</v>
      </c>
    </row>
    <row r="72" spans="1:2" s="2607" customFormat="1" ht="15" thickBot="1">
      <c r="A72" s="2614" t="s">
        <v>2647</v>
      </c>
      <c r="B72" s="2620">
        <f ca="1">'预评函-3'!B21</f>
        <v>2010110070</v>
      </c>
    </row>
    <row r="73" spans="1:2" ht="15" thickTop="1">
      <c r="A73" s="2603" t="s">
        <v>2706</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2707</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2708</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2742</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1" zoomScaleNormal="100" zoomScaleSheetLayoutView="100" workbookViewId="0">
      <selection activeCell="I26" sqref="I26"/>
    </sheetView>
  </sheetViews>
  <sheetFormatPr defaultColWidth="10" defaultRowHeight="14.25"/>
  <cols>
    <col min="1" max="1" width="15.375" style="1611" customWidth="1"/>
    <col min="2" max="2" width="11.375" style="1611" customWidth="1"/>
    <col min="3" max="3" width="12.625" style="1611" customWidth="1"/>
    <col min="4" max="4" width="14.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2951" customWidth="1"/>
    <col min="12" max="13" width="10" style="2952" customWidth="1"/>
    <col min="14" max="14" width="10" style="2937" customWidth="1"/>
    <col min="15" max="15" width="10" style="2953" customWidth="1"/>
    <col min="16" max="17" width="10" style="2937"/>
    <col min="18" max="18" width="10" style="2937" customWidth="1"/>
    <col min="19" max="28" width="10" style="2937"/>
    <col min="29" max="16384" width="10" style="1611"/>
  </cols>
  <sheetData>
    <row r="1" spans="1:21" ht="15" thickBot="1">
      <c r="A1" s="1584" t="s">
        <v>1926</v>
      </c>
      <c r="B1" s="3343" t="str">
        <f>IF(B10="北京市","北京市",C10)&amp;F10&amp;B16&amp;"国有建设用地使用权"&amp;B9&amp;"预评估"</f>
        <v>北京市平谷区金海湖镇PG06-0100-6020、6021、6024地块3宗住宅、地下仓储、地下车库用地及PG06-0100-6019地块1宗商业、地下车库用地出让国有建设用地使用权抵押价格预评估</v>
      </c>
      <c r="C1" s="3344"/>
      <c r="D1" s="3344"/>
      <c r="E1" s="3344"/>
      <c r="F1" s="3344"/>
      <c r="G1" s="3344"/>
      <c r="H1" s="3344"/>
      <c r="I1" s="3345"/>
      <c r="J1" s="2955"/>
      <c r="K1" s="2307" t="str">
        <f>IF(B10="北京市","北京市",C10)&amp;F10&amp;B16&amp;"国有建设用地使用权"&amp;B9</f>
        <v>北京市平谷区金海湖镇PG06-0100-6020、6021、6024地块3宗住宅、地下仓储、地下车库用地及PG06-0100-6019地块1宗商业、地下车库用地出让国有建设用地使用权抵押价格</v>
      </c>
      <c r="L1" s="2934"/>
      <c r="M1" s="2934"/>
      <c r="N1" s="2935"/>
      <c r="O1" s="2936"/>
      <c r="P1" s="2935"/>
      <c r="Q1" s="2935"/>
      <c r="R1" s="2935"/>
      <c r="S1" s="2935"/>
      <c r="T1" s="2935"/>
      <c r="U1" s="2935"/>
    </row>
    <row r="2" spans="1:21">
      <c r="A2" s="1585" t="s">
        <v>1927</v>
      </c>
      <c r="B2" s="1753" t="s">
        <v>2970</v>
      </c>
      <c r="D2" s="2955"/>
      <c r="E2" s="2955"/>
      <c r="F2" s="2955"/>
      <c r="G2" s="2955"/>
      <c r="H2" s="2956"/>
      <c r="I2" s="2957"/>
      <c r="J2" s="2955"/>
      <c r="K2" s="2307" t="str">
        <f>IF(B10="北京市","北京市",C10)&amp;F10&amp;B16&amp;"国有建设用地使用权"</f>
        <v>北京市平谷区金海湖镇PG06-0100-6020、6021、6024地块3宗住宅、地下仓储、地下车库用地及PG06-0100-6019地块1宗商业、地下车库用地出让国有建设用地使用权</v>
      </c>
      <c r="L2" s="2934"/>
      <c r="M2" s="2934"/>
      <c r="N2" s="2935"/>
      <c r="O2" s="2936"/>
      <c r="P2" s="2935"/>
      <c r="Q2" s="2935"/>
      <c r="R2" s="2935"/>
      <c r="S2" s="2935"/>
      <c r="T2" s="2935"/>
      <c r="U2" s="2935"/>
    </row>
    <row r="3" spans="1:21">
      <c r="A3" s="1586" t="s">
        <v>1928</v>
      </c>
      <c r="B3" s="1587">
        <v>44266</v>
      </c>
      <c r="C3" s="2878" t="s">
        <v>1982</v>
      </c>
      <c r="D3" s="1587">
        <v>44266</v>
      </c>
      <c r="E3" s="2955"/>
      <c r="F3" s="2955"/>
      <c r="G3" s="2955"/>
      <c r="H3" s="2956"/>
      <c r="I3" s="2957"/>
      <c r="J3" s="2955"/>
      <c r="K3" s="2938"/>
      <c r="L3" s="2934"/>
      <c r="M3" s="2934"/>
      <c r="N3" s="2935"/>
      <c r="O3" s="2936"/>
      <c r="P3" s="2935"/>
      <c r="Q3" s="2935"/>
      <c r="R3" s="2935"/>
      <c r="S3" s="2935"/>
      <c r="T3" s="2935"/>
      <c r="U3" s="2935"/>
    </row>
    <row r="4" spans="1:21" ht="15" thickBot="1">
      <c r="A4" s="1589" t="s">
        <v>1929</v>
      </c>
      <c r="B4" s="1754" t="s">
        <v>2971</v>
      </c>
      <c r="C4" s="1757">
        <f ca="1">SUMIF(土地估价师,B4,估价师及机构信息!E3:E16)</f>
        <v>2002110125</v>
      </c>
      <c r="D4" s="1754" t="s">
        <v>2972</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2955"/>
      <c r="K4" s="2307" t="str">
        <f>IF(AND(F4="——",H4="——"),B4&amp;"、"&amp;D4,IF(AND(F4&lt;&gt;"——",H4="——"),B4&amp;"、"&amp;D4&amp;"、"&amp;F4,B4&amp;"、"&amp;D4&amp;"、"&amp;F4&amp;"、"&amp;H4))</f>
        <v>吴薇、崔锴</v>
      </c>
      <c r="L4" s="2934"/>
      <c r="M4" s="2934"/>
      <c r="N4" s="2935"/>
      <c r="O4" s="2936"/>
      <c r="P4" s="2935"/>
      <c r="Q4" s="2935"/>
      <c r="R4" s="2935"/>
      <c r="S4" s="2935"/>
      <c r="T4" s="2935"/>
      <c r="U4" s="2935"/>
    </row>
    <row r="5" spans="1:21" ht="15" thickTop="1">
      <c r="A5" s="1590" t="s">
        <v>1930</v>
      </c>
      <c r="B5" s="1701" t="s">
        <v>2973</v>
      </c>
      <c r="C5" s="1591"/>
      <c r="D5" s="1592"/>
      <c r="E5" s="2955"/>
      <c r="F5" s="2955"/>
      <c r="G5" s="2955"/>
      <c r="H5" s="2956"/>
      <c r="I5" s="2957"/>
      <c r="J5" s="2955"/>
      <c r="K5" s="2938"/>
      <c r="L5" s="2934"/>
      <c r="M5" s="2934"/>
      <c r="N5" s="2935"/>
      <c r="O5" s="2936"/>
      <c r="P5" s="2935"/>
      <c r="Q5" s="2935"/>
      <c r="R5" s="2935"/>
      <c r="S5" s="2935"/>
      <c r="T5" s="2935"/>
      <c r="U5" s="2935"/>
    </row>
    <row r="6" spans="1:21" ht="26.25">
      <c r="A6" s="1588" t="s">
        <v>2662</v>
      </c>
      <c r="B6" s="1701" t="s">
        <v>2974</v>
      </c>
      <c r="C6" s="1676"/>
      <c r="D6" s="1593"/>
      <c r="E6" s="2955"/>
      <c r="F6" s="2955"/>
      <c r="G6" s="2955"/>
      <c r="H6" s="2956"/>
      <c r="I6" s="2957"/>
      <c r="J6" s="2955"/>
      <c r="K6" s="2939" t="str">
        <f>IF(COUNTIF(B6,"*上海银行*"),"上海银行","")</f>
        <v/>
      </c>
      <c r="L6" s="2934"/>
      <c r="M6" s="2934"/>
      <c r="N6" s="2935"/>
      <c r="O6" s="2936"/>
      <c r="P6" s="2935"/>
      <c r="Q6" s="2935"/>
      <c r="R6" s="2935"/>
      <c r="S6" s="2935"/>
      <c r="T6" s="2935"/>
      <c r="U6" s="2935"/>
    </row>
    <row r="7" spans="1:21">
      <c r="A7" s="1594" t="s">
        <v>2663</v>
      </c>
      <c r="B7" s="1701" t="str">
        <f>B5</f>
        <v>北京金谷创展置业有限责任公司</v>
      </c>
      <c r="C7" s="1676"/>
      <c r="D7" s="1593"/>
      <c r="E7" s="2955"/>
      <c r="F7" s="2955"/>
      <c r="G7" s="2955"/>
      <c r="H7" s="2956"/>
      <c r="I7" s="2957"/>
      <c r="J7" s="2955"/>
      <c r="K7" s="2938"/>
      <c r="L7" s="2934"/>
      <c r="M7" s="2934"/>
      <c r="N7" s="2935"/>
      <c r="O7" s="2936"/>
      <c r="P7" s="2935"/>
      <c r="Q7" s="2935"/>
      <c r="R7" s="2935"/>
      <c r="S7" s="2935"/>
      <c r="T7" s="2935"/>
      <c r="U7" s="2935"/>
    </row>
    <row r="8" spans="1:21">
      <c r="A8" s="2879" t="s">
        <v>1931</v>
      </c>
      <c r="B8" s="1595" t="s">
        <v>2923</v>
      </c>
      <c r="C8" s="1596"/>
      <c r="D8" s="3349" t="s">
        <v>1933</v>
      </c>
      <c r="E8" s="1755" t="s">
        <v>2975</v>
      </c>
      <c r="F8" s="1597"/>
      <c r="G8" s="2956"/>
      <c r="H8" s="2956"/>
      <c r="I8" s="2959"/>
      <c r="J8" s="2955"/>
      <c r="K8" s="2938"/>
      <c r="L8" s="2934"/>
      <c r="M8" s="2934"/>
      <c r="N8" s="2935"/>
      <c r="O8" s="2936"/>
      <c r="P8" s="2935"/>
      <c r="Q8" s="2935"/>
      <c r="R8" s="2935"/>
      <c r="S8" s="2935"/>
      <c r="T8" s="2935"/>
      <c r="U8" s="2935"/>
    </row>
    <row r="9" spans="1:21" ht="15" thickBot="1">
      <c r="A9" s="2880" t="s">
        <v>1932</v>
      </c>
      <c r="B9" s="1598" t="s">
        <v>2975</v>
      </c>
      <c r="C9" s="1599"/>
      <c r="D9" s="3350"/>
      <c r="E9" s="1598" t="s">
        <v>943</v>
      </c>
      <c r="F9" s="1662"/>
      <c r="G9" s="2960"/>
      <c r="H9" s="2960"/>
      <c r="I9" s="2961"/>
      <c r="J9" s="2955"/>
      <c r="K9" s="2938"/>
      <c r="L9" s="2934"/>
      <c r="M9" s="2934"/>
      <c r="N9" s="2935"/>
      <c r="O9" s="2936"/>
      <c r="P9" s="2935"/>
      <c r="Q9" s="2935"/>
      <c r="R9" s="2935"/>
      <c r="S9" s="2935"/>
      <c r="T9" s="2935"/>
      <c r="U9" s="2935"/>
    </row>
    <row r="10" spans="1:21" ht="15" thickTop="1">
      <c r="A10" s="2881" t="s">
        <v>1985</v>
      </c>
      <c r="B10" s="1638" t="s">
        <v>1934</v>
      </c>
      <c r="C10" s="1600"/>
      <c r="D10" s="1592"/>
      <c r="E10" s="1601" t="s">
        <v>1935</v>
      </c>
      <c r="F10" s="1602" t="s">
        <v>2976</v>
      </c>
      <c r="G10" s="1660"/>
      <c r="H10" s="1661"/>
      <c r="I10" s="1592"/>
      <c r="J10" s="2955"/>
      <c r="K10" s="2938"/>
      <c r="L10" s="2934"/>
      <c r="M10" s="2934"/>
      <c r="N10" s="2935"/>
      <c r="O10" s="2936"/>
      <c r="P10" s="2935"/>
      <c r="Q10" s="2935"/>
      <c r="R10" s="2935"/>
      <c r="S10" s="2935"/>
      <c r="T10" s="2935"/>
      <c r="U10" s="2935"/>
    </row>
    <row r="11" spans="1:21" ht="42.75">
      <c r="A11" s="2882" t="s">
        <v>1986</v>
      </c>
      <c r="B11" s="1617" t="s">
        <v>2977</v>
      </c>
      <c r="C11" s="1603" t="str">
        <f>B5</f>
        <v>北京金谷创展置业有限责任公司</v>
      </c>
      <c r="D11" s="1677"/>
      <c r="E11" s="2954"/>
      <c r="F11" s="2954"/>
      <c r="G11" s="2954"/>
      <c r="H11" s="2954"/>
      <c r="I11" s="2954"/>
      <c r="J11" s="2955"/>
      <c r="K11" s="2938"/>
      <c r="L11" s="2934"/>
      <c r="M11" s="2934"/>
      <c r="N11" s="2935"/>
      <c r="O11" s="2936"/>
      <c r="P11" s="2935"/>
      <c r="Q11" s="2935"/>
      <c r="R11" s="2935"/>
      <c r="S11" s="2935"/>
      <c r="T11" s="2935"/>
      <c r="U11" s="2935"/>
    </row>
    <row r="12" spans="1:21">
      <c r="A12" s="1697" t="s">
        <v>2044</v>
      </c>
      <c r="B12" s="3346" t="s">
        <v>2978</v>
      </c>
      <c r="C12" s="3347"/>
      <c r="D12" s="3348"/>
      <c r="E12" s="1618" t="s">
        <v>2047</v>
      </c>
      <c r="F12" s="3364" t="s">
        <v>2843</v>
      </c>
      <c r="G12" s="3365"/>
      <c r="H12" s="3365"/>
      <c r="I12" s="3366"/>
      <c r="J12" s="2955"/>
      <c r="K12" s="2938"/>
      <c r="L12" s="2934"/>
      <c r="M12" s="2934"/>
      <c r="N12" s="2935"/>
      <c r="O12" s="2936"/>
      <c r="P12" s="2935"/>
      <c r="Q12" s="2935"/>
      <c r="R12" s="2935"/>
      <c r="S12" s="2935"/>
      <c r="T12" s="2935"/>
      <c r="U12" s="2935"/>
    </row>
    <row r="13" spans="1:21">
      <c r="A13" s="1609" t="s">
        <v>2045</v>
      </c>
      <c r="B13" s="3346" t="s">
        <v>2979</v>
      </c>
      <c r="C13" s="3347"/>
      <c r="D13" s="3348"/>
      <c r="E13" s="1618" t="s">
        <v>2047</v>
      </c>
      <c r="F13" s="3364" t="s">
        <v>2844</v>
      </c>
      <c r="G13" s="3365"/>
      <c r="H13" s="3365"/>
      <c r="I13" s="3366"/>
      <c r="J13" s="2955"/>
      <c r="K13" s="2938"/>
      <c r="L13" s="2934"/>
      <c r="M13" s="2934"/>
      <c r="N13" s="2935"/>
      <c r="O13" s="2936"/>
      <c r="P13" s="2935"/>
      <c r="Q13" s="2935"/>
      <c r="R13" s="2935"/>
      <c r="S13" s="2935"/>
      <c r="T13" s="2935"/>
      <c r="U13" s="2935"/>
    </row>
    <row r="14" spans="1:21">
      <c r="A14" s="1586" t="s">
        <v>2048</v>
      </c>
      <c r="B14" s="1618"/>
      <c r="C14" s="1756" t="s">
        <v>2980</v>
      </c>
      <c r="D14" s="1652" t="str">
        <f>IF(C14="不一致","是否符合证载地类范围","")</f>
        <v/>
      </c>
      <c r="E14" s="1618"/>
      <c r="F14" s="1702" t="s">
        <v>2981</v>
      </c>
      <c r="G14" s="1647"/>
      <c r="H14" s="1647"/>
      <c r="I14" s="1749"/>
      <c r="J14" s="2955"/>
      <c r="K14" s="2938"/>
      <c r="L14" s="2934"/>
      <c r="M14" s="2934"/>
      <c r="N14" s="2935"/>
      <c r="O14" s="2936"/>
      <c r="P14" s="2935"/>
      <c r="Q14" s="2935"/>
      <c r="R14" s="2935"/>
      <c r="S14" s="2935"/>
      <c r="T14" s="2935"/>
      <c r="U14" s="2935"/>
    </row>
    <row r="15" spans="1:21" hidden="1">
      <c r="A15" s="2484"/>
      <c r="B15" s="1588"/>
      <c r="C15" s="1588"/>
      <c r="D15" s="1681" t="s">
        <v>1938</v>
      </c>
      <c r="E15" s="1681" t="s">
        <v>1939</v>
      </c>
      <c r="F15" s="1681" t="s">
        <v>1940</v>
      </c>
      <c r="G15" s="1608" t="s">
        <v>1941</v>
      </c>
      <c r="H15" s="1608" t="s">
        <v>1942</v>
      </c>
      <c r="I15" s="1608" t="s">
        <v>1943</v>
      </c>
      <c r="J15" s="2955"/>
      <c r="K15" s="2938"/>
      <c r="L15" s="2934"/>
      <c r="M15" s="2934"/>
      <c r="N15" s="2935"/>
      <c r="O15" s="2936"/>
      <c r="P15" s="2935"/>
      <c r="Q15" s="2935"/>
      <c r="R15" s="2935"/>
      <c r="S15" s="2935"/>
      <c r="T15" s="2935"/>
      <c r="U15" s="2935"/>
    </row>
    <row r="16" spans="1:21" ht="28.5">
      <c r="A16" s="2883" t="s">
        <v>1936</v>
      </c>
      <c r="B16" s="1604" t="s">
        <v>2918</v>
      </c>
      <c r="C16" s="1618" t="s">
        <v>1937</v>
      </c>
      <c r="D16" s="2485" t="s">
        <v>1938</v>
      </c>
      <c r="E16" s="1641" t="s">
        <v>2982</v>
      </c>
      <c r="F16" s="1641" t="s">
        <v>1668</v>
      </c>
      <c r="G16" s="1641" t="s">
        <v>2983</v>
      </c>
      <c r="H16" s="1641" t="s">
        <v>2984</v>
      </c>
      <c r="I16" s="1608" t="s">
        <v>1943</v>
      </c>
      <c r="J16" s="2955"/>
      <c r="K16" s="2308" t="str">
        <f>IF(D17="","",D16&amp;TEXT(D17,"yyyy年m月d日;;"))</f>
        <v>住宅2089年4月18日</v>
      </c>
      <c r="L16" s="1618" t="str">
        <f>IF(OR(K16="",M16=""),"","、")</f>
        <v>、</v>
      </c>
      <c r="M16" s="2308" t="str">
        <f>IF(E17="","",E16&amp;TEXT(E17,"yyyy年m月d日;;"))</f>
        <v>商业2059年4月18日</v>
      </c>
      <c r="N16" s="1618" t="str">
        <f>IF(OR(M16="",O16=""),"","、")</f>
        <v>、</v>
      </c>
      <c r="O16" s="2308" t="str">
        <f>IF(F17="","",F16&amp;TEXT(F17,"yyyy年m月d日;;"))</f>
        <v>办公2069年4月18日</v>
      </c>
      <c r="P16" s="1618" t="str">
        <f>IF(OR(O16="",Q16=""),"","、")</f>
        <v>、</v>
      </c>
      <c r="Q16" s="2308" t="str">
        <f>IF(G17="","",G16&amp;TEXT(G17,"yyyy年m月d日;;"))</f>
        <v>车库2069年4月18日</v>
      </c>
      <c r="R16" s="1618" t="str">
        <f>IF(OR(Q16="",S16=""),"","、")</f>
        <v>、</v>
      </c>
      <c r="S16" s="2308" t="str">
        <f>IF(H17="","",H16&amp;TEXT(H17,"yyyy年m月d日;;"))</f>
        <v>仓储2069年4月18日</v>
      </c>
      <c r="T16" s="1618" t="str">
        <f>IF(OR(S16="",U16=""),"","、")</f>
        <v>、</v>
      </c>
      <c r="U16" s="2308" t="str">
        <f>IF(I17="","",I16&amp;TEXT(I17,"yyyy年m月d日;;"))</f>
        <v>工业2069年4月18日</v>
      </c>
    </row>
    <row r="17" spans="1:21">
      <c r="A17" s="1678"/>
      <c r="B17" s="1605"/>
      <c r="C17" s="2884" t="s">
        <v>1944</v>
      </c>
      <c r="D17" s="1619">
        <v>69141</v>
      </c>
      <c r="E17" s="1619">
        <v>58183</v>
      </c>
      <c r="F17" s="1619">
        <v>61836</v>
      </c>
      <c r="G17" s="1619">
        <f>F17</f>
        <v>61836</v>
      </c>
      <c r="H17" s="1619">
        <f>F17</f>
        <v>61836</v>
      </c>
      <c r="I17" s="1619">
        <f>F17</f>
        <v>61836</v>
      </c>
      <c r="J17" s="2955"/>
      <c r="K17" s="2933" t="str">
        <f>CONCATENATE(K16,L16,M16,N16,O16,P16,Q16,R16,S16,T16,,U16)</f>
        <v>住宅2089年4月18日、商业2059年4月18日、办公2069年4月18日、车库2069年4月18日、仓储2069年4月18日、工业2069年4月18日</v>
      </c>
      <c r="L17" s="2934"/>
      <c r="M17" s="2934"/>
      <c r="N17" s="2935"/>
      <c r="O17" s="2936"/>
      <c r="P17" s="2935"/>
      <c r="Q17" s="2935"/>
      <c r="R17" s="2935"/>
      <c r="S17" s="2935"/>
      <c r="T17" s="2935"/>
      <c r="U17" s="2935"/>
    </row>
    <row r="18" spans="1:21">
      <c r="A18" s="1678"/>
      <c r="B18" s="1605"/>
      <c r="C18" s="2884" t="s">
        <v>1945</v>
      </c>
      <c r="D18" s="1606">
        <v>70</v>
      </c>
      <c r="E18" s="1606">
        <v>40</v>
      </c>
      <c r="F18" s="1606">
        <v>50</v>
      </c>
      <c r="G18" s="1606">
        <v>50</v>
      </c>
      <c r="H18" s="1606">
        <v>50</v>
      </c>
      <c r="I18" s="1606">
        <v>50</v>
      </c>
      <c r="J18" s="2955"/>
      <c r="K18" s="2938"/>
      <c r="L18" s="2934"/>
      <c r="M18" s="2934"/>
      <c r="N18" s="2935"/>
      <c r="O18" s="2936"/>
      <c r="P18" s="2935"/>
      <c r="Q18" s="2935"/>
      <c r="R18" s="2935"/>
      <c r="S18" s="2935"/>
      <c r="T18" s="2935"/>
      <c r="U18" s="2935"/>
    </row>
    <row r="19" spans="1:21">
      <c r="A19" s="1678"/>
      <c r="B19" s="1605"/>
      <c r="C19" s="1585" t="s">
        <v>1946</v>
      </c>
      <c r="D19" s="1673">
        <f>IF(B16="出让",IF(D17="","",ROUNDDOWN(MIN((D17-$D$3)/365,D18),2)),D18)</f>
        <v>68.150000000000006</v>
      </c>
      <c r="E19" s="1607">
        <f>IF(B16="出让",IF(E17="","",ROUNDDOWN(MIN((E17-$D$3)/365,E18),2)),E18)</f>
        <v>38.119999999999997</v>
      </c>
      <c r="F19" s="1607">
        <f>IF(B16="出让",IF(F17="","",ROUNDDOWN(MIN((F17-$D$3)/365,F18),2)),F18)</f>
        <v>48.13</v>
      </c>
      <c r="G19" s="1607">
        <f>IF(B16="出让",IF(G17="","",ROUNDDOWN(MIN((G17-$D$3)/365,G18),2)),G18)</f>
        <v>48.13</v>
      </c>
      <c r="H19" s="1607">
        <f>IF(B16="出让",IF(H17="","",ROUNDDOWN(MIN((H17-$D$3)/365,H18),2)),H18)</f>
        <v>48.13</v>
      </c>
      <c r="I19" s="1607">
        <f>IF(B16="出让",IF(I17="","",ROUNDDOWN(MIN((I17-$D$3)/365,I18),2)),I18)</f>
        <v>48.13</v>
      </c>
      <c r="J19" s="2955"/>
      <c r="K19" s="2938"/>
      <c r="L19" s="2934"/>
      <c r="M19" s="2934"/>
      <c r="N19" s="2935"/>
      <c r="O19" s="2936"/>
      <c r="P19" s="2935"/>
      <c r="Q19" s="2935"/>
      <c r="R19" s="2935"/>
      <c r="S19" s="2935"/>
      <c r="T19" s="2935"/>
      <c r="U19" s="2935"/>
    </row>
    <row r="20" spans="1:21">
      <c r="A20" s="1698"/>
      <c r="B20" s="1699"/>
      <c r="C20" s="1700" t="s">
        <v>2046</v>
      </c>
      <c r="D20" s="3361"/>
      <c r="E20" s="3362"/>
      <c r="F20" s="3362"/>
      <c r="G20" s="3362"/>
      <c r="H20" s="3362"/>
      <c r="I20" s="3363"/>
      <c r="J20" s="2955"/>
      <c r="K20" s="2938"/>
      <c r="L20" s="2934"/>
      <c r="M20" s="2934"/>
      <c r="N20" s="2935"/>
      <c r="O20" s="2936"/>
      <c r="P20" s="2935"/>
      <c r="Q20" s="2935"/>
      <c r="R20" s="2935"/>
      <c r="S20" s="2935"/>
      <c r="T20" s="2935"/>
      <c r="U20" s="2935"/>
    </row>
    <row r="21" spans="1:21">
      <c r="A21" s="1678" t="s">
        <v>1947</v>
      </c>
      <c r="B21" s="1679" t="s">
        <v>1948</v>
      </c>
      <c r="C21" s="1674">
        <f>'数据-汇总表'!E3</f>
        <v>14621.33</v>
      </c>
      <c r="D21" s="1675" t="s">
        <v>1949</v>
      </c>
      <c r="E21" s="3351" t="s">
        <v>2985</v>
      </c>
      <c r="F21" s="3352"/>
      <c r="G21" s="3352"/>
      <c r="H21" s="3352"/>
      <c r="I21" s="3353"/>
      <c r="J21" s="2955"/>
      <c r="K21" s="2938"/>
      <c r="L21" s="2934"/>
      <c r="M21" s="2934"/>
      <c r="N21" s="2935"/>
      <c r="O21" s="2936"/>
      <c r="P21" s="2935"/>
      <c r="Q21" s="2935"/>
      <c r="R21" s="2935"/>
      <c r="S21" s="2935"/>
      <c r="T21" s="2935"/>
      <c r="U21" s="2935"/>
    </row>
    <row r="22" spans="1:21">
      <c r="A22" s="2798" t="s">
        <v>943</v>
      </c>
      <c r="B22" s="1586" t="s">
        <v>1950</v>
      </c>
      <c r="C22" s="1608">
        <f>'数据-汇总表'!D3</f>
        <v>9817.3700000000008</v>
      </c>
      <c r="D22" s="1609" t="s">
        <v>1949</v>
      </c>
      <c r="E22" s="3351" t="s">
        <v>2845</v>
      </c>
      <c r="F22" s="3352"/>
      <c r="G22" s="3352"/>
      <c r="H22" s="3352"/>
      <c r="I22" s="3353"/>
      <c r="J22" s="2955"/>
      <c r="K22" s="2938"/>
      <c r="L22" s="2934"/>
      <c r="M22" s="2934"/>
      <c r="N22" s="2935"/>
      <c r="O22" s="2936"/>
      <c r="P22" s="2935"/>
      <c r="Q22" s="2935"/>
      <c r="R22" s="2935"/>
      <c r="S22" s="2935"/>
      <c r="T22" s="2935"/>
      <c r="U22" s="2935"/>
    </row>
    <row r="23" spans="1:21" ht="43.5" thickBot="1">
      <c r="A23" s="1680" t="s">
        <v>1951</v>
      </c>
      <c r="B23" s="1620" t="s">
        <v>1952</v>
      </c>
      <c r="C23" s="1621" t="s">
        <v>1669</v>
      </c>
      <c r="D23" s="1622" t="s">
        <v>1953</v>
      </c>
      <c r="E23" s="1623" t="s">
        <v>2986</v>
      </c>
      <c r="F23" s="1624" t="str">
        <f>IF(AND(C23="是",E23="否"),"是否提供他项权证或相关说明","")</f>
        <v>是否提供他项权证或相关说明</v>
      </c>
      <c r="G23" s="1625" t="s">
        <v>943</v>
      </c>
      <c r="H23" s="2955"/>
      <c r="I23" s="2959"/>
      <c r="J23" s="2955"/>
      <c r="K23" s="2938"/>
      <c r="L23" s="2934"/>
      <c r="M23" s="2934"/>
      <c r="N23" s="2935"/>
      <c r="O23" s="2936"/>
      <c r="P23" s="2935"/>
      <c r="Q23" s="2935"/>
      <c r="R23" s="2935"/>
      <c r="S23" s="2935"/>
      <c r="T23" s="2935"/>
      <c r="U23" s="2935"/>
    </row>
    <row r="24" spans="1:21">
      <c r="A24" s="1665" t="s">
        <v>1954</v>
      </c>
      <c r="B24" s="3354" t="s">
        <v>1955</v>
      </c>
      <c r="C24" s="3355"/>
      <c r="D24" s="3356" t="s">
        <v>1956</v>
      </c>
      <c r="E24" s="3357"/>
      <c r="F24" s="1627" t="s">
        <v>1957</v>
      </c>
      <c r="G24" s="2955"/>
      <c r="H24" s="2955"/>
      <c r="I24" s="2959"/>
      <c r="J24" s="2955"/>
      <c r="K24" s="3342" t="s">
        <v>1958</v>
      </c>
      <c r="L24" s="23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42"/>
      <c r="N24" s="2935"/>
      <c r="O24" s="2936"/>
      <c r="P24" s="2935"/>
      <c r="Q24" s="2935"/>
      <c r="R24" s="2935"/>
      <c r="S24" s="2935"/>
      <c r="T24" s="2935"/>
      <c r="U24" s="2935"/>
    </row>
    <row r="25" spans="1:21" ht="28.5">
      <c r="A25" s="1666"/>
      <c r="B25" s="1663" t="s">
        <v>2310</v>
      </c>
      <c r="C25" s="1628" t="s">
        <v>2311</v>
      </c>
      <c r="D25" s="1629"/>
      <c r="E25" s="1630" t="s">
        <v>943</v>
      </c>
      <c r="F25" s="1631"/>
      <c r="G25" s="2955"/>
      <c r="H25" s="2955"/>
      <c r="I25" s="2959"/>
      <c r="J25" s="2955"/>
      <c r="K25" s="3342"/>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2935"/>
      <c r="O25" s="2936"/>
      <c r="P25" s="2935"/>
      <c r="Q25" s="2935"/>
      <c r="R25" s="2935"/>
      <c r="S25" s="2935"/>
      <c r="T25" s="2935"/>
      <c r="U25" s="2935"/>
    </row>
    <row r="26" spans="1:21" ht="15" thickBot="1">
      <c r="A26" s="1667"/>
      <c r="B26" s="1664"/>
      <c r="C26" s="1628"/>
      <c r="D26" s="2956"/>
      <c r="E26" s="2956"/>
      <c r="F26" s="2962"/>
      <c r="G26" s="2955"/>
      <c r="H26" s="2955"/>
      <c r="I26" s="2959"/>
      <c r="J26" s="2955"/>
      <c r="K26" s="3342"/>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2935"/>
      <c r="O26" s="2936"/>
      <c r="P26" s="2935"/>
      <c r="Q26" s="2935"/>
      <c r="R26" s="2935"/>
      <c r="S26" s="2935"/>
      <c r="T26" s="2935"/>
      <c r="U26" s="2935"/>
    </row>
    <row r="27" spans="1:21">
      <c r="A27" s="1670" t="s">
        <v>1959</v>
      </c>
      <c r="B27" s="1668" t="s">
        <v>1960</v>
      </c>
      <c r="C27" s="1632"/>
      <c r="D27" s="2490" t="s">
        <v>1960</v>
      </c>
      <c r="E27" s="1633"/>
      <c r="F27" s="2962"/>
      <c r="G27" s="2955"/>
      <c r="H27" s="2955"/>
      <c r="I27" s="2959"/>
      <c r="J27" s="2955"/>
      <c r="K27" s="2938"/>
      <c r="L27" s="2934"/>
      <c r="M27" s="2934"/>
      <c r="N27" s="2935"/>
      <c r="O27" s="2936"/>
      <c r="P27" s="2935"/>
      <c r="Q27" s="2935"/>
      <c r="R27" s="2935"/>
      <c r="S27" s="2935"/>
      <c r="T27" s="2935"/>
      <c r="U27" s="2935"/>
    </row>
    <row r="28" spans="1:21">
      <c r="A28" s="1671"/>
      <c r="B28" s="1668" t="s">
        <v>1961</v>
      </c>
      <c r="C28" s="1634"/>
      <c r="D28" s="2491" t="s">
        <v>1961</v>
      </c>
      <c r="E28" s="1635"/>
      <c r="F28" s="2962"/>
      <c r="G28" s="2955"/>
      <c r="H28" s="2955"/>
      <c r="I28" s="2959"/>
      <c r="J28" s="2955"/>
      <c r="K28" s="2938"/>
      <c r="L28" s="2934"/>
      <c r="M28" s="2934"/>
      <c r="N28" s="2935"/>
      <c r="O28" s="2936"/>
      <c r="P28" s="2935"/>
      <c r="Q28" s="2935"/>
      <c r="R28" s="2935"/>
      <c r="S28" s="2935"/>
      <c r="T28" s="2935"/>
      <c r="U28" s="2935"/>
    </row>
    <row r="29" spans="1:21">
      <c r="A29" s="1671"/>
      <c r="B29" s="1668" t="s">
        <v>1962</v>
      </c>
      <c r="C29" s="1634"/>
      <c r="D29" s="2491" t="s">
        <v>1962</v>
      </c>
      <c r="E29" s="1635"/>
      <c r="F29" s="2962"/>
      <c r="G29" s="2955"/>
      <c r="H29" s="2955"/>
      <c r="I29" s="2959"/>
      <c r="J29" s="2955"/>
      <c r="K29" s="2938"/>
      <c r="L29" s="2934"/>
      <c r="M29" s="2934"/>
      <c r="N29" s="2935"/>
      <c r="O29" s="2936"/>
      <c r="P29" s="2935"/>
      <c r="Q29" s="2935"/>
      <c r="R29" s="2935"/>
      <c r="S29" s="2935"/>
      <c r="T29" s="2935"/>
      <c r="U29" s="2935"/>
    </row>
    <row r="30" spans="1:21" ht="15" thickBot="1">
      <c r="A30" s="1672"/>
      <c r="B30" s="1669" t="s">
        <v>1963</v>
      </c>
      <c r="C30" s="1636"/>
      <c r="D30" s="2492" t="s">
        <v>1963</v>
      </c>
      <c r="E30" s="1637"/>
      <c r="F30" s="2963"/>
      <c r="G30" s="2960"/>
      <c r="H30" s="2960"/>
      <c r="I30" s="2961"/>
      <c r="J30" s="2955"/>
      <c r="K30" s="2938"/>
      <c r="L30" s="2934"/>
      <c r="M30" s="2934"/>
      <c r="N30" s="2935"/>
      <c r="O30" s="2936"/>
      <c r="P30" s="2935"/>
      <c r="Q30" s="2935"/>
      <c r="R30" s="2935"/>
      <c r="S30" s="2935"/>
      <c r="T30" s="2935"/>
      <c r="U30" s="2935"/>
    </row>
    <row r="31" spans="1:21" ht="15" thickTop="1">
      <c r="A31" s="3328" t="s">
        <v>1987</v>
      </c>
      <c r="B31" s="1679" t="s">
        <v>1988</v>
      </c>
      <c r="C31" s="3367" t="s">
        <v>2987</v>
      </c>
      <c r="D31" s="3368"/>
      <c r="E31" s="2955"/>
      <c r="F31" s="2955"/>
      <c r="G31" s="2955"/>
      <c r="H31" s="2955"/>
      <c r="I31" s="2959"/>
      <c r="J31" s="2955"/>
      <c r="K31" s="2941"/>
      <c r="L31" s="2935"/>
      <c r="M31" s="2935"/>
      <c r="N31" s="2935"/>
      <c r="O31" s="2935"/>
      <c r="P31" s="2935"/>
      <c r="Q31" s="2935"/>
      <c r="R31" s="2935"/>
      <c r="S31" s="2935"/>
      <c r="T31" s="2935"/>
      <c r="U31" s="2935"/>
    </row>
    <row r="32" spans="1:21">
      <c r="A32" s="3328"/>
      <c r="B32" s="1586" t="s">
        <v>1989</v>
      </c>
      <c r="C32" s="1638" t="s">
        <v>2988</v>
      </c>
      <c r="D32" s="1639"/>
      <c r="E32" s="2955"/>
      <c r="F32" s="2955"/>
      <c r="G32" s="2955"/>
      <c r="H32" s="2955"/>
      <c r="I32" s="2959"/>
      <c r="J32" s="2955"/>
      <c r="K32" s="2941"/>
      <c r="L32" s="2935"/>
      <c r="M32" s="2935"/>
      <c r="N32" s="2935"/>
      <c r="O32" s="2935"/>
      <c r="P32" s="2935"/>
      <c r="Q32" s="2935"/>
      <c r="R32" s="2935"/>
      <c r="S32" s="2935"/>
      <c r="T32" s="2935"/>
      <c r="U32" s="2935"/>
    </row>
    <row r="33" spans="1:28">
      <c r="A33" s="3328"/>
      <c r="B33" s="1586" t="s">
        <v>1990</v>
      </c>
      <c r="C33" s="1640" t="s">
        <v>2986</v>
      </c>
      <c r="D33" s="1750"/>
      <c r="E33" s="2955"/>
      <c r="F33" s="2955"/>
      <c r="G33" s="2955"/>
      <c r="H33" s="2955"/>
      <c r="I33" s="2959"/>
      <c r="J33" s="2955"/>
      <c r="K33" s="2941"/>
      <c r="L33" s="2935"/>
      <c r="M33" s="2935"/>
      <c r="N33" s="2935"/>
      <c r="O33" s="2935"/>
      <c r="P33" s="2935"/>
      <c r="Q33" s="2935"/>
      <c r="R33" s="2935"/>
      <c r="S33" s="2935"/>
      <c r="T33" s="2935"/>
      <c r="U33" s="2935"/>
    </row>
    <row r="34" spans="1:28">
      <c r="A34" s="3329"/>
      <c r="B34" s="1586" t="s">
        <v>1991</v>
      </c>
      <c r="C34" s="3330"/>
      <c r="D34" s="3331"/>
      <c r="E34" s="2955"/>
      <c r="F34" s="2955"/>
      <c r="G34" s="2955"/>
      <c r="H34" s="2955"/>
      <c r="I34" s="2959"/>
      <c r="J34" s="2955"/>
      <c r="K34" s="2941"/>
      <c r="L34" s="2935"/>
      <c r="M34" s="2935"/>
      <c r="N34" s="2935"/>
      <c r="O34" s="2935"/>
      <c r="P34" s="2935"/>
      <c r="Q34" s="2935"/>
      <c r="R34" s="2935"/>
      <c r="S34" s="2935"/>
      <c r="T34" s="2935"/>
      <c r="U34" s="2935"/>
    </row>
    <row r="35" spans="1:28">
      <c r="A35" s="3332" t="s">
        <v>839</v>
      </c>
      <c r="B35" s="1641" t="s">
        <v>2989</v>
      </c>
      <c r="C35" s="1688" t="str">
        <f>IF(B35="场地平整","——","具体情况：")</f>
        <v>——</v>
      </c>
      <c r="D35" s="3334"/>
      <c r="E35" s="3335"/>
      <c r="F35" s="3335"/>
      <c r="G35" s="3335"/>
      <c r="H35" s="3335"/>
      <c r="I35" s="3336"/>
      <c r="J35" s="2955"/>
      <c r="K35" s="2942"/>
      <c r="L35" s="2934"/>
      <c r="M35" s="2934"/>
      <c r="N35" s="2935"/>
      <c r="O35" s="2936"/>
      <c r="P35" s="2935"/>
      <c r="Q35" s="2935"/>
      <c r="R35" s="2935"/>
      <c r="S35" s="2935"/>
      <c r="T35" s="2935"/>
      <c r="U35" s="2935"/>
    </row>
    <row r="36" spans="1:28">
      <c r="A36" s="3328"/>
      <c r="B36" s="3337" t="s">
        <v>2040</v>
      </c>
      <c r="C36" s="3338"/>
      <c r="D36" s="1704" t="s">
        <v>2990</v>
      </c>
      <c r="E36" s="3339"/>
      <c r="F36" s="3339"/>
      <c r="G36" s="1609" t="str">
        <f>IF(B35="场地未平整","估价结果处理","")</f>
        <v/>
      </c>
      <c r="H36" s="3340"/>
      <c r="I36" s="3340"/>
      <c r="J36" s="2955"/>
      <c r="K36" s="2942"/>
      <c r="L36" s="2934"/>
      <c r="M36" s="2934"/>
      <c r="N36" s="2935"/>
      <c r="O36" s="2936"/>
      <c r="P36" s="2935"/>
      <c r="Q36" s="2935"/>
      <c r="R36" s="2935"/>
      <c r="S36" s="2935"/>
      <c r="T36" s="2935"/>
      <c r="U36" s="2935"/>
    </row>
    <row r="37" spans="1:28" ht="28.5">
      <c r="A37" s="3328"/>
      <c r="B37" s="3358" t="s">
        <v>840</v>
      </c>
      <c r="C37" s="1643" t="s">
        <v>841</v>
      </c>
      <c r="D37" s="1644"/>
      <c r="E37" s="1645"/>
      <c r="F37" s="2955"/>
      <c r="G37" s="2955"/>
      <c r="H37" s="2955"/>
      <c r="I37" s="2959"/>
      <c r="J37" s="2955"/>
      <c r="K37" s="2942"/>
      <c r="L37" s="2935"/>
      <c r="M37" s="2935"/>
      <c r="N37" s="2935"/>
      <c r="O37" s="2935"/>
      <c r="P37" s="2935"/>
      <c r="Q37" s="2935"/>
      <c r="R37" s="2935"/>
      <c r="S37" s="2935"/>
      <c r="T37" s="2935"/>
      <c r="U37" s="2935"/>
    </row>
    <row r="38" spans="1:28">
      <c r="A38" s="3328"/>
      <c r="B38" s="3359"/>
      <c r="C38" s="1594" t="s">
        <v>842</v>
      </c>
      <c r="D38" s="1703">
        <f>ROUNDDOWN(MIN(('数据-取费表'!$B$2-D37)/365,D34),1)</f>
        <v>121.2</v>
      </c>
      <c r="E38" s="1646" t="s">
        <v>843</v>
      </c>
      <c r="F38" s="2955"/>
      <c r="G38" s="2955"/>
      <c r="H38" s="2955"/>
      <c r="I38" s="2959"/>
      <c r="J38" s="2955"/>
      <c r="K38" s="2942"/>
      <c r="L38" s="2935"/>
      <c r="M38" s="2935"/>
      <c r="N38" s="2935"/>
      <c r="O38" s="2935"/>
      <c r="P38" s="2935"/>
      <c r="Q38" s="2935"/>
      <c r="R38" s="2935"/>
      <c r="S38" s="2935"/>
      <c r="T38" s="2935"/>
      <c r="U38" s="2935"/>
    </row>
    <row r="39" spans="1:28">
      <c r="A39" s="3329"/>
      <c r="B39" s="3360"/>
      <c r="C39" s="1616" t="str">
        <f>IF(D38&lt;1,"不存在土地闲置",IF(B35="宗地内已开工建设","已开工，不存在土地闲置","估价对象已涉嫌土地闲置"))</f>
        <v>估价对象已涉嫌土地闲置</v>
      </c>
      <c r="D39" s="1647"/>
      <c r="E39" s="1648"/>
      <c r="F39" s="2955"/>
      <c r="G39" s="2955"/>
      <c r="H39" s="2955"/>
      <c r="I39" s="2959"/>
      <c r="J39" s="2955"/>
      <c r="K39" s="2938"/>
      <c r="L39" s="2934"/>
      <c r="M39" s="2934"/>
      <c r="N39" s="2935"/>
      <c r="O39" s="2936"/>
      <c r="P39" s="2935"/>
      <c r="Q39" s="2935"/>
      <c r="R39" s="2935"/>
      <c r="S39" s="2935"/>
      <c r="T39" s="2935"/>
      <c r="U39" s="2935"/>
    </row>
    <row r="40" spans="1:28">
      <c r="A40" s="1609" t="s">
        <v>1964</v>
      </c>
      <c r="B40" s="1610" t="s">
        <v>2992</v>
      </c>
      <c r="C40" s="1610" t="s">
        <v>2993</v>
      </c>
      <c r="D40" s="1610" t="s">
        <v>2994</v>
      </c>
      <c r="E40" s="1610" t="s">
        <v>2995</v>
      </c>
      <c r="F40" s="1610" t="s">
        <v>2996</v>
      </c>
      <c r="G40" s="1610" t="s">
        <v>2997</v>
      </c>
      <c r="H40" s="1610" t="s">
        <v>2998</v>
      </c>
      <c r="I40" s="2959"/>
      <c r="J40" s="2955"/>
      <c r="K40" s="2903">
        <f>COUNTIF(B40:H40,"——")</f>
        <v>0</v>
      </c>
      <c r="L40" s="1618" t="s">
        <v>1965</v>
      </c>
      <c r="M40" s="1615" t="s">
        <v>1966</v>
      </c>
      <c r="N40" s="1615" t="s">
        <v>1967</v>
      </c>
      <c r="O40" s="1615" t="s">
        <v>1968</v>
      </c>
      <c r="P40" s="1615" t="s">
        <v>1969</v>
      </c>
      <c r="Q40" s="1615" t="s">
        <v>1970</v>
      </c>
      <c r="R40" s="1615" t="s">
        <v>1971</v>
      </c>
      <c r="S40" s="3341" t="s">
        <v>1972</v>
      </c>
      <c r="T40" s="1650" t="str">
        <f>NUMBERSTRING(7-K40,1)&amp;"通"</f>
        <v>七通</v>
      </c>
      <c r="U40" s="2935"/>
    </row>
    <row r="41" spans="1:28">
      <c r="A41" s="1588"/>
      <c r="B41" s="3333" t="s">
        <v>1712</v>
      </c>
      <c r="C41" s="3333"/>
      <c r="D41" s="3333"/>
      <c r="E41" s="3333"/>
      <c r="F41" s="1651">
        <f>C10</f>
        <v>0</v>
      </c>
      <c r="G41" s="2955"/>
      <c r="H41" s="2955"/>
      <c r="I41" s="2959"/>
      <c r="J41" s="2955"/>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41"/>
      <c r="T41" s="1652" t="str">
        <f>IF(T40="一通",L41,IF(T40="二通",M41,IF(T40="三通",N41,IF(T40="四通",O41,IF(T40="五通",P41,IF(T40="六通",Q41,R41))))))</f>
        <v>通路、通电、通讯、通上水、通下水、通热、燃气</v>
      </c>
      <c r="U41" s="2935"/>
    </row>
    <row r="42" spans="1:28">
      <c r="A42" s="1654"/>
      <c r="B42" s="1681" t="s">
        <v>1888</v>
      </c>
      <c r="C42" s="1681" t="s">
        <v>1889</v>
      </c>
      <c r="D42" s="1681" t="s">
        <v>1890</v>
      </c>
      <c r="E42" s="1618" t="s">
        <v>1891</v>
      </c>
      <c r="F42" s="1655"/>
      <c r="G42" s="2955"/>
      <c r="H42" s="2955"/>
      <c r="I42" s="2959"/>
      <c r="J42" s="2955"/>
      <c r="K42" s="2938"/>
      <c r="L42" s="2934"/>
      <c r="M42" s="2934"/>
      <c r="N42" s="2935"/>
      <c r="O42" s="2936"/>
      <c r="P42" s="2935"/>
      <c r="Q42" s="2935"/>
      <c r="R42" s="2935"/>
      <c r="S42" s="2935"/>
      <c r="T42" s="2935"/>
      <c r="U42" s="2935"/>
    </row>
    <row r="43" spans="1:28">
      <c r="A43" s="2906" t="s">
        <v>1697</v>
      </c>
      <c r="B43" s="1656" t="s">
        <v>2991</v>
      </c>
      <c r="C43" s="1656" t="s">
        <v>2991</v>
      </c>
      <c r="D43" s="1656" t="s">
        <v>2991</v>
      </c>
      <c r="E43" s="1656" t="s">
        <v>2991</v>
      </c>
      <c r="F43" s="1657"/>
      <c r="G43" s="2955"/>
      <c r="H43" s="2955"/>
      <c r="I43" s="2959"/>
      <c r="J43" s="2955"/>
      <c r="K43" s="2938"/>
      <c r="L43" s="2934"/>
      <c r="M43" s="2934"/>
      <c r="N43" s="2935"/>
      <c r="O43" s="2936"/>
      <c r="P43" s="2935"/>
      <c r="Q43" s="2935"/>
      <c r="R43" s="2935"/>
      <c r="S43" s="2935"/>
      <c r="T43" s="2935"/>
      <c r="U43" s="2935"/>
    </row>
    <row r="44" spans="1:28">
      <c r="A44" s="2906" t="s">
        <v>1698</v>
      </c>
      <c r="B44" s="1656" t="s">
        <v>1207</v>
      </c>
      <c r="C44" s="1656" t="s">
        <v>1207</v>
      </c>
      <c r="D44" s="1656" t="s">
        <v>1207</v>
      </c>
      <c r="E44" s="1656" t="s">
        <v>1207</v>
      </c>
      <c r="F44" s="1657"/>
      <c r="G44" s="2955"/>
      <c r="H44" s="2955"/>
      <c r="I44" s="2959"/>
      <c r="J44" s="2955"/>
      <c r="K44" s="2938"/>
      <c r="L44" s="2934"/>
      <c r="M44" s="2934"/>
      <c r="N44" s="2935"/>
      <c r="O44" s="2936"/>
      <c r="P44" s="2935"/>
      <c r="Q44" s="2935"/>
      <c r="R44" s="2935"/>
      <c r="S44" s="2935"/>
      <c r="T44" s="2935"/>
      <c r="U44" s="2935"/>
    </row>
    <row r="45" spans="1:28" s="2769" customFormat="1" ht="21" thickBot="1">
      <c r="A45" s="2770" t="s">
        <v>2846</v>
      </c>
      <c r="B45" s="2768"/>
      <c r="C45" s="2768"/>
      <c r="D45" s="2768"/>
      <c r="E45" s="2768"/>
      <c r="F45" s="2768"/>
      <c r="G45" s="2945"/>
      <c r="H45" s="2945"/>
      <c r="I45" s="2946"/>
      <c r="J45" s="2958"/>
      <c r="K45" s="2943"/>
      <c r="L45" s="2944"/>
      <c r="M45" s="2944"/>
      <c r="N45" s="2945"/>
      <c r="O45" s="2946"/>
      <c r="P45" s="2945"/>
      <c r="Q45" s="2945"/>
      <c r="R45" s="2945"/>
      <c r="S45" s="2945"/>
      <c r="T45" s="2945"/>
      <c r="U45" s="2945"/>
      <c r="V45" s="2947"/>
      <c r="W45" s="2947"/>
      <c r="X45" s="2947"/>
      <c r="Y45" s="2947"/>
      <c r="Z45" s="2947"/>
      <c r="AA45" s="2947"/>
      <c r="AB45" s="2947"/>
    </row>
    <row r="46" spans="1:28">
      <c r="A46" s="1613"/>
      <c r="B46" s="1613"/>
      <c r="C46" s="1613"/>
      <c r="D46" s="1613"/>
      <c r="E46" s="1613"/>
      <c r="F46" s="1613"/>
      <c r="G46" s="1613"/>
      <c r="H46" s="1613"/>
      <c r="I46" s="1626"/>
      <c r="J46" s="1613"/>
      <c r="K46" s="2938"/>
      <c r="L46" s="2934"/>
      <c r="M46" s="2934"/>
      <c r="N46" s="2935"/>
      <c r="O46" s="2936"/>
      <c r="P46" s="2935"/>
      <c r="Q46" s="2935"/>
      <c r="R46" s="2935"/>
      <c r="S46" s="2935"/>
      <c r="T46" s="2935"/>
      <c r="U46" s="2935"/>
    </row>
    <row r="47" spans="1:28">
      <c r="A47" s="1658" t="s">
        <v>1992</v>
      </c>
      <c r="B47" s="1659"/>
      <c r="C47" s="1648"/>
      <c r="D47" s="1613"/>
      <c r="E47" s="1613"/>
      <c r="F47" s="1613"/>
      <c r="G47" s="1613"/>
      <c r="H47" s="1613"/>
      <c r="I47" s="1614"/>
      <c r="J47" s="1613"/>
      <c r="K47" s="2938"/>
      <c r="L47" s="2934"/>
      <c r="M47" s="2934"/>
      <c r="N47" s="2935"/>
      <c r="O47" s="2936"/>
      <c r="P47" s="2935"/>
      <c r="Q47" s="2935"/>
      <c r="R47" s="2935"/>
      <c r="S47" s="2935"/>
      <c r="T47" s="2935"/>
      <c r="U47" s="2935"/>
    </row>
    <row r="48" spans="1:28" ht="28.5">
      <c r="A48" s="1618" t="s">
        <v>1993</v>
      </c>
      <c r="B48" s="1608" t="s">
        <v>1994</v>
      </c>
      <c r="C48" s="1608" t="s">
        <v>1995</v>
      </c>
      <c r="D48" s="1608" t="s">
        <v>1996</v>
      </c>
      <c r="E48" s="1608" t="s">
        <v>1997</v>
      </c>
      <c r="F48" s="1608" t="s">
        <v>1998</v>
      </c>
      <c r="G48" s="1608" t="s">
        <v>1999</v>
      </c>
      <c r="H48" s="1608" t="s">
        <v>2000</v>
      </c>
      <c r="I48" s="1608" t="s">
        <v>2001</v>
      </c>
      <c r="J48" s="1687" t="s">
        <v>2002</v>
      </c>
      <c r="K48" s="2948" t="s">
        <v>2003</v>
      </c>
      <c r="L48" s="2948" t="s">
        <v>2004</v>
      </c>
      <c r="M48" s="2948" t="s">
        <v>2005</v>
      </c>
      <c r="N48" s="2949" t="s">
        <v>2006</v>
      </c>
      <c r="O48" s="2949" t="s">
        <v>2007</v>
      </c>
      <c r="P48" s="2949" t="s">
        <v>2008</v>
      </c>
      <c r="Q48" s="2940" t="s">
        <v>2009</v>
      </c>
      <c r="R48" s="2940" t="s">
        <v>2010</v>
      </c>
      <c r="S48" s="2935"/>
      <c r="T48" s="2935"/>
      <c r="U48" s="2935"/>
    </row>
    <row r="49" spans="1:21">
      <c r="A49" s="1615"/>
      <c r="B49" s="1649"/>
      <c r="C49" s="1649"/>
      <c r="D49" s="1649"/>
      <c r="E49" s="1649"/>
      <c r="F49" s="1649"/>
      <c r="G49" s="1649"/>
      <c r="H49" s="1649"/>
      <c r="I49" s="1649"/>
      <c r="J49" s="1751"/>
      <c r="K49" s="2950"/>
      <c r="L49" s="2950"/>
      <c r="M49" s="1655"/>
      <c r="N49" s="1655"/>
      <c r="O49" s="1655"/>
      <c r="P49" s="1655"/>
      <c r="Q49" s="1655"/>
      <c r="R49" s="1655"/>
      <c r="S49" s="2935"/>
      <c r="T49" s="2935"/>
      <c r="U49" s="2935"/>
    </row>
    <row r="50" spans="1:21">
      <c r="A50" s="1615"/>
      <c r="B50" s="1615"/>
      <c r="C50" s="1649"/>
      <c r="D50" s="1649"/>
      <c r="E50" s="1649"/>
      <c r="F50" s="1649"/>
      <c r="G50" s="1649"/>
      <c r="H50" s="1649"/>
      <c r="I50" s="1649"/>
      <c r="J50" s="1751"/>
      <c r="K50" s="2950"/>
      <c r="L50" s="2950"/>
      <c r="M50" s="1655"/>
      <c r="N50" s="1655"/>
      <c r="O50" s="1655"/>
      <c r="P50" s="1655"/>
      <c r="Q50" s="1655"/>
      <c r="R50" s="1655"/>
      <c r="S50" s="2935"/>
      <c r="T50" s="2935"/>
      <c r="U50" s="2935"/>
    </row>
    <row r="51" spans="1:21">
      <c r="A51" s="1615"/>
      <c r="B51" s="1615"/>
      <c r="C51" s="1649"/>
      <c r="D51" s="1649"/>
      <c r="E51" s="1649"/>
      <c r="F51" s="1649"/>
      <c r="G51" s="1649"/>
      <c r="H51" s="1649"/>
      <c r="I51" s="1649"/>
      <c r="J51" s="1751"/>
      <c r="K51" s="2950"/>
      <c r="L51" s="2950"/>
      <c r="M51" s="1655"/>
      <c r="N51" s="1655"/>
      <c r="O51" s="1655"/>
      <c r="P51" s="1655"/>
      <c r="Q51" s="1655"/>
      <c r="R51" s="1655"/>
      <c r="S51" s="2935"/>
      <c r="T51" s="2935"/>
      <c r="U51" s="2935"/>
    </row>
    <row r="52" spans="1:21">
      <c r="A52" s="1615"/>
      <c r="B52" s="1615"/>
      <c r="C52" s="1649"/>
      <c r="D52" s="1649"/>
      <c r="E52" s="1649"/>
      <c r="F52" s="1649"/>
      <c r="G52" s="1649"/>
      <c r="H52" s="1649"/>
      <c r="I52" s="1649"/>
      <c r="J52" s="1751"/>
      <c r="K52" s="2950"/>
      <c r="L52" s="2950"/>
      <c r="M52" s="1655"/>
      <c r="N52" s="1655"/>
      <c r="O52" s="1655"/>
      <c r="P52" s="1655"/>
      <c r="Q52" s="1655"/>
      <c r="R52" s="1655"/>
      <c r="S52" s="2935"/>
      <c r="T52" s="2935"/>
      <c r="U52" s="2935"/>
    </row>
    <row r="53" spans="1:21">
      <c r="A53" s="1615"/>
      <c r="B53" s="1615"/>
      <c r="C53" s="1649"/>
      <c r="D53" s="1649"/>
      <c r="E53" s="1649"/>
      <c r="F53" s="1649"/>
      <c r="G53" s="1649"/>
      <c r="H53" s="1649"/>
      <c r="I53" s="1649"/>
      <c r="J53" s="1751"/>
      <c r="K53" s="2950"/>
      <c r="L53" s="2950"/>
      <c r="M53" s="1655"/>
      <c r="N53" s="1655"/>
      <c r="O53" s="1655"/>
      <c r="P53" s="1655"/>
      <c r="Q53" s="1655"/>
      <c r="R53" s="1655"/>
      <c r="S53" s="2935"/>
      <c r="T53" s="2935"/>
      <c r="U53" s="2935"/>
    </row>
    <row r="54" spans="1:21">
      <c r="A54" s="1615"/>
      <c r="B54" s="1615"/>
      <c r="C54" s="1615"/>
      <c r="D54" s="1615"/>
      <c r="E54" s="1615"/>
      <c r="F54" s="1649"/>
      <c r="G54" s="1615"/>
      <c r="H54" s="1615"/>
      <c r="I54" s="1615"/>
      <c r="J54" s="1752"/>
      <c r="K54" s="2950"/>
      <c r="L54" s="2950"/>
      <c r="M54" s="2950"/>
      <c r="N54" s="2902"/>
      <c r="O54" s="2902"/>
      <c r="P54" s="2902"/>
      <c r="Q54" s="2902"/>
      <c r="R54" s="2902"/>
      <c r="S54" s="2935"/>
      <c r="T54" s="2935"/>
      <c r="U54" s="2935"/>
    </row>
    <row r="55" spans="1:21">
      <c r="A55" s="1615"/>
      <c r="B55" s="1615"/>
      <c r="C55" s="1615"/>
      <c r="D55" s="1615"/>
      <c r="E55" s="1615"/>
      <c r="F55" s="1649"/>
      <c r="G55" s="1615"/>
      <c r="H55" s="1615"/>
      <c r="I55" s="1615"/>
      <c r="J55" s="1752"/>
      <c r="K55" s="2950"/>
      <c r="L55" s="2950"/>
      <c r="M55" s="2950"/>
      <c r="N55" s="2902"/>
      <c r="O55" s="2902"/>
      <c r="P55" s="2902"/>
      <c r="Q55" s="2902"/>
      <c r="R55" s="2902"/>
      <c r="S55" s="2935"/>
      <c r="T55" s="2935"/>
      <c r="U55" s="2935"/>
    </row>
    <row r="56" spans="1:21">
      <c r="A56" s="1615"/>
      <c r="B56" s="1615"/>
      <c r="C56" s="1615"/>
      <c r="D56" s="1615"/>
      <c r="E56" s="1615"/>
      <c r="F56" s="1649"/>
      <c r="G56" s="1615"/>
      <c r="H56" s="1615"/>
      <c r="I56" s="1615"/>
      <c r="J56" s="1752"/>
      <c r="K56" s="2950"/>
      <c r="L56" s="2950"/>
      <c r="M56" s="2950"/>
      <c r="N56" s="2902"/>
      <c r="O56" s="2902"/>
      <c r="P56" s="2902"/>
      <c r="Q56" s="2902"/>
      <c r="R56" s="2902"/>
      <c r="S56" s="2935"/>
      <c r="T56" s="2935"/>
      <c r="U56" s="2935"/>
    </row>
    <row r="57" spans="1:21">
      <c r="A57" s="1615"/>
      <c r="B57" s="1615"/>
      <c r="C57" s="1615"/>
      <c r="D57" s="1615"/>
      <c r="E57" s="1615"/>
      <c r="F57" s="1649"/>
      <c r="G57" s="1615"/>
      <c r="H57" s="1615"/>
      <c r="I57" s="1615"/>
      <c r="J57" s="1752"/>
      <c r="K57" s="2950"/>
      <c r="L57" s="2950"/>
      <c r="M57" s="2950"/>
      <c r="N57" s="2902"/>
      <c r="O57" s="2902"/>
      <c r="P57" s="2902"/>
      <c r="Q57" s="2902"/>
      <c r="R57" s="2902"/>
      <c r="S57" s="2935"/>
      <c r="T57" s="2935"/>
      <c r="U57" s="2935"/>
    </row>
    <row r="58" spans="1:21">
      <c r="A58" s="1615"/>
      <c r="B58" s="1615"/>
      <c r="C58" s="1615"/>
      <c r="D58" s="1615"/>
      <c r="E58" s="1615"/>
      <c r="F58" s="1649"/>
      <c r="G58" s="1615"/>
      <c r="H58" s="1615"/>
      <c r="I58" s="1615"/>
      <c r="J58" s="1752"/>
      <c r="K58" s="2950"/>
      <c r="L58" s="2950"/>
      <c r="M58" s="2950"/>
      <c r="N58" s="2902"/>
      <c r="O58" s="2902"/>
      <c r="P58" s="2902"/>
      <c r="Q58" s="2902"/>
      <c r="R58" s="2902"/>
      <c r="S58" s="2935"/>
      <c r="T58" s="2935"/>
      <c r="U58" s="293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AI33" sqref="AI33"/>
      <selection pane="topRight" activeCell="AI33" sqref="AI33"/>
      <selection pane="bottomLeft" activeCell="AI33" sqref="AI33"/>
      <selection pane="bottomRight" activeCell="H38" sqref="H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2318</v>
      </c>
      <c r="BA2" s="2217"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9817.3700000000008</v>
      </c>
      <c r="B3" s="22">
        <f>IF(C3="否",G5-AT5,G5)</f>
        <v>14621.330000000002</v>
      </c>
      <c r="C3" s="23" t="s">
        <v>2986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19166.940000000002</v>
      </c>
      <c r="H5" s="27">
        <f t="shared" ref="H5:AT5" si="0">SUM(H13:H641)</f>
        <v>10601.94</v>
      </c>
      <c r="I5" s="27">
        <f t="shared" si="0"/>
        <v>9740.7800000000007</v>
      </c>
      <c r="J5" s="27">
        <f t="shared" si="0"/>
        <v>0</v>
      </c>
      <c r="K5" s="27">
        <f t="shared" si="0"/>
        <v>861.16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4019.39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4019.39</v>
      </c>
      <c r="AO5" s="27">
        <f t="shared" si="0"/>
        <v>0</v>
      </c>
      <c r="AP5" s="27">
        <f t="shared" si="0"/>
        <v>0</v>
      </c>
      <c r="AQ5" s="27">
        <f t="shared" si="0"/>
        <v>0</v>
      </c>
      <c r="AR5" s="27">
        <f t="shared" si="0"/>
        <v>0</v>
      </c>
      <c r="AS5" s="27">
        <f t="shared" si="0"/>
        <v>0</v>
      </c>
      <c r="AT5" s="27">
        <f t="shared" si="0"/>
        <v>4545.6100000000006</v>
      </c>
      <c r="AU5" s="975"/>
      <c r="AV5" s="26" t="s">
        <v>168</v>
      </c>
      <c r="AW5" s="976"/>
      <c r="AX5" s="976"/>
      <c r="AY5" s="28" t="s">
        <v>3</v>
      </c>
      <c r="AZ5" s="29">
        <f t="shared" ref="AZ5:BT5" si="1">SUM(AZ13:AZ641)</f>
        <v>14621.33</v>
      </c>
      <c r="BA5" s="29">
        <f t="shared" si="1"/>
        <v>10601.94</v>
      </c>
      <c r="BB5" s="29">
        <f t="shared" si="1"/>
        <v>9740.7800000000007</v>
      </c>
      <c r="BC5" s="29">
        <f t="shared" si="1"/>
        <v>861.16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4019.39</v>
      </c>
      <c r="BM5" s="29">
        <f t="shared" si="1"/>
        <v>0</v>
      </c>
      <c r="BN5" s="29">
        <f t="shared" si="1"/>
        <v>0</v>
      </c>
      <c r="BO5" s="29">
        <f t="shared" si="1"/>
        <v>0</v>
      </c>
      <c r="BP5" s="29">
        <f t="shared" si="1"/>
        <v>0</v>
      </c>
      <c r="BQ5" s="29">
        <f t="shared" si="1"/>
        <v>0</v>
      </c>
      <c r="BR5" s="29">
        <f t="shared" si="1"/>
        <v>4019.39</v>
      </c>
      <c r="BS5" s="29">
        <f t="shared" si="1"/>
        <v>0</v>
      </c>
      <c r="BT5" s="30">
        <f t="shared" si="1"/>
        <v>0</v>
      </c>
    </row>
    <row r="6" spans="1:72" s="37" customFormat="1" ht="12.75">
      <c r="A6" s="26" t="s">
        <v>169</v>
      </c>
      <c r="B6" s="31"/>
      <c r="C6" s="31"/>
      <c r="D6" s="32"/>
      <c r="E6" s="27">
        <f>H6+AC6+AT6</f>
        <v>9817.380000000001</v>
      </c>
      <c r="F6" s="27" t="s">
        <v>1</v>
      </c>
      <c r="G6" s="27" t="s">
        <v>2</v>
      </c>
      <c r="H6" s="33">
        <f>SUMIF(I$12:AB$12,"总值",I6:AB6)</f>
        <v>7118.59</v>
      </c>
      <c r="I6" s="27">
        <f t="shared" ref="I6:AB6" si="2">ROUND($A$3*I5/$B$3,2)</f>
        <v>6540.37</v>
      </c>
      <c r="J6" s="27">
        <f t="shared" si="2"/>
        <v>0</v>
      </c>
      <c r="K6" s="27">
        <f t="shared" si="2"/>
        <v>578.22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2698.79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2698.79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9817.3700000000008</v>
      </c>
      <c r="AZ6" s="27" t="s">
        <v>3</v>
      </c>
      <c r="BA6" s="27">
        <f>ROUND($AY$6*BA5/$AZ$5,2)</f>
        <v>7118.58</v>
      </c>
      <c r="BB6" s="27">
        <f>ROUND($AY$6*BB5/$AZ$5,2)</f>
        <v>6540.37</v>
      </c>
      <c r="BC6" s="27">
        <f t="shared" ref="BC6:BH6" si="4">ROUND($AY$6*BC5/$AZ$5,2)</f>
        <v>578.22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2698.79</v>
      </c>
      <c r="BM6" s="27">
        <f t="shared" si="5"/>
        <v>0</v>
      </c>
      <c r="BN6" s="27">
        <f t="shared" si="5"/>
        <v>0</v>
      </c>
      <c r="BO6" s="27">
        <f t="shared" si="5"/>
        <v>0</v>
      </c>
      <c r="BP6" s="27">
        <f t="shared" si="5"/>
        <v>0</v>
      </c>
      <c r="BQ6" s="27">
        <f t="shared" si="5"/>
        <v>0</v>
      </c>
      <c r="BR6" s="27">
        <f t="shared" si="5"/>
        <v>2698.79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3118</v>
      </c>
      <c r="J9" s="51"/>
      <c r="K9" s="2729" t="s">
        <v>3120</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2982</v>
      </c>
      <c r="J10" s="51"/>
      <c r="K10" s="2731" t="s">
        <v>2983</v>
      </c>
      <c r="L10" s="51"/>
      <c r="M10" s="2731"/>
      <c r="N10" s="51"/>
      <c r="O10" s="66"/>
      <c r="P10" s="51"/>
      <c r="Q10" s="66"/>
      <c r="R10" s="51"/>
      <c r="S10" s="66"/>
      <c r="T10" s="51"/>
      <c r="U10" s="66"/>
      <c r="V10" s="51"/>
      <c r="W10" s="66"/>
      <c r="X10" s="51"/>
      <c r="Y10" s="66"/>
      <c r="Z10" s="51"/>
      <c r="AA10" s="66"/>
      <c r="AB10" s="51"/>
      <c r="AC10" s="55"/>
      <c r="AD10" s="2191" t="s">
        <v>2302</v>
      </c>
      <c r="AE10" s="2213"/>
      <c r="AF10" s="2191" t="s">
        <v>2302</v>
      </c>
      <c r="AG10" s="2213"/>
      <c r="AH10" s="2191" t="s">
        <v>2303</v>
      </c>
      <c r="AI10" s="2213"/>
      <c r="AJ10" s="26" t="s">
        <v>2316</v>
      </c>
      <c r="AK10" s="2210"/>
      <c r="AL10" s="2191" t="s">
        <v>2304</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3119</v>
      </c>
      <c r="J11" s="71"/>
      <c r="K11" s="2730" t="s">
        <v>2983</v>
      </c>
      <c r="L11" s="71"/>
      <c r="M11" s="70"/>
      <c r="N11" s="71"/>
      <c r="O11" s="70"/>
      <c r="P11" s="71"/>
      <c r="Q11" s="70"/>
      <c r="R11" s="71"/>
      <c r="S11" s="70"/>
      <c r="T11" s="71"/>
      <c r="U11" s="70"/>
      <c r="V11" s="71"/>
      <c r="W11" s="70"/>
      <c r="X11" s="71"/>
      <c r="Y11" s="70"/>
      <c r="Z11" s="71"/>
      <c r="AA11" s="70"/>
      <c r="AB11" s="71"/>
      <c r="AC11" s="55"/>
      <c r="AD11" s="2211" t="s">
        <v>2315</v>
      </c>
      <c r="AE11" s="989"/>
      <c r="AF11" s="2211" t="s">
        <v>2315</v>
      </c>
      <c r="AG11" s="989"/>
      <c r="AH11" s="2211" t="s">
        <v>2314</v>
      </c>
      <c r="AI11" s="2212"/>
      <c r="AJ11" s="2211" t="s">
        <v>2314</v>
      </c>
      <c r="AK11" s="2210"/>
      <c r="AL11" s="987"/>
      <c r="AM11" s="989"/>
      <c r="AN11" s="987"/>
      <c r="AO11" s="989"/>
      <c r="AP11" s="1170"/>
      <c r="AQ11" s="1172"/>
      <c r="AR11" s="1170"/>
      <c r="AS11" s="1172"/>
      <c r="AT11" s="990"/>
      <c r="AU11" s="45"/>
      <c r="AV11" s="55"/>
      <c r="AW11" s="990"/>
      <c r="AX11" s="55"/>
      <c r="AY11" s="62"/>
      <c r="AZ11" s="62"/>
      <c r="BA11" s="62"/>
      <c r="BB11" s="50" t="str">
        <f>I10</f>
        <v>商业</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独立商业</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55.5" customHeight="1">
      <c r="A13" s="2724"/>
      <c r="B13" s="2724"/>
      <c r="C13" s="2724" t="str">
        <f>指标!B7</f>
        <v>北京市平谷区金海湖镇PG06-0100-6019地块</v>
      </c>
      <c r="D13" s="2725" t="s">
        <v>1669</v>
      </c>
      <c r="E13" s="27">
        <f t="shared" ref="E13:E20" si="6">IF($C$3="是",ROUND($A$3*G13/$B$3,2),ROUND($A$3*(G13-AT13)/$B$3,2))</f>
        <v>9817.3700000000008</v>
      </c>
      <c r="F13" s="81"/>
      <c r="G13" s="82">
        <f t="shared" ref="G13:G20" si="7">H13+AC13+AT13</f>
        <v>19166.940000000002</v>
      </c>
      <c r="H13" s="33">
        <f t="shared" ref="H13:H20" si="8">SUMIF(I$12:AB$12,"总值",I13:AB13)</f>
        <v>10601.94</v>
      </c>
      <c r="I13" s="2728">
        <f>指标!L1</f>
        <v>9740.7800000000007</v>
      </c>
      <c r="J13" s="2728"/>
      <c r="K13" s="2728">
        <f>指标!N1</f>
        <v>861.16</v>
      </c>
      <c r="L13" s="2728"/>
      <c r="M13" s="2728"/>
      <c r="N13" s="83"/>
      <c r="O13" s="83"/>
      <c r="P13" s="83"/>
      <c r="Q13" s="83"/>
      <c r="R13" s="83"/>
      <c r="S13" s="83"/>
      <c r="T13" s="83"/>
      <c r="U13" s="83"/>
      <c r="V13" s="83"/>
      <c r="W13" s="83"/>
      <c r="X13" s="83"/>
      <c r="Y13" s="83"/>
      <c r="Z13" s="83"/>
      <c r="AA13" s="83"/>
      <c r="AB13" s="83"/>
      <c r="AC13" s="27">
        <f t="shared" ref="AC13:AC20" si="9">SUMIF(AD$12:AS$12,"总值",AD13:AS13)</f>
        <v>4019.39</v>
      </c>
      <c r="AD13" s="2732"/>
      <c r="AE13" s="2732"/>
      <c r="AF13" s="2732"/>
      <c r="AG13" s="2732"/>
      <c r="AH13" s="2732"/>
      <c r="AI13" s="2732"/>
      <c r="AJ13" s="2732"/>
      <c r="AK13" s="2732"/>
      <c r="AL13" s="2732"/>
      <c r="AM13" s="2732"/>
      <c r="AN13" s="2732">
        <f>指标!P1+指标!Q14</f>
        <v>4019.39</v>
      </c>
      <c r="AO13" s="2732"/>
      <c r="AP13" s="2732"/>
      <c r="AQ13" s="2732"/>
      <c r="AR13" s="2732"/>
      <c r="AS13" s="2732"/>
      <c r="AT13" s="2733">
        <f>A地块!J10</f>
        <v>4545.6100000000006</v>
      </c>
      <c r="AU13" s="2734"/>
      <c r="AV13" s="17">
        <f t="shared" ref="AV13:AX20" si="10">A13</f>
        <v>0</v>
      </c>
      <c r="AW13" s="17">
        <f t="shared" si="10"/>
        <v>0</v>
      </c>
      <c r="AX13" s="17" t="str">
        <f t="shared" si="10"/>
        <v>北京市平谷区金海湖镇PG06-0100-6019地块</v>
      </c>
      <c r="AY13" s="983">
        <f t="shared" ref="AY13:AY20" si="11">ROUND($AY$6*AZ13/$AZ$5,2)</f>
        <v>9817.3700000000008</v>
      </c>
      <c r="AZ13" s="27">
        <f t="shared" ref="AZ13:AZ20" si="12">BA13+BL13</f>
        <v>14621.33</v>
      </c>
      <c r="BA13" s="27">
        <f t="shared" ref="BA13:BA20" si="13">SUM(BB13:BK13)</f>
        <v>10601.94</v>
      </c>
      <c r="BB13" s="27">
        <f t="shared" ref="BB13:BB20" si="14">IF($D13="是",I13-J13,0)</f>
        <v>9740.7800000000007</v>
      </c>
      <c r="BC13" s="27">
        <f t="shared" ref="BC13:BC20" si="15">IF($D13="是",K13-L13,0)</f>
        <v>861.16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4019.39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4019.39</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9" t="s">
        <v>0</v>
      </c>
      <c r="B1" s="3369" t="s">
        <v>4</v>
      </c>
      <c r="C1" s="3369" t="s">
        <v>5</v>
      </c>
      <c r="D1" s="3370" t="s">
        <v>40</v>
      </c>
      <c r="E1" s="3370" t="s">
        <v>41</v>
      </c>
      <c r="F1" s="3370"/>
      <c r="G1" s="3370"/>
      <c r="H1" s="3370"/>
      <c r="I1" s="3370"/>
      <c r="J1" s="3370"/>
      <c r="K1" s="3370"/>
      <c r="L1" s="3370"/>
      <c r="M1" s="3370"/>
    </row>
    <row r="2" spans="1:13" ht="27" customHeight="1">
      <c r="A2" s="3369"/>
      <c r="B2" s="3369"/>
      <c r="C2" s="3369"/>
      <c r="D2" s="3370"/>
      <c r="E2" s="3370" t="s">
        <v>24</v>
      </c>
      <c r="F2" s="3370" t="s">
        <v>25</v>
      </c>
      <c r="G2" s="3370"/>
      <c r="H2" s="3370"/>
      <c r="I2" s="3370"/>
      <c r="J2" s="3370" t="s">
        <v>26</v>
      </c>
      <c r="K2" s="3370"/>
      <c r="L2" s="3370"/>
      <c r="M2" s="3370"/>
    </row>
    <row r="3" spans="1:13" ht="28.5">
      <c r="A3" s="3369"/>
      <c r="B3" s="3369"/>
      <c r="C3" s="3369"/>
      <c r="D3" s="3370"/>
      <c r="E3" s="33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0" t="s">
        <v>42</v>
      </c>
      <c r="B9" s="3370"/>
      <c r="C9" s="33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workbookViewId="0">
      <selection activeCell="F15" sqref="F15:F47"/>
    </sheetView>
  </sheetViews>
  <sheetFormatPr defaultRowHeight="13.5"/>
  <sheetData>
    <row r="1" spans="1:17" s="3167" customFormat="1" ht="14.25" thickBot="1">
      <c r="A1"/>
      <c r="B1" s="3374" t="s">
        <v>27</v>
      </c>
      <c r="C1" s="3375"/>
      <c r="D1" s="3375"/>
      <c r="E1" s="3376"/>
      <c r="F1"/>
      <c r="G1" s="3166">
        <v>14621.33</v>
      </c>
      <c r="H1" s="3166">
        <v>10601.94</v>
      </c>
      <c r="I1" s="3166">
        <v>0</v>
      </c>
      <c r="J1" s="3166">
        <v>0</v>
      </c>
      <c r="K1" s="3166">
        <v>0</v>
      </c>
      <c r="L1" s="3166">
        <v>9740.7800000000007</v>
      </c>
      <c r="M1" s="3166">
        <v>0</v>
      </c>
      <c r="N1" s="3166">
        <v>861.16</v>
      </c>
      <c r="O1" s="3166">
        <v>4019.39</v>
      </c>
      <c r="P1" s="3166">
        <v>3908.27</v>
      </c>
      <c r="Q1" s="3166">
        <v>111.12</v>
      </c>
    </row>
    <row r="3" spans="1:17" ht="14.25" thickBot="1"/>
    <row r="4" spans="1:17" ht="14.25" thickBot="1">
      <c r="A4" s="3380" t="s">
        <v>2999</v>
      </c>
      <c r="B4" s="3380" t="s">
        <v>3000</v>
      </c>
      <c r="C4" s="3380" t="s">
        <v>3001</v>
      </c>
      <c r="D4" s="3380" t="s">
        <v>3002</v>
      </c>
      <c r="E4" s="3380" t="s">
        <v>3003</v>
      </c>
      <c r="F4" s="3380" t="s">
        <v>3004</v>
      </c>
      <c r="G4" s="3377" t="s">
        <v>2886</v>
      </c>
      <c r="H4" s="3378"/>
      <c r="I4" s="3378"/>
      <c r="J4" s="3378"/>
      <c r="K4" s="3378"/>
      <c r="L4" s="3378"/>
      <c r="M4" s="3378"/>
      <c r="N4" s="3378"/>
      <c r="O4" s="3378"/>
      <c r="P4" s="3378"/>
      <c r="Q4" s="3379"/>
    </row>
    <row r="5" spans="1:17" ht="14.25" thickBot="1">
      <c r="A5" s="3382"/>
      <c r="B5" s="3382"/>
      <c r="C5" s="3382"/>
      <c r="D5" s="3382"/>
      <c r="E5" s="3382"/>
      <c r="F5" s="3382"/>
      <c r="G5" s="3380" t="s">
        <v>24</v>
      </c>
      <c r="H5" s="3377" t="s">
        <v>25</v>
      </c>
      <c r="I5" s="3378"/>
      <c r="J5" s="3378"/>
      <c r="K5" s="3378"/>
      <c r="L5" s="3378"/>
      <c r="M5" s="3378"/>
      <c r="N5" s="3379"/>
      <c r="O5" s="3377" t="s">
        <v>26</v>
      </c>
      <c r="P5" s="3378"/>
      <c r="Q5" s="3379"/>
    </row>
    <row r="6" spans="1:17" ht="21.75" thickBot="1">
      <c r="A6" s="3381"/>
      <c r="B6" s="3381"/>
      <c r="C6" s="3381"/>
      <c r="D6" s="3381"/>
      <c r="E6" s="3381"/>
      <c r="F6" s="3381"/>
      <c r="G6" s="3381"/>
      <c r="H6" s="3164" t="s">
        <v>27</v>
      </c>
      <c r="I6" s="3164" t="s">
        <v>3005</v>
      </c>
      <c r="J6" s="3164" t="s">
        <v>3006</v>
      </c>
      <c r="K6" s="3164" t="s">
        <v>3007</v>
      </c>
      <c r="L6" s="3164" t="s">
        <v>2982</v>
      </c>
      <c r="M6" s="3164" t="s">
        <v>3008</v>
      </c>
      <c r="N6" s="3164" t="s">
        <v>35</v>
      </c>
      <c r="O6" s="3164" t="s">
        <v>27</v>
      </c>
      <c r="P6" s="3164" t="s">
        <v>3009</v>
      </c>
      <c r="Q6" s="3164" t="s">
        <v>3010</v>
      </c>
    </row>
    <row r="7" spans="1:17" ht="22.5" thickBot="1">
      <c r="A7" s="3371">
        <v>1</v>
      </c>
      <c r="B7" s="3380" t="s">
        <v>3011</v>
      </c>
      <c r="C7" s="3380" t="s">
        <v>3012</v>
      </c>
      <c r="D7" s="3371" t="s">
        <v>3013</v>
      </c>
      <c r="E7" s="3165" t="s">
        <v>3014</v>
      </c>
      <c r="F7" s="3371">
        <v>9817.3700000000008</v>
      </c>
      <c r="G7" s="3165">
        <v>2093.88</v>
      </c>
      <c r="H7" s="3165">
        <v>2022.76</v>
      </c>
      <c r="I7" s="3165">
        <v>0</v>
      </c>
      <c r="J7" s="3165">
        <v>0</v>
      </c>
      <c r="K7" s="3165">
        <v>0</v>
      </c>
      <c r="L7" s="3165">
        <v>2022.76</v>
      </c>
      <c r="M7" s="3165">
        <v>0</v>
      </c>
      <c r="N7" s="3165">
        <v>0</v>
      </c>
      <c r="O7" s="3165">
        <v>71.12</v>
      </c>
      <c r="P7" s="3165">
        <v>0</v>
      </c>
      <c r="Q7" s="3165">
        <v>71.12</v>
      </c>
    </row>
    <row r="8" spans="1:17" ht="14.25" thickBot="1">
      <c r="A8" s="3372"/>
      <c r="B8" s="3382"/>
      <c r="C8" s="3382"/>
      <c r="D8" s="3372"/>
      <c r="E8" s="3165" t="s">
        <v>3015</v>
      </c>
      <c r="F8" s="3372"/>
      <c r="G8" s="3165">
        <v>1990.79</v>
      </c>
      <c r="H8" s="3165">
        <v>1950.79</v>
      </c>
      <c r="I8" s="3165">
        <v>0</v>
      </c>
      <c r="J8" s="3165">
        <v>0</v>
      </c>
      <c r="K8" s="3165">
        <v>0</v>
      </c>
      <c r="L8" s="3165">
        <v>1950.79</v>
      </c>
      <c r="M8" s="3165">
        <v>0</v>
      </c>
      <c r="N8" s="3165">
        <v>0</v>
      </c>
      <c r="O8" s="3165">
        <v>40</v>
      </c>
      <c r="P8" s="3165">
        <v>0</v>
      </c>
      <c r="Q8" s="3165">
        <v>40</v>
      </c>
    </row>
    <row r="9" spans="1:17" ht="14.25" thickBot="1">
      <c r="A9" s="3372"/>
      <c r="B9" s="3382"/>
      <c r="C9" s="3382"/>
      <c r="D9" s="3372"/>
      <c r="E9" s="3165" t="s">
        <v>3016</v>
      </c>
      <c r="F9" s="3372"/>
      <c r="G9" s="3165">
        <v>1885.51</v>
      </c>
      <c r="H9" s="3165">
        <v>1885.51</v>
      </c>
      <c r="I9" s="3165">
        <v>0</v>
      </c>
      <c r="J9" s="3165">
        <v>0</v>
      </c>
      <c r="K9" s="3165">
        <v>0</v>
      </c>
      <c r="L9" s="3165">
        <v>1885.51</v>
      </c>
      <c r="M9" s="3165">
        <v>0</v>
      </c>
      <c r="N9" s="3165">
        <v>0</v>
      </c>
      <c r="O9" s="3165">
        <v>0</v>
      </c>
      <c r="P9" s="3165">
        <v>0</v>
      </c>
      <c r="Q9" s="3165">
        <v>0</v>
      </c>
    </row>
    <row r="10" spans="1:17" ht="14.25" thickBot="1">
      <c r="A10" s="3372"/>
      <c r="B10" s="3382"/>
      <c r="C10" s="3382"/>
      <c r="D10" s="3372"/>
      <c r="E10" s="3165" t="s">
        <v>3017</v>
      </c>
      <c r="F10" s="3372"/>
      <c r="G10" s="3165">
        <v>1990.79</v>
      </c>
      <c r="H10" s="3165">
        <v>1990.79</v>
      </c>
      <c r="I10" s="3165">
        <v>0</v>
      </c>
      <c r="J10" s="3165">
        <v>0</v>
      </c>
      <c r="K10" s="3165">
        <v>0</v>
      </c>
      <c r="L10" s="3165">
        <v>1990.79</v>
      </c>
      <c r="M10" s="3165">
        <v>0</v>
      </c>
      <c r="N10" s="3165">
        <v>0</v>
      </c>
      <c r="O10" s="3165">
        <v>0</v>
      </c>
      <c r="P10" s="3165">
        <v>0</v>
      </c>
      <c r="Q10" s="3165">
        <v>0</v>
      </c>
    </row>
    <row r="11" spans="1:17" ht="14.25" thickBot="1">
      <c r="A11" s="3372"/>
      <c r="B11" s="3382"/>
      <c r="C11" s="3382"/>
      <c r="D11" s="3372"/>
      <c r="E11" s="3165" t="s">
        <v>3018</v>
      </c>
      <c r="F11" s="3372"/>
      <c r="G11" s="3165">
        <v>1890.93</v>
      </c>
      <c r="H11" s="3165">
        <v>1890.93</v>
      </c>
      <c r="I11" s="3165">
        <v>0</v>
      </c>
      <c r="J11" s="3165">
        <v>0</v>
      </c>
      <c r="K11" s="3165">
        <v>0</v>
      </c>
      <c r="L11" s="3165">
        <v>1890.93</v>
      </c>
      <c r="M11" s="3165">
        <v>0</v>
      </c>
      <c r="N11" s="3165">
        <v>0</v>
      </c>
      <c r="O11" s="3165">
        <v>0</v>
      </c>
      <c r="P11" s="3165">
        <v>0</v>
      </c>
      <c r="Q11" s="3165">
        <v>0</v>
      </c>
    </row>
    <row r="12" spans="1:17" ht="14.25" thickBot="1">
      <c r="A12" s="3372"/>
      <c r="B12" s="3382"/>
      <c r="C12" s="3382"/>
      <c r="D12" s="3372"/>
      <c r="E12" s="3164" t="s">
        <v>3019</v>
      </c>
      <c r="F12" s="3372"/>
      <c r="G12" s="3165">
        <v>3306.66</v>
      </c>
      <c r="H12" s="3165">
        <v>0</v>
      </c>
      <c r="I12" s="3165">
        <v>0</v>
      </c>
      <c r="J12" s="3165">
        <v>0</v>
      </c>
      <c r="K12" s="3165">
        <v>0</v>
      </c>
      <c r="L12" s="3165">
        <v>0</v>
      </c>
      <c r="M12" s="3165">
        <v>0</v>
      </c>
      <c r="N12" s="3165">
        <v>0</v>
      </c>
      <c r="O12" s="3165">
        <v>3306.66</v>
      </c>
      <c r="P12" s="3165">
        <v>3306.66</v>
      </c>
      <c r="Q12" s="3165">
        <v>0</v>
      </c>
    </row>
    <row r="13" spans="1:17" ht="14.25" thickBot="1">
      <c r="A13" s="3372"/>
      <c r="B13" s="3381"/>
      <c r="C13" s="3381"/>
      <c r="D13" s="3373"/>
      <c r="E13" s="3165" t="s">
        <v>3020</v>
      </c>
      <c r="F13" s="3372"/>
      <c r="G13" s="3165">
        <v>1462.77</v>
      </c>
      <c r="H13" s="3165">
        <v>861.16</v>
      </c>
      <c r="I13" s="3165">
        <v>0</v>
      </c>
      <c r="J13" s="3165">
        <v>0</v>
      </c>
      <c r="K13" s="3165">
        <v>0</v>
      </c>
      <c r="L13" s="3165">
        <v>0</v>
      </c>
      <c r="M13" s="3165">
        <v>0</v>
      </c>
      <c r="N13" s="3165">
        <v>861.16</v>
      </c>
      <c r="O13" s="3165">
        <v>601.61</v>
      </c>
      <c r="P13" s="3165">
        <v>601.61</v>
      </c>
      <c r="Q13" s="3165">
        <v>0</v>
      </c>
    </row>
    <row r="14" spans="1:17" s="3167" customFormat="1" ht="14.25" thickBot="1">
      <c r="A14" s="3373"/>
      <c r="B14" s="3374" t="s">
        <v>27</v>
      </c>
      <c r="C14" s="3375"/>
      <c r="D14" s="3375"/>
      <c r="E14" s="3376"/>
      <c r="F14" s="3373"/>
      <c r="G14" s="3166">
        <v>14621.33</v>
      </c>
      <c r="H14" s="3166">
        <v>10601.94</v>
      </c>
      <c r="I14" s="3166">
        <v>0</v>
      </c>
      <c r="J14" s="3166">
        <v>0</v>
      </c>
      <c r="K14" s="3166">
        <v>0</v>
      </c>
      <c r="L14" s="3166">
        <v>9740.7800000000007</v>
      </c>
      <c r="M14" s="3166">
        <v>0</v>
      </c>
      <c r="N14" s="3166">
        <v>861.16</v>
      </c>
      <c r="O14" s="3166">
        <v>4019.39</v>
      </c>
      <c r="P14" s="3166">
        <v>3908.27</v>
      </c>
      <c r="Q14" s="3166">
        <v>111.12</v>
      </c>
    </row>
    <row r="15" spans="1:17" ht="14.25" thickBot="1">
      <c r="A15" s="3371">
        <v>2</v>
      </c>
      <c r="B15" s="3380" t="s">
        <v>3021</v>
      </c>
      <c r="C15" s="3380" t="s">
        <v>3022</v>
      </c>
      <c r="D15" s="3371" t="s">
        <v>3013</v>
      </c>
      <c r="E15" s="3165" t="s">
        <v>3023</v>
      </c>
      <c r="F15" s="3371">
        <v>38548.01</v>
      </c>
      <c r="G15" s="3165">
        <v>1795.13</v>
      </c>
      <c r="H15" s="3165">
        <v>1786.48</v>
      </c>
      <c r="I15" s="3165">
        <v>1332.85</v>
      </c>
      <c r="J15" s="3165">
        <v>0</v>
      </c>
      <c r="K15" s="3165">
        <v>0</v>
      </c>
      <c r="L15" s="3165">
        <v>0</v>
      </c>
      <c r="M15" s="3165">
        <v>453.63</v>
      </c>
      <c r="N15" s="3165">
        <v>0</v>
      </c>
      <c r="O15" s="3165">
        <v>8.65</v>
      </c>
      <c r="P15" s="3165">
        <v>8.65</v>
      </c>
      <c r="Q15" s="3165">
        <v>0</v>
      </c>
    </row>
    <row r="16" spans="1:17" ht="14.25" thickBot="1">
      <c r="A16" s="3372"/>
      <c r="B16" s="3382"/>
      <c r="C16" s="3382"/>
      <c r="D16" s="3372"/>
      <c r="E16" s="3165" t="s">
        <v>3024</v>
      </c>
      <c r="F16" s="3372"/>
      <c r="G16" s="3165">
        <v>3580.49</v>
      </c>
      <c r="H16" s="3165">
        <v>3531.36</v>
      </c>
      <c r="I16" s="3165">
        <v>2645.37</v>
      </c>
      <c r="J16" s="3165">
        <v>0</v>
      </c>
      <c r="K16" s="3165">
        <v>0</v>
      </c>
      <c r="L16" s="3165">
        <v>0</v>
      </c>
      <c r="M16" s="3165">
        <v>885.99</v>
      </c>
      <c r="N16" s="3165">
        <v>0</v>
      </c>
      <c r="O16" s="3165">
        <v>49.13</v>
      </c>
      <c r="P16" s="3165">
        <v>49.13</v>
      </c>
      <c r="Q16" s="3165">
        <v>0</v>
      </c>
    </row>
    <row r="17" spans="1:17" ht="14.25" thickBot="1">
      <c r="A17" s="3372"/>
      <c r="B17" s="3382"/>
      <c r="C17" s="3382"/>
      <c r="D17" s="3372"/>
      <c r="E17" s="3165" t="s">
        <v>3025</v>
      </c>
      <c r="F17" s="3372"/>
      <c r="G17" s="3165">
        <v>3580.69</v>
      </c>
      <c r="H17" s="3165">
        <v>3531.56</v>
      </c>
      <c r="I17" s="3165">
        <v>2645.37</v>
      </c>
      <c r="J17" s="3165">
        <v>0</v>
      </c>
      <c r="K17" s="3165">
        <v>0</v>
      </c>
      <c r="L17" s="3165">
        <v>0</v>
      </c>
      <c r="M17" s="3165">
        <v>886.19</v>
      </c>
      <c r="N17" s="3165">
        <v>0</v>
      </c>
      <c r="O17" s="3165">
        <v>49.13</v>
      </c>
      <c r="P17" s="3165">
        <v>49.13</v>
      </c>
      <c r="Q17" s="3165">
        <v>0</v>
      </c>
    </row>
    <row r="18" spans="1:17" ht="14.25" thickBot="1">
      <c r="A18" s="3372"/>
      <c r="B18" s="3382"/>
      <c r="C18" s="3382"/>
      <c r="D18" s="3372"/>
      <c r="E18" s="3165" t="s">
        <v>3026</v>
      </c>
      <c r="F18" s="3372"/>
      <c r="G18" s="3165">
        <v>1794.86</v>
      </c>
      <c r="H18" s="3165">
        <v>1786.21</v>
      </c>
      <c r="I18" s="3165">
        <v>1332.85</v>
      </c>
      <c r="J18" s="3165">
        <v>0</v>
      </c>
      <c r="K18" s="3165">
        <v>0</v>
      </c>
      <c r="L18" s="3165">
        <v>0</v>
      </c>
      <c r="M18" s="3165">
        <v>453.36</v>
      </c>
      <c r="N18" s="3165">
        <v>0</v>
      </c>
      <c r="O18" s="3165">
        <v>8.65</v>
      </c>
      <c r="P18" s="3165">
        <v>8.65</v>
      </c>
      <c r="Q18" s="3165">
        <v>0</v>
      </c>
    </row>
    <row r="19" spans="1:17" ht="14.25" thickBot="1">
      <c r="A19" s="3372"/>
      <c r="B19" s="3382"/>
      <c r="C19" s="3382"/>
      <c r="D19" s="3372"/>
      <c r="E19" s="3165" t="s">
        <v>3027</v>
      </c>
      <c r="F19" s="3372"/>
      <c r="G19" s="3165">
        <v>1321.86</v>
      </c>
      <c r="H19" s="3165">
        <v>1321.86</v>
      </c>
      <c r="I19" s="3165">
        <v>0</v>
      </c>
      <c r="J19" s="3165">
        <v>1014.98</v>
      </c>
      <c r="K19" s="3165">
        <v>0</v>
      </c>
      <c r="L19" s="3165">
        <v>0</v>
      </c>
      <c r="M19" s="3165">
        <v>306.88</v>
      </c>
      <c r="N19" s="3165">
        <v>0</v>
      </c>
      <c r="O19" s="3165">
        <v>0</v>
      </c>
      <c r="P19" s="3165">
        <v>0</v>
      </c>
      <c r="Q19" s="3165">
        <v>0</v>
      </c>
    </row>
    <row r="20" spans="1:17" ht="14.25" thickBot="1">
      <c r="A20" s="3372"/>
      <c r="B20" s="3382"/>
      <c r="C20" s="3382"/>
      <c r="D20" s="3372"/>
      <c r="E20" s="3165" t="s">
        <v>3028</v>
      </c>
      <c r="F20" s="3372"/>
      <c r="G20" s="3165">
        <v>1974.41</v>
      </c>
      <c r="H20" s="3165">
        <v>1974.41</v>
      </c>
      <c r="I20" s="3165">
        <v>0</v>
      </c>
      <c r="J20" s="3165">
        <v>1515.04</v>
      </c>
      <c r="K20" s="3165">
        <v>0</v>
      </c>
      <c r="L20" s="3165">
        <v>0</v>
      </c>
      <c r="M20" s="3165">
        <v>459.37</v>
      </c>
      <c r="N20" s="3165">
        <v>0</v>
      </c>
      <c r="O20" s="3165">
        <v>0</v>
      </c>
      <c r="P20" s="3165">
        <v>0</v>
      </c>
      <c r="Q20" s="3165">
        <v>0</v>
      </c>
    </row>
    <row r="21" spans="1:17" ht="14.25" thickBot="1">
      <c r="A21" s="3372"/>
      <c r="B21" s="3382"/>
      <c r="C21" s="3382"/>
      <c r="D21" s="3372"/>
      <c r="E21" s="3165" t="s">
        <v>3029</v>
      </c>
      <c r="F21" s="3372"/>
      <c r="G21" s="3165">
        <v>1974.41</v>
      </c>
      <c r="H21" s="3165">
        <v>1974.41</v>
      </c>
      <c r="I21" s="3165">
        <v>0</v>
      </c>
      <c r="J21" s="3165">
        <v>1515.04</v>
      </c>
      <c r="K21" s="3165">
        <v>0</v>
      </c>
      <c r="L21" s="3165">
        <v>0</v>
      </c>
      <c r="M21" s="3165">
        <v>459.37</v>
      </c>
      <c r="N21" s="3165">
        <v>0</v>
      </c>
      <c r="O21" s="3165">
        <v>0</v>
      </c>
      <c r="P21" s="3165">
        <v>0</v>
      </c>
      <c r="Q21" s="3165">
        <v>0</v>
      </c>
    </row>
    <row r="22" spans="1:17" ht="14.25" thickBot="1">
      <c r="A22" s="3372"/>
      <c r="B22" s="3382"/>
      <c r="C22" s="3382"/>
      <c r="D22" s="3372"/>
      <c r="E22" s="3165" t="s">
        <v>3030</v>
      </c>
      <c r="F22" s="3372"/>
      <c r="G22" s="3165">
        <v>1321.86</v>
      </c>
      <c r="H22" s="3165">
        <v>1321.86</v>
      </c>
      <c r="I22" s="3165">
        <v>0</v>
      </c>
      <c r="J22" s="3165">
        <v>1014.98</v>
      </c>
      <c r="K22" s="3165">
        <v>0</v>
      </c>
      <c r="L22" s="3165">
        <v>0</v>
      </c>
      <c r="M22" s="3165">
        <v>306.88</v>
      </c>
      <c r="N22" s="3165">
        <v>0</v>
      </c>
      <c r="O22" s="3165">
        <v>0</v>
      </c>
      <c r="P22" s="3165">
        <v>0</v>
      </c>
      <c r="Q22" s="3165">
        <v>0</v>
      </c>
    </row>
    <row r="23" spans="1:17" ht="14.25" thickBot="1">
      <c r="A23" s="3372"/>
      <c r="B23" s="3382"/>
      <c r="C23" s="3382"/>
      <c r="D23" s="3372"/>
      <c r="E23" s="3165" t="s">
        <v>3031</v>
      </c>
      <c r="F23" s="3372"/>
      <c r="G23" s="3165">
        <v>1396.75</v>
      </c>
      <c r="H23" s="3165">
        <v>1390.07</v>
      </c>
      <c r="I23" s="3165">
        <v>1036.26</v>
      </c>
      <c r="J23" s="3165">
        <v>0</v>
      </c>
      <c r="K23" s="3165">
        <v>0</v>
      </c>
      <c r="L23" s="3165">
        <v>0</v>
      </c>
      <c r="M23" s="3165">
        <v>353.81</v>
      </c>
      <c r="N23" s="3165">
        <v>0</v>
      </c>
      <c r="O23" s="3165">
        <v>6.68</v>
      </c>
      <c r="P23" s="3165">
        <v>6.68</v>
      </c>
      <c r="Q23" s="3165">
        <v>0</v>
      </c>
    </row>
    <row r="24" spans="1:17" ht="14.25" thickBot="1">
      <c r="A24" s="3372"/>
      <c r="B24" s="3382"/>
      <c r="C24" s="3382"/>
      <c r="D24" s="3372"/>
      <c r="E24" s="3165" t="s">
        <v>3032</v>
      </c>
      <c r="F24" s="3372"/>
      <c r="G24" s="3165">
        <v>1321.86</v>
      </c>
      <c r="H24" s="3165">
        <v>1321.86</v>
      </c>
      <c r="I24" s="3165">
        <v>0</v>
      </c>
      <c r="J24" s="3165">
        <v>1014.98</v>
      </c>
      <c r="K24" s="3165">
        <v>0</v>
      </c>
      <c r="L24" s="3165">
        <v>0</v>
      </c>
      <c r="M24" s="3165">
        <v>306.88</v>
      </c>
      <c r="N24" s="3165">
        <v>0</v>
      </c>
      <c r="O24" s="3165">
        <v>0</v>
      </c>
      <c r="P24" s="3165">
        <v>0</v>
      </c>
      <c r="Q24" s="3165">
        <v>0</v>
      </c>
    </row>
    <row r="25" spans="1:17" ht="14.25" thickBot="1">
      <c r="A25" s="3372"/>
      <c r="B25" s="3382"/>
      <c r="C25" s="3382"/>
      <c r="D25" s="3372"/>
      <c r="E25" s="3165" t="s">
        <v>3033</v>
      </c>
      <c r="F25" s="3372"/>
      <c r="G25" s="3165">
        <v>1974.41</v>
      </c>
      <c r="H25" s="3165">
        <v>1974.41</v>
      </c>
      <c r="I25" s="3165">
        <v>0</v>
      </c>
      <c r="J25" s="3165">
        <v>1515.04</v>
      </c>
      <c r="K25" s="3165">
        <v>0</v>
      </c>
      <c r="L25" s="3165">
        <v>0</v>
      </c>
      <c r="M25" s="3165">
        <v>459.37</v>
      </c>
      <c r="N25" s="3165">
        <v>0</v>
      </c>
      <c r="O25" s="3165">
        <v>0</v>
      </c>
      <c r="P25" s="3165">
        <v>0</v>
      </c>
      <c r="Q25" s="3165">
        <v>0</v>
      </c>
    </row>
    <row r="26" spans="1:17" ht="14.25" thickBot="1">
      <c r="A26" s="3372"/>
      <c r="B26" s="3382"/>
      <c r="C26" s="3382"/>
      <c r="D26" s="3372"/>
      <c r="E26" s="3165" t="s">
        <v>3034</v>
      </c>
      <c r="F26" s="3372"/>
      <c r="G26" s="3165">
        <v>1988.88</v>
      </c>
      <c r="H26" s="3165">
        <v>1988.88</v>
      </c>
      <c r="I26" s="3165">
        <v>0</v>
      </c>
      <c r="J26" s="3165">
        <v>0</v>
      </c>
      <c r="K26" s="3165">
        <v>1016.39</v>
      </c>
      <c r="L26" s="3165">
        <v>0</v>
      </c>
      <c r="M26" s="3165">
        <v>972.49</v>
      </c>
      <c r="N26" s="3165">
        <v>0</v>
      </c>
      <c r="O26" s="3165">
        <v>0</v>
      </c>
      <c r="P26" s="3165">
        <v>0</v>
      </c>
      <c r="Q26" s="3165">
        <v>0</v>
      </c>
    </row>
    <row r="27" spans="1:17" ht="14.25" thickBot="1">
      <c r="A27" s="3372"/>
      <c r="B27" s="3382"/>
      <c r="C27" s="3382"/>
      <c r="D27" s="3372"/>
      <c r="E27" s="3165" t="s">
        <v>3035</v>
      </c>
      <c r="F27" s="3372"/>
      <c r="G27" s="3165">
        <v>1974.41</v>
      </c>
      <c r="H27" s="3165">
        <v>1974.41</v>
      </c>
      <c r="I27" s="3165">
        <v>0</v>
      </c>
      <c r="J27" s="3165">
        <v>1515.04</v>
      </c>
      <c r="K27" s="3165">
        <v>0</v>
      </c>
      <c r="L27" s="3165">
        <v>0</v>
      </c>
      <c r="M27" s="3165">
        <v>459.37</v>
      </c>
      <c r="N27" s="3165">
        <v>0</v>
      </c>
      <c r="O27" s="3165">
        <v>0</v>
      </c>
      <c r="P27" s="3165">
        <v>0</v>
      </c>
      <c r="Q27" s="3165">
        <v>0</v>
      </c>
    </row>
    <row r="28" spans="1:17" ht="14.25" thickBot="1">
      <c r="A28" s="3372"/>
      <c r="B28" s="3382"/>
      <c r="C28" s="3382"/>
      <c r="D28" s="3372"/>
      <c r="E28" s="3165" t="s">
        <v>3036</v>
      </c>
      <c r="F28" s="3372"/>
      <c r="G28" s="3165">
        <v>1321.86</v>
      </c>
      <c r="H28" s="3165">
        <v>1321.86</v>
      </c>
      <c r="I28" s="3165">
        <v>0</v>
      </c>
      <c r="J28" s="3165">
        <v>1014.98</v>
      </c>
      <c r="K28" s="3165">
        <v>0</v>
      </c>
      <c r="L28" s="3165">
        <v>0</v>
      </c>
      <c r="M28" s="3165">
        <v>306.88</v>
      </c>
      <c r="N28" s="3165">
        <v>0</v>
      </c>
      <c r="O28" s="3165">
        <v>0</v>
      </c>
      <c r="P28" s="3165">
        <v>0</v>
      </c>
      <c r="Q28" s="3165">
        <v>0</v>
      </c>
    </row>
    <row r="29" spans="1:17" ht="14.25" thickBot="1">
      <c r="A29" s="3372"/>
      <c r="B29" s="3382"/>
      <c r="C29" s="3382"/>
      <c r="D29" s="3372"/>
      <c r="E29" s="3165" t="s">
        <v>3037</v>
      </c>
      <c r="F29" s="3372"/>
      <c r="G29" s="3165">
        <v>1321.86</v>
      </c>
      <c r="H29" s="3165">
        <v>1321.86</v>
      </c>
      <c r="I29" s="3165">
        <v>0</v>
      </c>
      <c r="J29" s="3165">
        <v>1014.98</v>
      </c>
      <c r="K29" s="3165">
        <v>0</v>
      </c>
      <c r="L29" s="3165">
        <v>0</v>
      </c>
      <c r="M29" s="3165">
        <v>306.88</v>
      </c>
      <c r="N29" s="3165">
        <v>0</v>
      </c>
      <c r="O29" s="3165">
        <v>0</v>
      </c>
      <c r="P29" s="3165">
        <v>0</v>
      </c>
      <c r="Q29" s="3165">
        <v>0</v>
      </c>
    </row>
    <row r="30" spans="1:17" ht="14.25" thickBot="1">
      <c r="A30" s="3372"/>
      <c r="B30" s="3382"/>
      <c r="C30" s="3382"/>
      <c r="D30" s="3372"/>
      <c r="E30" s="3165" t="s">
        <v>3038</v>
      </c>
      <c r="F30" s="3372"/>
      <c r="G30" s="3165">
        <v>1974.41</v>
      </c>
      <c r="H30" s="3165">
        <v>1974.41</v>
      </c>
      <c r="I30" s="3165">
        <v>0</v>
      </c>
      <c r="J30" s="3165">
        <v>1515.04</v>
      </c>
      <c r="K30" s="3165">
        <v>0</v>
      </c>
      <c r="L30" s="3165">
        <v>0</v>
      </c>
      <c r="M30" s="3165">
        <v>459.37</v>
      </c>
      <c r="N30" s="3165">
        <v>0</v>
      </c>
      <c r="O30" s="3165">
        <v>0</v>
      </c>
      <c r="P30" s="3165">
        <v>0</v>
      </c>
      <c r="Q30" s="3165">
        <v>0</v>
      </c>
    </row>
    <row r="31" spans="1:17" ht="14.25" thickBot="1">
      <c r="A31" s="3372"/>
      <c r="B31" s="3382"/>
      <c r="C31" s="3382"/>
      <c r="D31" s="3372"/>
      <c r="E31" s="3165" t="s">
        <v>3039</v>
      </c>
      <c r="F31" s="3372"/>
      <c r="G31" s="3165">
        <v>1974.41</v>
      </c>
      <c r="H31" s="3165">
        <v>1974.41</v>
      </c>
      <c r="I31" s="3165">
        <v>0</v>
      </c>
      <c r="J31" s="3165">
        <v>1515.04</v>
      </c>
      <c r="K31" s="3165">
        <v>0</v>
      </c>
      <c r="L31" s="3165">
        <v>0</v>
      </c>
      <c r="M31" s="3165">
        <v>459.37</v>
      </c>
      <c r="N31" s="3165">
        <v>0</v>
      </c>
      <c r="O31" s="3165">
        <v>0</v>
      </c>
      <c r="P31" s="3165">
        <v>0</v>
      </c>
      <c r="Q31" s="3165">
        <v>0</v>
      </c>
    </row>
    <row r="32" spans="1:17" ht="14.25" thickBot="1">
      <c r="A32" s="3372"/>
      <c r="B32" s="3382"/>
      <c r="C32" s="3382"/>
      <c r="D32" s="3372"/>
      <c r="E32" s="3165" t="s">
        <v>3040</v>
      </c>
      <c r="F32" s="3372"/>
      <c r="G32" s="3165">
        <v>1321.86</v>
      </c>
      <c r="H32" s="3165">
        <v>1321.86</v>
      </c>
      <c r="I32" s="3165">
        <v>0</v>
      </c>
      <c r="J32" s="3165">
        <v>1014.98</v>
      </c>
      <c r="K32" s="3165">
        <v>0</v>
      </c>
      <c r="L32" s="3165">
        <v>0</v>
      </c>
      <c r="M32" s="3165">
        <v>306.88</v>
      </c>
      <c r="N32" s="3165">
        <v>0</v>
      </c>
      <c r="O32" s="3165">
        <v>0</v>
      </c>
      <c r="P32" s="3165">
        <v>0</v>
      </c>
      <c r="Q32" s="3165">
        <v>0</v>
      </c>
    </row>
    <row r="33" spans="1:17" ht="14.25" thickBot="1">
      <c r="A33" s="3372"/>
      <c r="B33" s="3382"/>
      <c r="C33" s="3382"/>
      <c r="D33" s="3372"/>
      <c r="E33" s="3165" t="s">
        <v>3041</v>
      </c>
      <c r="F33" s="3372"/>
      <c r="G33" s="3165">
        <v>669.33</v>
      </c>
      <c r="H33" s="3165">
        <v>669.33</v>
      </c>
      <c r="I33" s="3165">
        <v>0</v>
      </c>
      <c r="J33" s="3165">
        <v>514.94000000000005</v>
      </c>
      <c r="K33" s="3165">
        <v>0</v>
      </c>
      <c r="L33" s="3165">
        <v>0</v>
      </c>
      <c r="M33" s="3165">
        <v>154.38999999999999</v>
      </c>
      <c r="N33" s="3165">
        <v>0</v>
      </c>
      <c r="O33" s="3165">
        <v>0</v>
      </c>
      <c r="P33" s="3165">
        <v>0</v>
      </c>
      <c r="Q33" s="3165">
        <v>0</v>
      </c>
    </row>
    <row r="34" spans="1:17" ht="14.25" thickBot="1">
      <c r="A34" s="3372"/>
      <c r="B34" s="3382"/>
      <c r="C34" s="3382"/>
      <c r="D34" s="3372"/>
      <c r="E34" s="3165" t="s">
        <v>3042</v>
      </c>
      <c r="F34" s="3372"/>
      <c r="G34" s="3165">
        <v>1974.41</v>
      </c>
      <c r="H34" s="3165">
        <v>1974.41</v>
      </c>
      <c r="I34" s="3165">
        <v>0</v>
      </c>
      <c r="J34" s="3165">
        <v>1515.04</v>
      </c>
      <c r="K34" s="3165">
        <v>0</v>
      </c>
      <c r="L34" s="3165">
        <v>0</v>
      </c>
      <c r="M34" s="3165">
        <v>459.37</v>
      </c>
      <c r="N34" s="3165">
        <v>0</v>
      </c>
      <c r="O34" s="3165">
        <v>0</v>
      </c>
      <c r="P34" s="3165">
        <v>0</v>
      </c>
      <c r="Q34" s="3165">
        <v>0</v>
      </c>
    </row>
    <row r="35" spans="1:17" ht="14.25" thickBot="1">
      <c r="A35" s="3372"/>
      <c r="B35" s="3382"/>
      <c r="C35" s="3382"/>
      <c r="D35" s="3372"/>
      <c r="E35" s="3165" t="s">
        <v>3043</v>
      </c>
      <c r="F35" s="3372"/>
      <c r="G35" s="3165">
        <v>1321.86</v>
      </c>
      <c r="H35" s="3165">
        <v>1321.86</v>
      </c>
      <c r="I35" s="3165">
        <v>0</v>
      </c>
      <c r="J35" s="3165">
        <v>1014.98</v>
      </c>
      <c r="K35" s="3165">
        <v>0</v>
      </c>
      <c r="L35" s="3165">
        <v>0</v>
      </c>
      <c r="M35" s="3165">
        <v>306.88</v>
      </c>
      <c r="N35" s="3165">
        <v>0</v>
      </c>
      <c r="O35" s="3165">
        <v>0</v>
      </c>
      <c r="P35" s="3165">
        <v>0</v>
      </c>
      <c r="Q35" s="3165">
        <v>0</v>
      </c>
    </row>
    <row r="36" spans="1:17" ht="14.25" thickBot="1">
      <c r="A36" s="3372"/>
      <c r="B36" s="3382"/>
      <c r="C36" s="3382"/>
      <c r="D36" s="3372"/>
      <c r="E36" s="3165" t="s">
        <v>3044</v>
      </c>
      <c r="F36" s="3372"/>
      <c r="G36" s="3165">
        <v>1988.88</v>
      </c>
      <c r="H36" s="3165">
        <v>1988.88</v>
      </c>
      <c r="I36" s="3165">
        <v>0</v>
      </c>
      <c r="J36" s="3165">
        <v>0</v>
      </c>
      <c r="K36" s="3165">
        <v>1016.39</v>
      </c>
      <c r="L36" s="3165">
        <v>0</v>
      </c>
      <c r="M36" s="3165">
        <v>972.49</v>
      </c>
      <c r="N36" s="3165">
        <v>0</v>
      </c>
      <c r="O36" s="3165">
        <v>0</v>
      </c>
      <c r="P36" s="3165">
        <v>0</v>
      </c>
      <c r="Q36" s="3165">
        <v>0</v>
      </c>
    </row>
    <row r="37" spans="1:17" ht="14.25" thickBot="1">
      <c r="A37" s="3372"/>
      <c r="B37" s="3382"/>
      <c r="C37" s="3382"/>
      <c r="D37" s="3372"/>
      <c r="E37" s="3165" t="s">
        <v>3045</v>
      </c>
      <c r="F37" s="3372"/>
      <c r="G37" s="3165">
        <v>1321.86</v>
      </c>
      <c r="H37" s="3165">
        <v>1321.86</v>
      </c>
      <c r="I37" s="3165">
        <v>0</v>
      </c>
      <c r="J37" s="3165">
        <v>1014.98</v>
      </c>
      <c r="K37" s="3165">
        <v>0</v>
      </c>
      <c r="L37" s="3165">
        <v>0</v>
      </c>
      <c r="M37" s="3165">
        <v>306.88</v>
      </c>
      <c r="N37" s="3165">
        <v>0</v>
      </c>
      <c r="O37" s="3165">
        <v>0</v>
      </c>
      <c r="P37" s="3165">
        <v>0</v>
      </c>
      <c r="Q37" s="3165">
        <v>0</v>
      </c>
    </row>
    <row r="38" spans="1:17" ht="14.25" thickBot="1">
      <c r="A38" s="3372"/>
      <c r="B38" s="3382"/>
      <c r="C38" s="3382"/>
      <c r="D38" s="3372"/>
      <c r="E38" s="3165" t="s">
        <v>3046</v>
      </c>
      <c r="F38" s="3372"/>
      <c r="G38" s="3165">
        <v>1974.41</v>
      </c>
      <c r="H38" s="3165">
        <v>1974.41</v>
      </c>
      <c r="I38" s="3165">
        <v>0</v>
      </c>
      <c r="J38" s="3165">
        <v>1515.04</v>
      </c>
      <c r="K38" s="3165">
        <v>0</v>
      </c>
      <c r="L38" s="3165">
        <v>0</v>
      </c>
      <c r="M38" s="3165">
        <v>459.37</v>
      </c>
      <c r="N38" s="3165">
        <v>0</v>
      </c>
      <c r="O38" s="3165">
        <v>0</v>
      </c>
      <c r="P38" s="3165">
        <v>0</v>
      </c>
      <c r="Q38" s="3165">
        <v>0</v>
      </c>
    </row>
    <row r="39" spans="1:17" ht="14.25" thickBot="1">
      <c r="A39" s="3372"/>
      <c r="B39" s="3382"/>
      <c r="C39" s="3382"/>
      <c r="D39" s="3372"/>
      <c r="E39" s="3165" t="s">
        <v>3047</v>
      </c>
      <c r="F39" s="3372"/>
      <c r="G39" s="3165">
        <v>1974.41</v>
      </c>
      <c r="H39" s="3165">
        <v>1974.41</v>
      </c>
      <c r="I39" s="3165">
        <v>0</v>
      </c>
      <c r="J39" s="3165">
        <v>1515.04</v>
      </c>
      <c r="K39" s="3165">
        <v>0</v>
      </c>
      <c r="L39" s="3165">
        <v>0</v>
      </c>
      <c r="M39" s="3165">
        <v>459.37</v>
      </c>
      <c r="N39" s="3165">
        <v>0</v>
      </c>
      <c r="O39" s="3165">
        <v>0</v>
      </c>
      <c r="P39" s="3165">
        <v>0</v>
      </c>
      <c r="Q39" s="3165">
        <v>0</v>
      </c>
    </row>
    <row r="40" spans="1:17" ht="14.25" thickBot="1">
      <c r="A40" s="3372"/>
      <c r="B40" s="3382"/>
      <c r="C40" s="3382"/>
      <c r="D40" s="3372"/>
      <c r="E40" s="3165" t="s">
        <v>3048</v>
      </c>
      <c r="F40" s="3372"/>
      <c r="G40" s="3165">
        <v>1321.86</v>
      </c>
      <c r="H40" s="3165">
        <v>1321.86</v>
      </c>
      <c r="I40" s="3165">
        <v>0</v>
      </c>
      <c r="J40" s="3165">
        <v>1014.98</v>
      </c>
      <c r="K40" s="3165">
        <v>0</v>
      </c>
      <c r="L40" s="3165">
        <v>0</v>
      </c>
      <c r="M40" s="3165">
        <v>306.88</v>
      </c>
      <c r="N40" s="3165">
        <v>0</v>
      </c>
      <c r="O40" s="3165">
        <v>0</v>
      </c>
      <c r="P40" s="3165">
        <v>0</v>
      </c>
      <c r="Q40" s="3165">
        <v>0</v>
      </c>
    </row>
    <row r="41" spans="1:17" ht="14.25" thickBot="1">
      <c r="A41" s="3372"/>
      <c r="B41" s="3382"/>
      <c r="C41" s="3382"/>
      <c r="D41" s="3372"/>
      <c r="E41" s="3165" t="s">
        <v>3049</v>
      </c>
      <c r="F41" s="3372"/>
      <c r="G41" s="3165">
        <v>1321.86</v>
      </c>
      <c r="H41" s="3165">
        <v>1321.86</v>
      </c>
      <c r="I41" s="3165">
        <v>0</v>
      </c>
      <c r="J41" s="3165">
        <v>1014.98</v>
      </c>
      <c r="K41" s="3165">
        <v>0</v>
      </c>
      <c r="L41" s="3165">
        <v>0</v>
      </c>
      <c r="M41" s="3165">
        <v>306.88</v>
      </c>
      <c r="N41" s="3165">
        <v>0</v>
      </c>
      <c r="O41" s="3165">
        <v>0</v>
      </c>
      <c r="P41" s="3165">
        <v>0</v>
      </c>
      <c r="Q41" s="3165">
        <v>0</v>
      </c>
    </row>
    <row r="42" spans="1:17" ht="14.25" thickBot="1">
      <c r="A42" s="3372"/>
      <c r="B42" s="3382"/>
      <c r="C42" s="3382"/>
      <c r="D42" s="3372"/>
      <c r="E42" s="3165" t="s">
        <v>3050</v>
      </c>
      <c r="F42" s="3372"/>
      <c r="G42" s="3165">
        <v>1974.41</v>
      </c>
      <c r="H42" s="3165">
        <v>1974.41</v>
      </c>
      <c r="I42" s="3165">
        <v>0</v>
      </c>
      <c r="J42" s="3165">
        <v>1515.04</v>
      </c>
      <c r="K42" s="3165">
        <v>0</v>
      </c>
      <c r="L42" s="3165">
        <v>0</v>
      </c>
      <c r="M42" s="3165">
        <v>459.37</v>
      </c>
      <c r="N42" s="3165">
        <v>0</v>
      </c>
      <c r="O42" s="3165">
        <v>0</v>
      </c>
      <c r="P42" s="3165">
        <v>0</v>
      </c>
      <c r="Q42" s="3165">
        <v>0</v>
      </c>
    </row>
    <row r="43" spans="1:17" ht="14.25" thickBot="1">
      <c r="A43" s="3372"/>
      <c r="B43" s="3382"/>
      <c r="C43" s="3382"/>
      <c r="D43" s="3372"/>
      <c r="E43" s="3165" t="s">
        <v>3051</v>
      </c>
      <c r="F43" s="3372"/>
      <c r="G43" s="3165">
        <v>669.33</v>
      </c>
      <c r="H43" s="3165">
        <v>669.33</v>
      </c>
      <c r="I43" s="3165">
        <v>0</v>
      </c>
      <c r="J43" s="3165">
        <v>514.94000000000005</v>
      </c>
      <c r="K43" s="3165">
        <v>0</v>
      </c>
      <c r="L43" s="3165">
        <v>0</v>
      </c>
      <c r="M43" s="3165">
        <v>154.38999999999999</v>
      </c>
      <c r="N43" s="3165">
        <v>0</v>
      </c>
      <c r="O43" s="3165">
        <v>0</v>
      </c>
      <c r="P43" s="3165">
        <v>0</v>
      </c>
      <c r="Q43" s="3165">
        <v>0</v>
      </c>
    </row>
    <row r="44" spans="1:17" ht="22.5" thickBot="1">
      <c r="A44" s="3372"/>
      <c r="B44" s="3382"/>
      <c r="C44" s="3382"/>
      <c r="D44" s="3372"/>
      <c r="E44" s="3165" t="s">
        <v>3052</v>
      </c>
      <c r="F44" s="3372"/>
      <c r="G44" s="3165">
        <v>453.6</v>
      </c>
      <c r="H44" s="3165">
        <v>0</v>
      </c>
      <c r="I44" s="3165">
        <v>0</v>
      </c>
      <c r="J44" s="3165">
        <v>0</v>
      </c>
      <c r="K44" s="3165">
        <v>0</v>
      </c>
      <c r="L44" s="3165">
        <v>0</v>
      </c>
      <c r="M44" s="3165">
        <v>0</v>
      </c>
      <c r="N44" s="3165">
        <v>0</v>
      </c>
      <c r="O44" s="3165">
        <v>453.6</v>
      </c>
      <c r="P44" s="3165">
        <v>453.6</v>
      </c>
      <c r="Q44" s="3165">
        <v>0</v>
      </c>
    </row>
    <row r="45" spans="1:17" ht="22.5" thickBot="1">
      <c r="A45" s="3372"/>
      <c r="B45" s="3382"/>
      <c r="C45" s="3382"/>
      <c r="D45" s="3372"/>
      <c r="E45" s="3165" t="s">
        <v>3053</v>
      </c>
      <c r="F45" s="3372"/>
      <c r="G45" s="3165">
        <v>284.82</v>
      </c>
      <c r="H45" s="3165">
        <v>0</v>
      </c>
      <c r="I45" s="3165">
        <v>0</v>
      </c>
      <c r="J45" s="3165">
        <v>0</v>
      </c>
      <c r="K45" s="3165">
        <v>0</v>
      </c>
      <c r="L45" s="3165">
        <v>0</v>
      </c>
      <c r="M45" s="3165">
        <v>0</v>
      </c>
      <c r="N45" s="3165">
        <v>0</v>
      </c>
      <c r="O45" s="3165">
        <v>284.82</v>
      </c>
      <c r="P45" s="3165">
        <v>92.82</v>
      </c>
      <c r="Q45" s="3165">
        <v>192</v>
      </c>
    </row>
    <row r="46" spans="1:17" ht="14.25" thickBot="1">
      <c r="A46" s="3372"/>
      <c r="B46" s="3381"/>
      <c r="C46" s="3381"/>
      <c r="D46" s="3373"/>
      <c r="E46" s="3165" t="s">
        <v>3054</v>
      </c>
      <c r="F46" s="3372"/>
      <c r="G46" s="3165">
        <v>18460.71</v>
      </c>
      <c r="H46" s="3165">
        <v>17337.650000000001</v>
      </c>
      <c r="I46" s="3165">
        <v>0</v>
      </c>
      <c r="J46" s="3165">
        <v>0</v>
      </c>
      <c r="K46" s="3165">
        <v>0</v>
      </c>
      <c r="L46" s="3165">
        <v>0</v>
      </c>
      <c r="M46" s="3165">
        <v>0</v>
      </c>
      <c r="N46" s="3165">
        <v>17337.650000000001</v>
      </c>
      <c r="O46" s="3165">
        <v>1123.06</v>
      </c>
      <c r="P46" s="3165">
        <v>1084.82</v>
      </c>
      <c r="Q46" s="3165">
        <v>38.24</v>
      </c>
    </row>
    <row r="47" spans="1:17" s="3167" customFormat="1" ht="14.25" thickBot="1">
      <c r="A47" s="3373"/>
      <c r="B47" s="3374" t="s">
        <v>27</v>
      </c>
      <c r="C47" s="3375"/>
      <c r="D47" s="3375"/>
      <c r="E47" s="3376"/>
      <c r="F47" s="3373"/>
      <c r="G47" s="3166">
        <v>69626.17</v>
      </c>
      <c r="H47" s="3166">
        <v>67642.45</v>
      </c>
      <c r="I47" s="3166">
        <v>8992.7000000000007</v>
      </c>
      <c r="J47" s="3166">
        <v>26330.080000000002</v>
      </c>
      <c r="K47" s="3166">
        <v>2032.78</v>
      </c>
      <c r="L47" s="3166">
        <v>0</v>
      </c>
      <c r="M47" s="3166">
        <v>12949.24</v>
      </c>
      <c r="N47" s="3166">
        <v>17337.650000000001</v>
      </c>
      <c r="O47" s="3166">
        <v>1983.72</v>
      </c>
      <c r="P47" s="3166">
        <v>1753.48</v>
      </c>
      <c r="Q47" s="3166">
        <v>230.24</v>
      </c>
    </row>
    <row r="48" spans="1:17" ht="14.25" thickBot="1">
      <c r="A48" s="3371">
        <v>3</v>
      </c>
      <c r="B48" s="3380" t="s">
        <v>3055</v>
      </c>
      <c r="C48" s="3380" t="s">
        <v>3056</v>
      </c>
      <c r="D48" s="3371" t="s">
        <v>3057</v>
      </c>
      <c r="E48" s="3165" t="s">
        <v>3058</v>
      </c>
      <c r="F48" s="3371">
        <v>46704.13</v>
      </c>
      <c r="G48" s="3165">
        <v>1804.85</v>
      </c>
      <c r="H48" s="3165">
        <v>1796.2</v>
      </c>
      <c r="I48" s="3165">
        <v>1339.46</v>
      </c>
      <c r="J48" s="3165">
        <v>0</v>
      </c>
      <c r="K48" s="3165">
        <v>0</v>
      </c>
      <c r="L48" s="3165">
        <v>0</v>
      </c>
      <c r="M48" s="3165">
        <v>456.74</v>
      </c>
      <c r="N48" s="3165">
        <v>0</v>
      </c>
      <c r="O48" s="3165">
        <v>8.65</v>
      </c>
      <c r="P48" s="3165">
        <v>8.65</v>
      </c>
      <c r="Q48" s="3165">
        <v>0</v>
      </c>
    </row>
    <row r="49" spans="1:17" ht="14.25" thickBot="1">
      <c r="A49" s="3372"/>
      <c r="B49" s="3382"/>
      <c r="C49" s="3382"/>
      <c r="D49" s="3372"/>
      <c r="E49" s="3165" t="s">
        <v>3059</v>
      </c>
      <c r="F49" s="3372"/>
      <c r="G49" s="3165">
        <v>3681.45</v>
      </c>
      <c r="H49" s="3165">
        <v>3551.46</v>
      </c>
      <c r="I49" s="3165">
        <v>2659.22</v>
      </c>
      <c r="J49" s="3165">
        <v>0</v>
      </c>
      <c r="K49" s="3165">
        <v>0</v>
      </c>
      <c r="L49" s="3165">
        <v>0</v>
      </c>
      <c r="M49" s="3165">
        <v>892.24</v>
      </c>
      <c r="N49" s="3165">
        <v>0</v>
      </c>
      <c r="O49" s="3165">
        <v>129.99</v>
      </c>
      <c r="P49" s="3165">
        <v>40.090000000000003</v>
      </c>
      <c r="Q49" s="3165">
        <v>80.900000000000006</v>
      </c>
    </row>
    <row r="50" spans="1:17" ht="14.25" thickBot="1">
      <c r="A50" s="3372"/>
      <c r="B50" s="3382"/>
      <c r="C50" s="3382"/>
      <c r="D50" s="3372"/>
      <c r="E50" s="3165" t="s">
        <v>3060</v>
      </c>
      <c r="F50" s="3372"/>
      <c r="G50" s="3165">
        <v>3600.46</v>
      </c>
      <c r="H50" s="3165">
        <v>3551.37</v>
      </c>
      <c r="I50" s="3165">
        <v>2659.22</v>
      </c>
      <c r="J50" s="3165">
        <v>0</v>
      </c>
      <c r="K50" s="3165">
        <v>0</v>
      </c>
      <c r="L50" s="3165">
        <v>0</v>
      </c>
      <c r="M50" s="3165">
        <v>892.15</v>
      </c>
      <c r="N50" s="3165">
        <v>0</v>
      </c>
      <c r="O50" s="3165">
        <v>49.09</v>
      </c>
      <c r="P50" s="3165">
        <v>49.09</v>
      </c>
      <c r="Q50" s="3165">
        <v>0</v>
      </c>
    </row>
    <row r="51" spans="1:17" ht="14.25" thickBot="1">
      <c r="A51" s="3372"/>
      <c r="B51" s="3382"/>
      <c r="C51" s="3382"/>
      <c r="D51" s="3372"/>
      <c r="E51" s="3165" t="s">
        <v>3061</v>
      </c>
      <c r="F51" s="3372"/>
      <c r="G51" s="3165">
        <v>1805.83</v>
      </c>
      <c r="H51" s="3165">
        <v>1797.18</v>
      </c>
      <c r="I51" s="3165">
        <v>1339.46</v>
      </c>
      <c r="J51" s="3165">
        <v>0</v>
      </c>
      <c r="K51" s="3165">
        <v>0</v>
      </c>
      <c r="L51" s="3165">
        <v>0</v>
      </c>
      <c r="M51" s="3165">
        <v>457.72</v>
      </c>
      <c r="N51" s="3165">
        <v>0</v>
      </c>
      <c r="O51" s="3165">
        <v>8.65</v>
      </c>
      <c r="P51" s="3165">
        <v>8.65</v>
      </c>
      <c r="Q51" s="3165">
        <v>0</v>
      </c>
    </row>
    <row r="52" spans="1:17" ht="14.25" thickBot="1">
      <c r="A52" s="3372"/>
      <c r="B52" s="3382"/>
      <c r="C52" s="3382"/>
      <c r="D52" s="3372"/>
      <c r="E52" s="3165" t="s">
        <v>3062</v>
      </c>
      <c r="F52" s="3372"/>
      <c r="G52" s="3165">
        <v>1396.41</v>
      </c>
      <c r="H52" s="3165">
        <v>1389.73</v>
      </c>
      <c r="I52" s="3165">
        <v>1036.26</v>
      </c>
      <c r="J52" s="3165">
        <v>0</v>
      </c>
      <c r="K52" s="3165">
        <v>0</v>
      </c>
      <c r="L52" s="3165">
        <v>0</v>
      </c>
      <c r="M52" s="3165">
        <v>353.47</v>
      </c>
      <c r="N52" s="3165">
        <v>0</v>
      </c>
      <c r="O52" s="3165">
        <v>6.68</v>
      </c>
      <c r="P52" s="3165">
        <v>6.68</v>
      </c>
      <c r="Q52" s="3165">
        <v>0</v>
      </c>
    </row>
    <row r="53" spans="1:17" ht="14.25" thickBot="1">
      <c r="A53" s="3372"/>
      <c r="B53" s="3382"/>
      <c r="C53" s="3382"/>
      <c r="D53" s="3372"/>
      <c r="E53" s="3165" t="s">
        <v>3063</v>
      </c>
      <c r="F53" s="3372"/>
      <c r="G53" s="3165">
        <v>2639.12</v>
      </c>
      <c r="H53" s="3165">
        <v>2639.12</v>
      </c>
      <c r="I53" s="3165">
        <v>0</v>
      </c>
      <c r="J53" s="3165">
        <v>2024.12</v>
      </c>
      <c r="K53" s="3165">
        <v>0</v>
      </c>
      <c r="L53" s="3165">
        <v>0</v>
      </c>
      <c r="M53" s="3165">
        <v>615</v>
      </c>
      <c r="N53" s="3165">
        <v>0</v>
      </c>
      <c r="O53" s="3165">
        <v>0</v>
      </c>
      <c r="P53" s="3165">
        <v>0</v>
      </c>
      <c r="Q53" s="3165">
        <v>0</v>
      </c>
    </row>
    <row r="54" spans="1:17" ht="14.25" thickBot="1">
      <c r="A54" s="3372"/>
      <c r="B54" s="3382"/>
      <c r="C54" s="3382"/>
      <c r="D54" s="3372"/>
      <c r="E54" s="3165" t="s">
        <v>3064</v>
      </c>
      <c r="F54" s="3372"/>
      <c r="G54" s="3165">
        <v>669.33</v>
      </c>
      <c r="H54" s="3165">
        <v>669.33</v>
      </c>
      <c r="I54" s="3165">
        <v>0</v>
      </c>
      <c r="J54" s="3165">
        <v>514.94000000000005</v>
      </c>
      <c r="K54" s="3165">
        <v>0</v>
      </c>
      <c r="L54" s="3165">
        <v>0</v>
      </c>
      <c r="M54" s="3165">
        <v>154.38999999999999</v>
      </c>
      <c r="N54" s="3165">
        <v>0</v>
      </c>
      <c r="O54" s="3165">
        <v>0</v>
      </c>
      <c r="P54" s="3165">
        <v>0</v>
      </c>
      <c r="Q54" s="3165">
        <v>0</v>
      </c>
    </row>
    <row r="55" spans="1:17" ht="14.25" thickBot="1">
      <c r="A55" s="3372"/>
      <c r="B55" s="3382"/>
      <c r="C55" s="3382"/>
      <c r="D55" s="3372"/>
      <c r="E55" s="3165" t="s">
        <v>3065</v>
      </c>
      <c r="F55" s="3372"/>
      <c r="G55" s="3165">
        <v>1321.86</v>
      </c>
      <c r="H55" s="3165">
        <v>1321.86</v>
      </c>
      <c r="I55" s="3165">
        <v>0</v>
      </c>
      <c r="J55" s="3165">
        <v>1014.98</v>
      </c>
      <c r="K55" s="3165">
        <v>0</v>
      </c>
      <c r="L55" s="3165">
        <v>0</v>
      </c>
      <c r="M55" s="3165">
        <v>306.88</v>
      </c>
      <c r="N55" s="3165">
        <v>0</v>
      </c>
      <c r="O55" s="3165">
        <v>0</v>
      </c>
      <c r="P55" s="3165">
        <v>0</v>
      </c>
      <c r="Q55" s="3165">
        <v>0</v>
      </c>
    </row>
    <row r="56" spans="1:17" ht="14.25" thickBot="1">
      <c r="A56" s="3372"/>
      <c r="B56" s="3382"/>
      <c r="C56" s="3382"/>
      <c r="D56" s="3372"/>
      <c r="E56" s="3165" t="s">
        <v>3066</v>
      </c>
      <c r="F56" s="3372"/>
      <c r="G56" s="3165">
        <v>669.33</v>
      </c>
      <c r="H56" s="3165">
        <v>669.33</v>
      </c>
      <c r="I56" s="3165">
        <v>0</v>
      </c>
      <c r="J56" s="3165">
        <v>514.94000000000005</v>
      </c>
      <c r="K56" s="3165">
        <v>0</v>
      </c>
      <c r="L56" s="3165">
        <v>0</v>
      </c>
      <c r="M56" s="3165">
        <v>154.38999999999999</v>
      </c>
      <c r="N56" s="3165">
        <v>0</v>
      </c>
      <c r="O56" s="3165">
        <v>0</v>
      </c>
      <c r="P56" s="3165">
        <v>0</v>
      </c>
      <c r="Q56" s="3165">
        <v>0</v>
      </c>
    </row>
    <row r="57" spans="1:17" ht="14.25" thickBot="1">
      <c r="A57" s="3372"/>
      <c r="B57" s="3382"/>
      <c r="C57" s="3382"/>
      <c r="D57" s="3372"/>
      <c r="E57" s="3165" t="s">
        <v>3067</v>
      </c>
      <c r="F57" s="3372"/>
      <c r="G57" s="3165">
        <v>1321.86</v>
      </c>
      <c r="H57" s="3165">
        <v>1321.86</v>
      </c>
      <c r="I57" s="3165">
        <v>0</v>
      </c>
      <c r="J57" s="3165">
        <v>1014.98</v>
      </c>
      <c r="K57" s="3165">
        <v>0</v>
      </c>
      <c r="L57" s="3165">
        <v>0</v>
      </c>
      <c r="M57" s="3165">
        <v>306.88</v>
      </c>
      <c r="N57" s="3165">
        <v>0</v>
      </c>
      <c r="O57" s="3165">
        <v>0</v>
      </c>
      <c r="P57" s="3165">
        <v>0</v>
      </c>
      <c r="Q57" s="3165">
        <v>0</v>
      </c>
    </row>
    <row r="58" spans="1:17" ht="14.25" thickBot="1">
      <c r="A58" s="3372"/>
      <c r="B58" s="3382"/>
      <c r="C58" s="3382"/>
      <c r="D58" s="3372"/>
      <c r="E58" s="3165" t="s">
        <v>3068</v>
      </c>
      <c r="F58" s="3372"/>
      <c r="G58" s="3165">
        <v>2639.12</v>
      </c>
      <c r="H58" s="3165">
        <v>2639.12</v>
      </c>
      <c r="I58" s="3165">
        <v>0</v>
      </c>
      <c r="J58" s="3165">
        <v>2024.12</v>
      </c>
      <c r="K58" s="3165">
        <v>0</v>
      </c>
      <c r="L58" s="3165">
        <v>0</v>
      </c>
      <c r="M58" s="3165">
        <v>615</v>
      </c>
      <c r="N58" s="3165">
        <v>0</v>
      </c>
      <c r="O58" s="3165">
        <v>0</v>
      </c>
      <c r="P58" s="3165">
        <v>0</v>
      </c>
      <c r="Q58" s="3165">
        <v>0</v>
      </c>
    </row>
    <row r="59" spans="1:17" ht="14.25" thickBot="1">
      <c r="A59" s="3372"/>
      <c r="B59" s="3382"/>
      <c r="C59" s="3382"/>
      <c r="D59" s="3372"/>
      <c r="E59" s="3165" t="s">
        <v>3069</v>
      </c>
      <c r="F59" s="3372"/>
      <c r="G59" s="3165">
        <v>1396.87</v>
      </c>
      <c r="H59" s="3165">
        <v>1390.19</v>
      </c>
      <c r="I59" s="3165">
        <v>1036.26</v>
      </c>
      <c r="J59" s="3165">
        <v>0</v>
      </c>
      <c r="K59" s="3165">
        <v>0</v>
      </c>
      <c r="L59" s="3165">
        <v>0</v>
      </c>
      <c r="M59" s="3165">
        <v>353.93</v>
      </c>
      <c r="N59" s="3165">
        <v>0</v>
      </c>
      <c r="O59" s="3165">
        <v>6.68</v>
      </c>
      <c r="P59" s="3165">
        <v>6.68</v>
      </c>
      <c r="Q59" s="3165">
        <v>0</v>
      </c>
    </row>
    <row r="60" spans="1:17" ht="14.25" thickBot="1">
      <c r="A60" s="3372"/>
      <c r="B60" s="3382"/>
      <c r="C60" s="3382"/>
      <c r="D60" s="3372"/>
      <c r="E60" s="3165" t="s">
        <v>3070</v>
      </c>
      <c r="F60" s="3372"/>
      <c r="G60" s="3165">
        <v>1974.41</v>
      </c>
      <c r="H60" s="3165">
        <v>1974.41</v>
      </c>
      <c r="I60" s="3165">
        <v>0</v>
      </c>
      <c r="J60" s="3165">
        <v>1515.04</v>
      </c>
      <c r="K60" s="3165">
        <v>0</v>
      </c>
      <c r="L60" s="3165">
        <v>0</v>
      </c>
      <c r="M60" s="3165">
        <v>459.37</v>
      </c>
      <c r="N60" s="3165">
        <v>0</v>
      </c>
      <c r="O60" s="3165">
        <v>0</v>
      </c>
      <c r="P60" s="3165">
        <v>0</v>
      </c>
      <c r="Q60" s="3165">
        <v>0</v>
      </c>
    </row>
    <row r="61" spans="1:17" ht="14.25" thickBot="1">
      <c r="A61" s="3372"/>
      <c r="B61" s="3382"/>
      <c r="C61" s="3382"/>
      <c r="D61" s="3372"/>
      <c r="E61" s="3165" t="s">
        <v>3071</v>
      </c>
      <c r="F61" s="3372"/>
      <c r="G61" s="3165">
        <v>1974.41</v>
      </c>
      <c r="H61" s="3165">
        <v>1974.41</v>
      </c>
      <c r="I61" s="3165">
        <v>0</v>
      </c>
      <c r="J61" s="3165">
        <v>1515.04</v>
      </c>
      <c r="K61" s="3165">
        <v>0</v>
      </c>
      <c r="L61" s="3165">
        <v>0</v>
      </c>
      <c r="M61" s="3165">
        <v>459.37</v>
      </c>
      <c r="N61" s="3165">
        <v>0</v>
      </c>
      <c r="O61" s="3165">
        <v>0</v>
      </c>
      <c r="P61" s="3165">
        <v>0</v>
      </c>
      <c r="Q61" s="3165">
        <v>0</v>
      </c>
    </row>
    <row r="62" spans="1:17" ht="14.25" thickBot="1">
      <c r="A62" s="3372"/>
      <c r="B62" s="3382"/>
      <c r="C62" s="3382"/>
      <c r="D62" s="3372"/>
      <c r="E62" s="3165" t="s">
        <v>3072</v>
      </c>
      <c r="F62" s="3372"/>
      <c r="G62" s="3165">
        <v>1988.88</v>
      </c>
      <c r="H62" s="3165">
        <v>1988.88</v>
      </c>
      <c r="I62" s="3165">
        <v>0</v>
      </c>
      <c r="J62" s="3165">
        <v>0</v>
      </c>
      <c r="K62" s="3165">
        <v>1016.39</v>
      </c>
      <c r="L62" s="3165">
        <v>0</v>
      </c>
      <c r="M62" s="3165">
        <v>972.49</v>
      </c>
      <c r="N62" s="3165">
        <v>0</v>
      </c>
      <c r="O62" s="3165">
        <v>0</v>
      </c>
      <c r="P62" s="3165">
        <v>0</v>
      </c>
      <c r="Q62" s="3165">
        <v>0</v>
      </c>
    </row>
    <row r="63" spans="1:17" ht="14.25" thickBot="1">
      <c r="A63" s="3372"/>
      <c r="B63" s="3382"/>
      <c r="C63" s="3382"/>
      <c r="D63" s="3372"/>
      <c r="E63" s="3165" t="s">
        <v>3073</v>
      </c>
      <c r="F63" s="3372"/>
      <c r="G63" s="3165">
        <v>1974.41</v>
      </c>
      <c r="H63" s="3165">
        <v>1974.41</v>
      </c>
      <c r="I63" s="3165">
        <v>0</v>
      </c>
      <c r="J63" s="3165">
        <v>1515.04</v>
      </c>
      <c r="K63" s="3165">
        <v>0</v>
      </c>
      <c r="L63" s="3165">
        <v>0</v>
      </c>
      <c r="M63" s="3165">
        <v>459.37</v>
      </c>
      <c r="N63" s="3165">
        <v>0</v>
      </c>
      <c r="O63" s="3165">
        <v>0</v>
      </c>
      <c r="P63" s="3165">
        <v>0</v>
      </c>
      <c r="Q63" s="3165">
        <v>0</v>
      </c>
    </row>
    <row r="64" spans="1:17" ht="14.25" thickBot="1">
      <c r="A64" s="3372"/>
      <c r="B64" s="3382"/>
      <c r="C64" s="3382"/>
      <c r="D64" s="3372"/>
      <c r="E64" s="3165" t="s">
        <v>3074</v>
      </c>
      <c r="F64" s="3372"/>
      <c r="G64" s="3165">
        <v>1321.86</v>
      </c>
      <c r="H64" s="3165">
        <v>1321.86</v>
      </c>
      <c r="I64" s="3165">
        <v>0</v>
      </c>
      <c r="J64" s="3165">
        <v>1014.98</v>
      </c>
      <c r="K64" s="3165">
        <v>0</v>
      </c>
      <c r="L64" s="3165">
        <v>0</v>
      </c>
      <c r="M64" s="3165">
        <v>306.88</v>
      </c>
      <c r="N64" s="3165">
        <v>0</v>
      </c>
      <c r="O64" s="3165">
        <v>0</v>
      </c>
      <c r="P64" s="3165">
        <v>0</v>
      </c>
      <c r="Q64" s="3165">
        <v>0</v>
      </c>
    </row>
    <row r="65" spans="1:17" ht="14.25" thickBot="1">
      <c r="A65" s="3372"/>
      <c r="B65" s="3382"/>
      <c r="C65" s="3382"/>
      <c r="D65" s="3372"/>
      <c r="E65" s="3165" t="s">
        <v>3075</v>
      </c>
      <c r="F65" s="3372"/>
      <c r="G65" s="3165">
        <v>1396.14</v>
      </c>
      <c r="H65" s="3165">
        <v>1389.46</v>
      </c>
      <c r="I65" s="3165">
        <v>1036.26</v>
      </c>
      <c r="J65" s="3165">
        <v>0</v>
      </c>
      <c r="K65" s="3165">
        <v>0</v>
      </c>
      <c r="L65" s="3165">
        <v>0</v>
      </c>
      <c r="M65" s="3165">
        <v>353.2</v>
      </c>
      <c r="N65" s="3165">
        <v>0</v>
      </c>
      <c r="O65" s="3165">
        <v>6.68</v>
      </c>
      <c r="P65" s="3165">
        <v>6.68</v>
      </c>
      <c r="Q65" s="3165">
        <v>0</v>
      </c>
    </row>
    <row r="66" spans="1:17" ht="14.25" thickBot="1">
      <c r="A66" s="3372"/>
      <c r="B66" s="3382"/>
      <c r="C66" s="3382"/>
      <c r="D66" s="3372"/>
      <c r="E66" s="3165" t="s">
        <v>3076</v>
      </c>
      <c r="F66" s="3372"/>
      <c r="G66" s="3165">
        <v>1321.86</v>
      </c>
      <c r="H66" s="3165">
        <v>1321.86</v>
      </c>
      <c r="I66" s="3165">
        <v>0</v>
      </c>
      <c r="J66" s="3165">
        <v>1014.98</v>
      </c>
      <c r="K66" s="3165">
        <v>0</v>
      </c>
      <c r="L66" s="3165">
        <v>0</v>
      </c>
      <c r="M66" s="3165">
        <v>306.88</v>
      </c>
      <c r="N66" s="3165">
        <v>0</v>
      </c>
      <c r="O66" s="3165">
        <v>0</v>
      </c>
      <c r="P66" s="3165">
        <v>0</v>
      </c>
      <c r="Q66" s="3165">
        <v>0</v>
      </c>
    </row>
    <row r="67" spans="1:17" ht="14.25" thickBot="1">
      <c r="A67" s="3372"/>
      <c r="B67" s="3382"/>
      <c r="C67" s="3382"/>
      <c r="D67" s="3372"/>
      <c r="E67" s="3165" t="s">
        <v>3077</v>
      </c>
      <c r="F67" s="3372"/>
      <c r="G67" s="3165">
        <v>1974.41</v>
      </c>
      <c r="H67" s="3165">
        <v>1974.41</v>
      </c>
      <c r="I67" s="3165">
        <v>0</v>
      </c>
      <c r="J67" s="3165">
        <v>1515.04</v>
      </c>
      <c r="K67" s="3165">
        <v>0</v>
      </c>
      <c r="L67" s="3165">
        <v>0</v>
      </c>
      <c r="M67" s="3165">
        <v>459.37</v>
      </c>
      <c r="N67" s="3165">
        <v>0</v>
      </c>
      <c r="O67" s="3165">
        <v>0</v>
      </c>
      <c r="P67" s="3165">
        <v>0</v>
      </c>
      <c r="Q67" s="3165">
        <v>0</v>
      </c>
    </row>
    <row r="68" spans="1:17" ht="14.25" thickBot="1">
      <c r="A68" s="3372"/>
      <c r="B68" s="3382"/>
      <c r="C68" s="3382"/>
      <c r="D68" s="3372"/>
      <c r="E68" s="3165" t="s">
        <v>3078</v>
      </c>
      <c r="F68" s="3372"/>
      <c r="G68" s="3165">
        <v>1974.41</v>
      </c>
      <c r="H68" s="3165">
        <v>1974.41</v>
      </c>
      <c r="I68" s="3165">
        <v>0</v>
      </c>
      <c r="J68" s="3165">
        <v>1515.04</v>
      </c>
      <c r="K68" s="3165">
        <v>0</v>
      </c>
      <c r="L68" s="3165">
        <v>0</v>
      </c>
      <c r="M68" s="3165">
        <v>459.37</v>
      </c>
      <c r="N68" s="3165">
        <v>0</v>
      </c>
      <c r="O68" s="3165">
        <v>0</v>
      </c>
      <c r="P68" s="3165">
        <v>0</v>
      </c>
      <c r="Q68" s="3165">
        <v>0</v>
      </c>
    </row>
    <row r="69" spans="1:17" ht="14.25" thickBot="1">
      <c r="A69" s="3372"/>
      <c r="B69" s="3382"/>
      <c r="C69" s="3382"/>
      <c r="D69" s="3372"/>
      <c r="E69" s="3165" t="s">
        <v>3079</v>
      </c>
      <c r="F69" s="3372"/>
      <c r="G69" s="3165">
        <v>1974.41</v>
      </c>
      <c r="H69" s="3165">
        <v>1974.41</v>
      </c>
      <c r="I69" s="3165">
        <v>0</v>
      </c>
      <c r="J69" s="3165">
        <v>1515.04</v>
      </c>
      <c r="K69" s="3165">
        <v>0</v>
      </c>
      <c r="L69" s="3165">
        <v>0</v>
      </c>
      <c r="M69" s="3165">
        <v>459.37</v>
      </c>
      <c r="N69" s="3165">
        <v>0</v>
      </c>
      <c r="O69" s="3165">
        <v>0</v>
      </c>
      <c r="P69" s="3165">
        <v>0</v>
      </c>
      <c r="Q69" s="3165">
        <v>0</v>
      </c>
    </row>
    <row r="70" spans="1:17" ht="14.25" thickBot="1">
      <c r="A70" s="3372"/>
      <c r="B70" s="3382"/>
      <c r="C70" s="3382"/>
      <c r="D70" s="3372"/>
      <c r="E70" s="3165" t="s">
        <v>3080</v>
      </c>
      <c r="F70" s="3372"/>
      <c r="G70" s="3165">
        <v>1395</v>
      </c>
      <c r="H70" s="3165">
        <v>1388.32</v>
      </c>
      <c r="I70" s="3165">
        <v>1036.26</v>
      </c>
      <c r="J70" s="3165">
        <v>0</v>
      </c>
      <c r="K70" s="3165">
        <v>0</v>
      </c>
      <c r="L70" s="3165">
        <v>0</v>
      </c>
      <c r="M70" s="3165">
        <v>352.06</v>
      </c>
      <c r="N70" s="3165">
        <v>0</v>
      </c>
      <c r="O70" s="3165">
        <v>6.68</v>
      </c>
      <c r="P70" s="3165">
        <v>6.68</v>
      </c>
      <c r="Q70" s="3165">
        <v>0</v>
      </c>
    </row>
    <row r="71" spans="1:17" ht="14.25" thickBot="1">
      <c r="A71" s="3372"/>
      <c r="B71" s="3382"/>
      <c r="C71" s="3382"/>
      <c r="D71" s="3372"/>
      <c r="E71" s="3165" t="s">
        <v>3081</v>
      </c>
      <c r="F71" s="3372"/>
      <c r="G71" s="3165">
        <v>2626.94</v>
      </c>
      <c r="H71" s="3165">
        <v>2626.94</v>
      </c>
      <c r="I71" s="3165">
        <v>0</v>
      </c>
      <c r="J71" s="3165">
        <v>2015.08</v>
      </c>
      <c r="K71" s="3165">
        <v>0</v>
      </c>
      <c r="L71" s="3165">
        <v>0</v>
      </c>
      <c r="M71" s="3165">
        <v>611.86</v>
      </c>
      <c r="N71" s="3165">
        <v>0</v>
      </c>
      <c r="O71" s="3165">
        <v>0</v>
      </c>
      <c r="P71" s="3165">
        <v>0</v>
      </c>
      <c r="Q71" s="3165">
        <v>0</v>
      </c>
    </row>
    <row r="72" spans="1:17" ht="14.25" thickBot="1">
      <c r="A72" s="3372"/>
      <c r="B72" s="3382"/>
      <c r="C72" s="3382"/>
      <c r="D72" s="3372"/>
      <c r="E72" s="3165" t="s">
        <v>3082</v>
      </c>
      <c r="F72" s="3372"/>
      <c r="G72" s="3165">
        <v>1321.86</v>
      </c>
      <c r="H72" s="3165">
        <v>1321.86</v>
      </c>
      <c r="I72" s="3165">
        <v>0</v>
      </c>
      <c r="J72" s="3165">
        <v>1014.98</v>
      </c>
      <c r="K72" s="3165">
        <v>0</v>
      </c>
      <c r="L72" s="3165">
        <v>0</v>
      </c>
      <c r="M72" s="3165">
        <v>306.88</v>
      </c>
      <c r="N72" s="3165">
        <v>0</v>
      </c>
      <c r="O72" s="3165">
        <v>0</v>
      </c>
      <c r="P72" s="3165">
        <v>0</v>
      </c>
      <c r="Q72" s="3165">
        <v>0</v>
      </c>
    </row>
    <row r="73" spans="1:17" ht="14.25" thickBot="1">
      <c r="A73" s="3372"/>
      <c r="B73" s="3382"/>
      <c r="C73" s="3382"/>
      <c r="D73" s="3372"/>
      <c r="E73" s="3165" t="s">
        <v>3083</v>
      </c>
      <c r="F73" s="3372"/>
      <c r="G73" s="3165">
        <v>1988.88</v>
      </c>
      <c r="H73" s="3165">
        <v>1988.88</v>
      </c>
      <c r="I73" s="3165">
        <v>0</v>
      </c>
      <c r="J73" s="3165">
        <v>0</v>
      </c>
      <c r="K73" s="3165">
        <v>1016.39</v>
      </c>
      <c r="L73" s="3165">
        <v>0</v>
      </c>
      <c r="M73" s="3165">
        <v>972.49</v>
      </c>
      <c r="N73" s="3165">
        <v>0</v>
      </c>
      <c r="O73" s="3165">
        <v>0</v>
      </c>
      <c r="P73" s="3165">
        <v>0</v>
      </c>
      <c r="Q73" s="3165">
        <v>0</v>
      </c>
    </row>
    <row r="74" spans="1:17" ht="14.25" thickBot="1">
      <c r="A74" s="3372"/>
      <c r="B74" s="3382"/>
      <c r="C74" s="3382"/>
      <c r="D74" s="3372"/>
      <c r="E74" s="3165" t="s">
        <v>3084</v>
      </c>
      <c r="F74" s="3372"/>
      <c r="G74" s="3165">
        <v>1321.86</v>
      </c>
      <c r="H74" s="3165">
        <v>1321.86</v>
      </c>
      <c r="I74" s="3165">
        <v>0</v>
      </c>
      <c r="J74" s="3165">
        <v>1014.98</v>
      </c>
      <c r="K74" s="3165">
        <v>0</v>
      </c>
      <c r="L74" s="3165">
        <v>0</v>
      </c>
      <c r="M74" s="3165">
        <v>306.88</v>
      </c>
      <c r="N74" s="3165">
        <v>0</v>
      </c>
      <c r="O74" s="3165">
        <v>0</v>
      </c>
      <c r="P74" s="3165">
        <v>0</v>
      </c>
      <c r="Q74" s="3165">
        <v>0</v>
      </c>
    </row>
    <row r="75" spans="1:17" ht="14.25" thickBot="1">
      <c r="A75" s="3372"/>
      <c r="B75" s="3382"/>
      <c r="C75" s="3382"/>
      <c r="D75" s="3372"/>
      <c r="E75" s="3165" t="s">
        <v>3085</v>
      </c>
      <c r="F75" s="3372"/>
      <c r="G75" s="3165">
        <v>1974.41</v>
      </c>
      <c r="H75" s="3165">
        <v>1974.41</v>
      </c>
      <c r="I75" s="3165">
        <v>0</v>
      </c>
      <c r="J75" s="3165">
        <v>1515.04</v>
      </c>
      <c r="K75" s="3165">
        <v>0</v>
      </c>
      <c r="L75" s="3165">
        <v>0</v>
      </c>
      <c r="M75" s="3165">
        <v>459.37</v>
      </c>
      <c r="N75" s="3165">
        <v>0</v>
      </c>
      <c r="O75" s="3165">
        <v>0</v>
      </c>
      <c r="P75" s="3165">
        <v>0</v>
      </c>
      <c r="Q75" s="3165">
        <v>0</v>
      </c>
    </row>
    <row r="76" spans="1:17" ht="14.25" thickBot="1">
      <c r="A76" s="3372"/>
      <c r="B76" s="3382"/>
      <c r="C76" s="3382"/>
      <c r="D76" s="3372"/>
      <c r="E76" s="3165" t="s">
        <v>3086</v>
      </c>
      <c r="F76" s="3372"/>
      <c r="G76" s="3165">
        <v>1396.8</v>
      </c>
      <c r="H76" s="3165">
        <v>1390.12</v>
      </c>
      <c r="I76" s="3165">
        <v>1036.26</v>
      </c>
      <c r="J76" s="3164"/>
      <c r="K76" s="3165">
        <v>0</v>
      </c>
      <c r="L76" s="3165">
        <v>0</v>
      </c>
      <c r="M76" s="3165">
        <v>353.86</v>
      </c>
      <c r="N76" s="3165">
        <v>0</v>
      </c>
      <c r="O76" s="3165">
        <v>6.68</v>
      </c>
      <c r="P76" s="3165">
        <v>6.68</v>
      </c>
      <c r="Q76" s="3165">
        <v>0</v>
      </c>
    </row>
    <row r="77" spans="1:17" ht="14.25" thickBot="1">
      <c r="A77" s="3372"/>
      <c r="B77" s="3382"/>
      <c r="C77" s="3382"/>
      <c r="D77" s="3372"/>
      <c r="E77" s="3165" t="s">
        <v>3087</v>
      </c>
      <c r="F77" s="3372"/>
      <c r="G77" s="3165">
        <v>1974.41</v>
      </c>
      <c r="H77" s="3165">
        <v>1974.41</v>
      </c>
      <c r="I77" s="3165">
        <v>0</v>
      </c>
      <c r="J77" s="3165">
        <v>1515.04</v>
      </c>
      <c r="K77" s="3165">
        <v>0</v>
      </c>
      <c r="L77" s="3165">
        <v>0</v>
      </c>
      <c r="M77" s="3165">
        <v>459.37</v>
      </c>
      <c r="N77" s="3165">
        <v>0</v>
      </c>
      <c r="O77" s="3165">
        <v>0</v>
      </c>
      <c r="P77" s="3165">
        <v>0</v>
      </c>
      <c r="Q77" s="3165">
        <v>0</v>
      </c>
    </row>
    <row r="78" spans="1:17" ht="14.25" thickBot="1">
      <c r="A78" s="3372"/>
      <c r="B78" s="3382"/>
      <c r="C78" s="3382"/>
      <c r="D78" s="3372"/>
      <c r="E78" s="3165" t="s">
        <v>3088</v>
      </c>
      <c r="F78" s="3372"/>
      <c r="G78" s="3165">
        <v>1321.86</v>
      </c>
      <c r="H78" s="3165">
        <v>1321.86</v>
      </c>
      <c r="I78" s="3165">
        <v>0</v>
      </c>
      <c r="J78" s="3165">
        <v>1014.98</v>
      </c>
      <c r="K78" s="3165">
        <v>0</v>
      </c>
      <c r="L78" s="3165">
        <v>0</v>
      </c>
      <c r="M78" s="3165">
        <v>306.88</v>
      </c>
      <c r="N78" s="3165">
        <v>0</v>
      </c>
      <c r="O78" s="3165">
        <v>0</v>
      </c>
      <c r="P78" s="3165">
        <v>0</v>
      </c>
      <c r="Q78" s="3165">
        <v>0</v>
      </c>
    </row>
    <row r="79" spans="1:17" ht="14.25" thickBot="1">
      <c r="A79" s="3372"/>
      <c r="B79" s="3382"/>
      <c r="C79" s="3382"/>
      <c r="D79" s="3372"/>
      <c r="E79" s="3165" t="s">
        <v>3089</v>
      </c>
      <c r="F79" s="3372"/>
      <c r="G79" s="3165">
        <v>1321.86</v>
      </c>
      <c r="H79" s="3165">
        <v>1321.86</v>
      </c>
      <c r="I79" s="3165">
        <v>0</v>
      </c>
      <c r="J79" s="3165">
        <v>1014.98</v>
      </c>
      <c r="K79" s="3165">
        <v>0</v>
      </c>
      <c r="L79" s="3165">
        <v>0</v>
      </c>
      <c r="M79" s="3165">
        <v>306.88</v>
      </c>
      <c r="N79" s="3165">
        <v>0</v>
      </c>
      <c r="O79" s="3165">
        <v>0</v>
      </c>
      <c r="P79" s="3165">
        <v>0</v>
      </c>
      <c r="Q79" s="3165">
        <v>0</v>
      </c>
    </row>
    <row r="80" spans="1:17" ht="14.25" thickBot="1">
      <c r="A80" s="3372"/>
      <c r="B80" s="3382"/>
      <c r="C80" s="3382"/>
      <c r="D80" s="3372"/>
      <c r="E80" s="3165" t="s">
        <v>3090</v>
      </c>
      <c r="F80" s="3372"/>
      <c r="G80" s="3165">
        <v>2626.94</v>
      </c>
      <c r="H80" s="3165">
        <v>2626.94</v>
      </c>
      <c r="I80" s="3165">
        <v>0</v>
      </c>
      <c r="J80" s="3165">
        <v>2015.08</v>
      </c>
      <c r="K80" s="3165">
        <v>0</v>
      </c>
      <c r="L80" s="3165">
        <v>0</v>
      </c>
      <c r="M80" s="3165">
        <v>611.86</v>
      </c>
      <c r="N80" s="3165">
        <v>0</v>
      </c>
      <c r="O80" s="3165">
        <v>0</v>
      </c>
      <c r="P80" s="3165">
        <v>0</v>
      </c>
      <c r="Q80" s="3165">
        <v>0</v>
      </c>
    </row>
    <row r="81" spans="1:17" ht="14.25" thickBot="1">
      <c r="A81" s="3372"/>
      <c r="B81" s="3382"/>
      <c r="C81" s="3382"/>
      <c r="D81" s="3372"/>
      <c r="E81" s="3165" t="s">
        <v>3091</v>
      </c>
      <c r="F81" s="3372"/>
      <c r="G81" s="3165">
        <v>1396.46</v>
      </c>
      <c r="H81" s="3165">
        <v>1389.78</v>
      </c>
      <c r="I81" s="3165">
        <v>1036.26</v>
      </c>
      <c r="J81" s="3165">
        <v>0</v>
      </c>
      <c r="K81" s="3165">
        <v>0</v>
      </c>
      <c r="L81" s="3165">
        <v>0</v>
      </c>
      <c r="M81" s="3165">
        <v>353.52</v>
      </c>
      <c r="N81" s="3165">
        <v>0</v>
      </c>
      <c r="O81" s="3165">
        <v>6.68</v>
      </c>
      <c r="P81" s="3165">
        <v>6.68</v>
      </c>
      <c r="Q81" s="3165">
        <v>0</v>
      </c>
    </row>
    <row r="82" spans="1:17" ht="22.5" thickBot="1">
      <c r="A82" s="3372"/>
      <c r="B82" s="3382"/>
      <c r="C82" s="3382"/>
      <c r="D82" s="3372"/>
      <c r="E82" s="3165" t="s">
        <v>3092</v>
      </c>
      <c r="F82" s="3372"/>
      <c r="G82" s="3165">
        <v>746.32</v>
      </c>
      <c r="H82" s="3165">
        <v>0</v>
      </c>
      <c r="I82" s="3165">
        <v>0</v>
      </c>
      <c r="J82" s="3165">
        <v>0</v>
      </c>
      <c r="K82" s="3165">
        <v>0</v>
      </c>
      <c r="L82" s="3165">
        <v>0</v>
      </c>
      <c r="M82" s="3165">
        <v>0</v>
      </c>
      <c r="N82" s="3165">
        <v>0</v>
      </c>
      <c r="O82" s="3165">
        <v>746.32</v>
      </c>
      <c r="P82" s="3165">
        <v>245.38</v>
      </c>
      <c r="Q82" s="3165">
        <v>500.94</v>
      </c>
    </row>
    <row r="83" spans="1:17" ht="22.5" thickBot="1">
      <c r="A83" s="3372"/>
      <c r="B83" s="3382"/>
      <c r="C83" s="3382"/>
      <c r="D83" s="3372"/>
      <c r="E83" s="3165" t="s">
        <v>3093</v>
      </c>
      <c r="F83" s="3372"/>
      <c r="G83" s="3165">
        <v>967.22</v>
      </c>
      <c r="H83" s="3165">
        <v>57.2</v>
      </c>
      <c r="I83" s="3165">
        <v>0</v>
      </c>
      <c r="J83" s="3165">
        <v>0</v>
      </c>
      <c r="K83" s="3165">
        <v>0</v>
      </c>
      <c r="L83" s="3165">
        <v>0</v>
      </c>
      <c r="M83" s="3165">
        <v>57.2</v>
      </c>
      <c r="N83" s="3165">
        <v>0</v>
      </c>
      <c r="O83" s="3165">
        <v>910.02</v>
      </c>
      <c r="P83" s="3165">
        <v>711</v>
      </c>
      <c r="Q83" s="3165">
        <v>199.02</v>
      </c>
    </row>
    <row r="84" spans="1:17" ht="14.25" thickBot="1">
      <c r="A84" s="3372"/>
      <c r="B84" s="3381"/>
      <c r="C84" s="3381"/>
      <c r="D84" s="3373"/>
      <c r="E84" s="3165" t="s">
        <v>3094</v>
      </c>
      <c r="F84" s="3372"/>
      <c r="G84" s="3165">
        <v>24157.94</v>
      </c>
      <c r="H84" s="3165">
        <v>22369.1</v>
      </c>
      <c r="I84" s="3165">
        <v>0</v>
      </c>
      <c r="J84" s="3165">
        <v>0</v>
      </c>
      <c r="K84" s="3165">
        <v>0</v>
      </c>
      <c r="L84" s="3165">
        <v>0</v>
      </c>
      <c r="M84" s="3165">
        <v>0</v>
      </c>
      <c r="N84" s="3165">
        <v>22369.1</v>
      </c>
      <c r="O84" s="3165">
        <v>1788.84</v>
      </c>
      <c r="P84" s="3165">
        <v>1431.21</v>
      </c>
      <c r="Q84" s="3165">
        <v>357.63</v>
      </c>
    </row>
    <row r="85" spans="1:17" s="3167" customFormat="1" ht="14.25" thickBot="1">
      <c r="A85" s="3373"/>
      <c r="B85" s="3374" t="s">
        <v>27</v>
      </c>
      <c r="C85" s="3375"/>
      <c r="D85" s="3375"/>
      <c r="E85" s="3376"/>
      <c r="F85" s="3373"/>
      <c r="G85" s="3166">
        <v>87360.45</v>
      </c>
      <c r="H85" s="3166">
        <v>83678.81</v>
      </c>
      <c r="I85" s="3166">
        <v>14214.92</v>
      </c>
      <c r="J85" s="3166">
        <v>29348.44</v>
      </c>
      <c r="K85" s="3166">
        <v>2032.78</v>
      </c>
      <c r="L85" s="3166">
        <v>0</v>
      </c>
      <c r="M85" s="3166">
        <v>15713.57</v>
      </c>
      <c r="N85" s="3166">
        <v>22369.1</v>
      </c>
      <c r="O85" s="3166">
        <v>3681.64</v>
      </c>
      <c r="P85" s="3166">
        <v>2543.15</v>
      </c>
      <c r="Q85" s="3166">
        <v>1138.49</v>
      </c>
    </row>
    <row r="86" spans="1:17" ht="14.25" thickBot="1">
      <c r="A86" s="3371">
        <v>4</v>
      </c>
      <c r="B86" s="3380" t="s">
        <v>3095</v>
      </c>
      <c r="C86" s="3380" t="s">
        <v>3096</v>
      </c>
      <c r="D86" s="3371" t="s">
        <v>3013</v>
      </c>
      <c r="E86" s="3165" t="s">
        <v>3097</v>
      </c>
      <c r="F86" s="3371">
        <v>33238.620000000003</v>
      </c>
      <c r="G86" s="3165">
        <v>3547.63</v>
      </c>
      <c r="H86" s="3165">
        <v>3029.3</v>
      </c>
      <c r="I86" s="3165">
        <v>2612.29</v>
      </c>
      <c r="J86" s="3165">
        <v>0</v>
      </c>
      <c r="K86" s="3165">
        <v>0</v>
      </c>
      <c r="L86" s="3165">
        <v>0</v>
      </c>
      <c r="M86" s="3165">
        <v>417.01</v>
      </c>
      <c r="N86" s="3165">
        <v>0</v>
      </c>
      <c r="O86" s="3165">
        <v>518.33000000000004</v>
      </c>
      <c r="P86" s="3165">
        <v>518.33000000000004</v>
      </c>
      <c r="Q86" s="3165">
        <v>0</v>
      </c>
    </row>
    <row r="87" spans="1:17" ht="14.25" thickBot="1">
      <c r="A87" s="3372"/>
      <c r="B87" s="3382"/>
      <c r="C87" s="3382"/>
      <c r="D87" s="3372"/>
      <c r="E87" s="3165" t="s">
        <v>3098</v>
      </c>
      <c r="F87" s="3372"/>
      <c r="G87" s="3165">
        <v>3545.85</v>
      </c>
      <c r="H87" s="3165">
        <v>3455.12</v>
      </c>
      <c r="I87" s="3165">
        <v>2612.29</v>
      </c>
      <c r="J87" s="3165">
        <v>0</v>
      </c>
      <c r="K87" s="3165">
        <v>0</v>
      </c>
      <c r="L87" s="3165">
        <v>0</v>
      </c>
      <c r="M87" s="3165">
        <v>842.83</v>
      </c>
      <c r="N87" s="3165">
        <v>0</v>
      </c>
      <c r="O87" s="3165">
        <v>90.73</v>
      </c>
      <c r="P87" s="3165">
        <v>90.73</v>
      </c>
      <c r="Q87" s="3165">
        <v>0</v>
      </c>
    </row>
    <row r="88" spans="1:17" ht="14.25" thickBot="1">
      <c r="A88" s="3372"/>
      <c r="B88" s="3382"/>
      <c r="C88" s="3382"/>
      <c r="D88" s="3372"/>
      <c r="E88" s="3165" t="s">
        <v>3099</v>
      </c>
      <c r="F88" s="3372"/>
      <c r="G88" s="3165">
        <v>3510.16</v>
      </c>
      <c r="H88" s="3165">
        <v>3466.01</v>
      </c>
      <c r="I88" s="3165">
        <v>2612.29</v>
      </c>
      <c r="J88" s="3165">
        <v>0</v>
      </c>
      <c r="K88" s="3165">
        <v>0</v>
      </c>
      <c r="L88" s="3165">
        <v>0</v>
      </c>
      <c r="M88" s="3165">
        <v>853.72</v>
      </c>
      <c r="N88" s="3165">
        <v>0</v>
      </c>
      <c r="O88" s="3165">
        <v>44.15</v>
      </c>
      <c r="P88" s="3165">
        <v>44.15</v>
      </c>
      <c r="Q88" s="3165">
        <v>0</v>
      </c>
    </row>
    <row r="89" spans="1:17" ht="14.25" thickBot="1">
      <c r="A89" s="3372"/>
      <c r="B89" s="3382"/>
      <c r="C89" s="3382"/>
      <c r="D89" s="3372"/>
      <c r="E89" s="3165" t="s">
        <v>3100</v>
      </c>
      <c r="F89" s="3372"/>
      <c r="G89" s="3165">
        <v>3531.37</v>
      </c>
      <c r="H89" s="3165">
        <v>3482.49</v>
      </c>
      <c r="I89" s="3165">
        <v>2612.29</v>
      </c>
      <c r="J89" s="3165">
        <v>0</v>
      </c>
      <c r="K89" s="3165">
        <v>0</v>
      </c>
      <c r="L89" s="3165">
        <v>0</v>
      </c>
      <c r="M89" s="3165">
        <v>870.2</v>
      </c>
      <c r="N89" s="3165">
        <v>0</v>
      </c>
      <c r="O89" s="3165">
        <v>48.88</v>
      </c>
      <c r="P89" s="3165">
        <v>48.88</v>
      </c>
      <c r="Q89" s="3165">
        <v>0</v>
      </c>
    </row>
    <row r="90" spans="1:17" ht="14.25" thickBot="1">
      <c r="A90" s="3372"/>
      <c r="B90" s="3382"/>
      <c r="C90" s="3382"/>
      <c r="D90" s="3372"/>
      <c r="E90" s="3165" t="s">
        <v>3101</v>
      </c>
      <c r="F90" s="3372"/>
      <c r="G90" s="3165">
        <v>669.3</v>
      </c>
      <c r="H90" s="3165">
        <v>669.3</v>
      </c>
      <c r="I90" s="3165">
        <v>0</v>
      </c>
      <c r="J90" s="3165">
        <v>514.91</v>
      </c>
      <c r="K90" s="3165">
        <v>0</v>
      </c>
      <c r="L90" s="3165">
        <v>0</v>
      </c>
      <c r="M90" s="3165">
        <v>154.38999999999999</v>
      </c>
      <c r="N90" s="3165">
        <v>0</v>
      </c>
      <c r="O90" s="3165">
        <v>0</v>
      </c>
      <c r="P90" s="3165">
        <v>0</v>
      </c>
      <c r="Q90" s="3165">
        <v>0</v>
      </c>
    </row>
    <row r="91" spans="1:17" ht="14.25" thickBot="1">
      <c r="A91" s="3372"/>
      <c r="B91" s="3382"/>
      <c r="C91" s="3382"/>
      <c r="D91" s="3372"/>
      <c r="E91" s="3165" t="s">
        <v>3102</v>
      </c>
      <c r="F91" s="3372"/>
      <c r="G91" s="3165">
        <v>1974.41</v>
      </c>
      <c r="H91" s="3165">
        <v>1974.41</v>
      </c>
      <c r="I91" s="3165">
        <v>0</v>
      </c>
      <c r="J91" s="3165">
        <v>1515.04</v>
      </c>
      <c r="K91" s="3165">
        <v>0</v>
      </c>
      <c r="L91" s="3165">
        <v>0</v>
      </c>
      <c r="M91" s="3165">
        <v>459.37</v>
      </c>
      <c r="N91" s="3165">
        <v>0</v>
      </c>
      <c r="O91" s="3165">
        <v>0</v>
      </c>
      <c r="P91" s="3165">
        <v>0</v>
      </c>
      <c r="Q91" s="3165">
        <v>0</v>
      </c>
    </row>
    <row r="92" spans="1:17" ht="14.25" thickBot="1">
      <c r="A92" s="3372"/>
      <c r="B92" s="3382"/>
      <c r="C92" s="3382"/>
      <c r="D92" s="3372"/>
      <c r="E92" s="3165" t="s">
        <v>3103</v>
      </c>
      <c r="F92" s="3372"/>
      <c r="G92" s="3165">
        <v>1321.86</v>
      </c>
      <c r="H92" s="3165">
        <v>1321.86</v>
      </c>
      <c r="I92" s="3165">
        <v>0</v>
      </c>
      <c r="J92" s="3165">
        <v>1014.98</v>
      </c>
      <c r="K92" s="3165">
        <v>0</v>
      </c>
      <c r="L92" s="3165">
        <v>0</v>
      </c>
      <c r="M92" s="3165">
        <v>306.88</v>
      </c>
      <c r="N92" s="3165">
        <v>0</v>
      </c>
      <c r="O92" s="3165">
        <v>0</v>
      </c>
      <c r="P92" s="3165">
        <v>0</v>
      </c>
      <c r="Q92" s="3165">
        <v>0</v>
      </c>
    </row>
    <row r="93" spans="1:17" ht="14.25" thickBot="1">
      <c r="A93" s="3372"/>
      <c r="B93" s="3382"/>
      <c r="C93" s="3382"/>
      <c r="D93" s="3372"/>
      <c r="E93" s="3165" t="s">
        <v>3104</v>
      </c>
      <c r="F93" s="3372"/>
      <c r="G93" s="3165">
        <v>1974.41</v>
      </c>
      <c r="H93" s="3165">
        <v>1974.41</v>
      </c>
      <c r="I93" s="3165">
        <v>0</v>
      </c>
      <c r="J93" s="3165">
        <v>1515.04</v>
      </c>
      <c r="K93" s="3165">
        <v>0</v>
      </c>
      <c r="L93" s="3165">
        <v>0</v>
      </c>
      <c r="M93" s="3165">
        <v>459.37</v>
      </c>
      <c r="N93" s="3165">
        <v>0</v>
      </c>
      <c r="O93" s="3165">
        <v>0</v>
      </c>
      <c r="P93" s="3165">
        <v>0</v>
      </c>
      <c r="Q93" s="3165">
        <v>0</v>
      </c>
    </row>
    <row r="94" spans="1:17" ht="14.25" thickBot="1">
      <c r="A94" s="3372"/>
      <c r="B94" s="3382"/>
      <c r="C94" s="3382"/>
      <c r="D94" s="3372"/>
      <c r="E94" s="3165" t="s">
        <v>3105</v>
      </c>
      <c r="F94" s="3372"/>
      <c r="G94" s="3165">
        <v>2639.12</v>
      </c>
      <c r="H94" s="3165">
        <v>2639.12</v>
      </c>
      <c r="I94" s="3165">
        <v>0</v>
      </c>
      <c r="J94" s="3165">
        <v>2024.12</v>
      </c>
      <c r="K94" s="3165">
        <v>0</v>
      </c>
      <c r="L94" s="3165">
        <v>0</v>
      </c>
      <c r="M94" s="3165">
        <v>615</v>
      </c>
      <c r="N94" s="3165">
        <v>0</v>
      </c>
      <c r="O94" s="3165">
        <v>0</v>
      </c>
      <c r="P94" s="3165">
        <v>0</v>
      </c>
      <c r="Q94" s="3165">
        <v>0</v>
      </c>
    </row>
    <row r="95" spans="1:17" ht="14.25" thickBot="1">
      <c r="A95" s="3372"/>
      <c r="B95" s="3382"/>
      <c r="C95" s="3382"/>
      <c r="D95" s="3372"/>
      <c r="E95" s="3165" t="s">
        <v>3106</v>
      </c>
      <c r="F95" s="3372"/>
      <c r="G95" s="3165">
        <v>2639.12</v>
      </c>
      <c r="H95" s="3165">
        <v>2639.12</v>
      </c>
      <c r="I95" s="3165">
        <v>0</v>
      </c>
      <c r="J95" s="3165">
        <v>2024.12</v>
      </c>
      <c r="K95" s="3165">
        <v>0</v>
      </c>
      <c r="L95" s="3165">
        <v>0</v>
      </c>
      <c r="M95" s="3165">
        <v>615</v>
      </c>
      <c r="N95" s="3165">
        <v>0</v>
      </c>
      <c r="O95" s="3165">
        <v>0</v>
      </c>
      <c r="P95" s="3165">
        <v>0</v>
      </c>
      <c r="Q95" s="3165">
        <v>0</v>
      </c>
    </row>
    <row r="96" spans="1:17" ht="14.25" thickBot="1">
      <c r="A96" s="3372"/>
      <c r="B96" s="3382"/>
      <c r="C96" s="3382"/>
      <c r="D96" s="3372"/>
      <c r="E96" s="3165" t="s">
        <v>3107</v>
      </c>
      <c r="F96" s="3372"/>
      <c r="G96" s="3165">
        <v>1974.41</v>
      </c>
      <c r="H96" s="3165">
        <v>1974.41</v>
      </c>
      <c r="I96" s="3165">
        <v>0</v>
      </c>
      <c r="J96" s="3165">
        <v>1515.04</v>
      </c>
      <c r="K96" s="3165">
        <v>0</v>
      </c>
      <c r="L96" s="3165">
        <v>0</v>
      </c>
      <c r="M96" s="3165">
        <v>459.37</v>
      </c>
      <c r="N96" s="3165">
        <v>0</v>
      </c>
      <c r="O96" s="3165">
        <v>0</v>
      </c>
      <c r="P96" s="3165">
        <v>0</v>
      </c>
      <c r="Q96" s="3165">
        <v>0</v>
      </c>
    </row>
    <row r="97" spans="1:17" ht="14.25" thickBot="1">
      <c r="A97" s="3372"/>
      <c r="B97" s="3382"/>
      <c r="C97" s="3382"/>
      <c r="D97" s="3372"/>
      <c r="E97" s="3165" t="s">
        <v>3108</v>
      </c>
      <c r="F97" s="3372"/>
      <c r="G97" s="3165">
        <v>1321.86</v>
      </c>
      <c r="H97" s="3165">
        <v>1321.86</v>
      </c>
      <c r="I97" s="3165">
        <v>0</v>
      </c>
      <c r="J97" s="3165">
        <v>1014.98</v>
      </c>
      <c r="K97" s="3165">
        <v>0</v>
      </c>
      <c r="L97" s="3165">
        <v>0</v>
      </c>
      <c r="M97" s="3165">
        <v>306.88</v>
      </c>
      <c r="N97" s="3165">
        <v>0</v>
      </c>
      <c r="O97" s="3165">
        <v>0</v>
      </c>
      <c r="P97" s="3165">
        <v>0</v>
      </c>
      <c r="Q97" s="3165">
        <v>0</v>
      </c>
    </row>
    <row r="98" spans="1:17" ht="14.25" thickBot="1">
      <c r="A98" s="3372"/>
      <c r="B98" s="3382"/>
      <c r="C98" s="3382"/>
      <c r="D98" s="3372"/>
      <c r="E98" s="3165" t="s">
        <v>3109</v>
      </c>
      <c r="F98" s="3372"/>
      <c r="G98" s="3165">
        <v>1974.41</v>
      </c>
      <c r="H98" s="3165">
        <v>1974.41</v>
      </c>
      <c r="I98" s="3165">
        <v>0</v>
      </c>
      <c r="J98" s="3165">
        <v>1515.04</v>
      </c>
      <c r="K98" s="3165">
        <v>0</v>
      </c>
      <c r="L98" s="3165">
        <v>0</v>
      </c>
      <c r="M98" s="3165">
        <v>459.37</v>
      </c>
      <c r="N98" s="3165">
        <v>0</v>
      </c>
      <c r="O98" s="3165">
        <v>0</v>
      </c>
      <c r="P98" s="3165">
        <v>0</v>
      </c>
      <c r="Q98" s="3165">
        <v>0</v>
      </c>
    </row>
    <row r="99" spans="1:17" ht="14.25" thickBot="1">
      <c r="A99" s="3372"/>
      <c r="B99" s="3382"/>
      <c r="C99" s="3382"/>
      <c r="D99" s="3372"/>
      <c r="E99" s="3165" t="s">
        <v>3110</v>
      </c>
      <c r="F99" s="3372"/>
      <c r="G99" s="3165">
        <v>1974.41</v>
      </c>
      <c r="H99" s="3165">
        <v>1974.41</v>
      </c>
      <c r="I99" s="3165">
        <v>0</v>
      </c>
      <c r="J99" s="3165">
        <v>1515.04</v>
      </c>
      <c r="K99" s="3165">
        <v>0</v>
      </c>
      <c r="L99" s="3165">
        <v>0</v>
      </c>
      <c r="M99" s="3165">
        <v>459.37</v>
      </c>
      <c r="N99" s="3165">
        <v>0</v>
      </c>
      <c r="O99" s="3165">
        <v>0</v>
      </c>
      <c r="P99" s="3165">
        <v>0</v>
      </c>
      <c r="Q99" s="3165">
        <v>0</v>
      </c>
    </row>
    <row r="100" spans="1:17" ht="14.25" thickBot="1">
      <c r="A100" s="3372"/>
      <c r="B100" s="3382"/>
      <c r="C100" s="3382"/>
      <c r="D100" s="3372"/>
      <c r="E100" s="3165" t="s">
        <v>3111</v>
      </c>
      <c r="F100" s="3372"/>
      <c r="G100" s="3165">
        <v>1321.86</v>
      </c>
      <c r="H100" s="3165">
        <v>1321.86</v>
      </c>
      <c r="I100" s="3165">
        <v>0</v>
      </c>
      <c r="J100" s="3165">
        <v>1014.98</v>
      </c>
      <c r="K100" s="3165">
        <v>0</v>
      </c>
      <c r="L100" s="3165">
        <v>0</v>
      </c>
      <c r="M100" s="3165">
        <v>306.88</v>
      </c>
      <c r="N100" s="3165">
        <v>0</v>
      </c>
      <c r="O100" s="3165">
        <v>0</v>
      </c>
      <c r="P100" s="3165">
        <v>0</v>
      </c>
      <c r="Q100" s="3165">
        <v>0</v>
      </c>
    </row>
    <row r="101" spans="1:17" ht="14.25" thickBot="1">
      <c r="A101" s="3372"/>
      <c r="B101" s="3382"/>
      <c r="C101" s="3382"/>
      <c r="D101" s="3372"/>
      <c r="E101" s="3165" t="s">
        <v>3112</v>
      </c>
      <c r="F101" s="3372"/>
      <c r="G101" s="3165">
        <v>1974.41</v>
      </c>
      <c r="H101" s="3165">
        <v>1974.41</v>
      </c>
      <c r="I101" s="3165">
        <v>0</v>
      </c>
      <c r="J101" s="3165">
        <v>1515.04</v>
      </c>
      <c r="K101" s="3165">
        <v>0</v>
      </c>
      <c r="L101" s="3165">
        <v>0</v>
      </c>
      <c r="M101" s="3165">
        <v>459.37</v>
      </c>
      <c r="N101" s="3165">
        <v>0</v>
      </c>
      <c r="O101" s="3165">
        <v>0</v>
      </c>
      <c r="P101" s="3165">
        <v>0</v>
      </c>
      <c r="Q101" s="3165">
        <v>0</v>
      </c>
    </row>
    <row r="102" spans="1:17" ht="14.25" thickBot="1">
      <c r="A102" s="3372"/>
      <c r="B102" s="3382"/>
      <c r="C102" s="3382"/>
      <c r="D102" s="3372"/>
      <c r="E102" s="3165" t="s">
        <v>3113</v>
      </c>
      <c r="F102" s="3372"/>
      <c r="G102" s="3165">
        <v>2626.94</v>
      </c>
      <c r="H102" s="3165">
        <v>2626.94</v>
      </c>
      <c r="I102" s="3165">
        <v>0</v>
      </c>
      <c r="J102" s="3165">
        <v>2015.08</v>
      </c>
      <c r="K102" s="3165">
        <v>0</v>
      </c>
      <c r="L102" s="3165">
        <v>0</v>
      </c>
      <c r="M102" s="3165">
        <v>611.86</v>
      </c>
      <c r="N102" s="3165">
        <v>0</v>
      </c>
      <c r="O102" s="3165">
        <v>0</v>
      </c>
      <c r="P102" s="3165">
        <v>0</v>
      </c>
      <c r="Q102" s="3165">
        <v>0</v>
      </c>
    </row>
    <row r="103" spans="1:17" ht="14.25" thickBot="1">
      <c r="A103" s="3372"/>
      <c r="B103" s="3382"/>
      <c r="C103" s="3382"/>
      <c r="D103" s="3372"/>
      <c r="E103" s="3165" t="s">
        <v>3114</v>
      </c>
      <c r="F103" s="3372"/>
      <c r="G103" s="3165">
        <v>2626.94</v>
      </c>
      <c r="H103" s="3165">
        <v>2626.94</v>
      </c>
      <c r="I103" s="3165">
        <v>0</v>
      </c>
      <c r="J103" s="3165">
        <v>2015.08</v>
      </c>
      <c r="K103" s="3165">
        <v>0</v>
      </c>
      <c r="L103" s="3165">
        <v>0</v>
      </c>
      <c r="M103" s="3165">
        <v>611.86</v>
      </c>
      <c r="N103" s="3165">
        <v>0</v>
      </c>
      <c r="O103" s="3165">
        <v>0</v>
      </c>
      <c r="P103" s="3165">
        <v>0</v>
      </c>
      <c r="Q103" s="3165">
        <v>0</v>
      </c>
    </row>
    <row r="104" spans="1:17" ht="14.25" thickBot="1">
      <c r="A104" s="3372"/>
      <c r="B104" s="3382"/>
      <c r="C104" s="3382"/>
      <c r="D104" s="3372"/>
      <c r="E104" s="3165" t="s">
        <v>3115</v>
      </c>
      <c r="F104" s="3372"/>
      <c r="G104" s="3165">
        <v>2639.12</v>
      </c>
      <c r="H104" s="3165">
        <v>2639.12</v>
      </c>
      <c r="I104" s="3165">
        <v>0</v>
      </c>
      <c r="J104" s="3165">
        <v>2024.12</v>
      </c>
      <c r="K104" s="3165">
        <v>0</v>
      </c>
      <c r="L104" s="3165">
        <v>0</v>
      </c>
      <c r="M104" s="3165">
        <v>615</v>
      </c>
      <c r="N104" s="3165">
        <v>0</v>
      </c>
      <c r="O104" s="3165">
        <v>0</v>
      </c>
      <c r="P104" s="3165">
        <v>0</v>
      </c>
      <c r="Q104" s="3165">
        <v>0</v>
      </c>
    </row>
    <row r="105" spans="1:17" ht="22.5" thickBot="1">
      <c r="A105" s="3372"/>
      <c r="B105" s="3382"/>
      <c r="C105" s="3382"/>
      <c r="D105" s="3372"/>
      <c r="E105" s="3165" t="s">
        <v>3116</v>
      </c>
      <c r="F105" s="3372"/>
      <c r="G105" s="3165">
        <v>282.12</v>
      </c>
      <c r="H105" s="3165">
        <v>0</v>
      </c>
      <c r="I105" s="3165">
        <v>0</v>
      </c>
      <c r="J105" s="3165">
        <v>0</v>
      </c>
      <c r="K105" s="3165">
        <v>0</v>
      </c>
      <c r="L105" s="3165">
        <v>0</v>
      </c>
      <c r="M105" s="3165">
        <v>0</v>
      </c>
      <c r="N105" s="3165">
        <v>0</v>
      </c>
      <c r="O105" s="3165">
        <v>282.12</v>
      </c>
      <c r="P105" s="3165">
        <v>92.12</v>
      </c>
      <c r="Q105" s="3165">
        <v>190</v>
      </c>
    </row>
    <row r="106" spans="1:17" ht="14.25" thickBot="1">
      <c r="A106" s="3372"/>
      <c r="B106" s="3381"/>
      <c r="C106" s="3381"/>
      <c r="D106" s="3373"/>
      <c r="E106" s="3165" t="s">
        <v>3117</v>
      </c>
      <c r="F106" s="3372"/>
      <c r="G106" s="3165">
        <v>16077.25</v>
      </c>
      <c r="H106" s="3165">
        <v>15029.24</v>
      </c>
      <c r="I106" s="3165">
        <v>0</v>
      </c>
      <c r="J106" s="3165">
        <v>0</v>
      </c>
      <c r="K106" s="3165">
        <v>0</v>
      </c>
      <c r="L106" s="3165">
        <v>0</v>
      </c>
      <c r="M106" s="3165">
        <v>0</v>
      </c>
      <c r="N106" s="3165">
        <v>15029.24</v>
      </c>
      <c r="O106" s="3165">
        <v>1048.01</v>
      </c>
      <c r="P106" s="3165">
        <v>800.11</v>
      </c>
      <c r="Q106" s="3165">
        <v>247.9</v>
      </c>
    </row>
    <row r="107" spans="1:17" s="3167" customFormat="1" ht="14.25" thickBot="1">
      <c r="A107" s="3373"/>
      <c r="B107" s="3374" t="s">
        <v>27</v>
      </c>
      <c r="C107" s="3375"/>
      <c r="D107" s="3375"/>
      <c r="E107" s="3376"/>
      <c r="F107" s="3373"/>
      <c r="G107" s="3166">
        <v>60146.96</v>
      </c>
      <c r="H107" s="3166">
        <v>58114.74</v>
      </c>
      <c r="I107" s="3166">
        <v>10449.16</v>
      </c>
      <c r="J107" s="3166">
        <v>22752.61</v>
      </c>
      <c r="K107" s="3166">
        <v>0</v>
      </c>
      <c r="L107" s="3166">
        <v>0</v>
      </c>
      <c r="M107" s="3166">
        <v>9883.73</v>
      </c>
      <c r="N107" s="3166">
        <v>15029.24</v>
      </c>
      <c r="O107" s="3166">
        <v>2032.22</v>
      </c>
      <c r="P107" s="3166">
        <v>1594.32</v>
      </c>
      <c r="Q107" s="3166">
        <v>437.9</v>
      </c>
    </row>
    <row r="108" spans="1:17" ht="14.25" thickBot="1">
      <c r="A108" s="3377" t="s">
        <v>24</v>
      </c>
      <c r="B108" s="3378"/>
      <c r="C108" s="3378"/>
      <c r="D108" s="3378"/>
      <c r="E108" s="3379"/>
      <c r="F108" s="3165">
        <v>128308.13</v>
      </c>
      <c r="G108" s="3165">
        <v>231754.91</v>
      </c>
      <c r="H108" s="3165">
        <v>220037.94</v>
      </c>
      <c r="I108" s="3165">
        <v>33656.78</v>
      </c>
      <c r="J108" s="3165">
        <v>78431.13</v>
      </c>
      <c r="K108" s="3165">
        <v>4065.56</v>
      </c>
      <c r="L108" s="3165">
        <v>9740.7800000000007</v>
      </c>
      <c r="M108" s="3165">
        <v>38546.54</v>
      </c>
      <c r="N108" s="3165">
        <v>55597.15</v>
      </c>
      <c r="O108" s="3165">
        <v>11716.97</v>
      </c>
      <c r="P108" s="3165">
        <v>9799.2199999999993</v>
      </c>
      <c r="Q108" s="3165">
        <v>1917.75</v>
      </c>
    </row>
  </sheetData>
  <mergeCells count="36">
    <mergeCell ref="A108:E108"/>
    <mergeCell ref="B1:E1"/>
    <mergeCell ref="A86:A107"/>
    <mergeCell ref="B86:B106"/>
    <mergeCell ref="C86:C106"/>
    <mergeCell ref="D86:D106"/>
    <mergeCell ref="A15:A47"/>
    <mergeCell ref="B15:B46"/>
    <mergeCell ref="C15:C46"/>
    <mergeCell ref="D15:D46"/>
    <mergeCell ref="A7:A14"/>
    <mergeCell ref="A4:A6"/>
    <mergeCell ref="F86:F107"/>
    <mergeCell ref="B107:E107"/>
    <mergeCell ref="A48:A85"/>
    <mergeCell ref="B48:B84"/>
    <mergeCell ref="C48:C84"/>
    <mergeCell ref="D48:D84"/>
    <mergeCell ref="F48:F85"/>
    <mergeCell ref="B85:E85"/>
    <mergeCell ref="F15:F47"/>
    <mergeCell ref="B47:E47"/>
    <mergeCell ref="G4:Q4"/>
    <mergeCell ref="G5:G6"/>
    <mergeCell ref="H5:N5"/>
    <mergeCell ref="O5:Q5"/>
    <mergeCell ref="B7:B13"/>
    <mergeCell ref="C7:C13"/>
    <mergeCell ref="D7:D13"/>
    <mergeCell ref="F7:F14"/>
    <mergeCell ref="B14:E14"/>
    <mergeCell ref="B4:B6"/>
    <mergeCell ref="C4:C6"/>
    <mergeCell ref="D4:D6"/>
    <mergeCell ref="E4:E6"/>
    <mergeCell ref="F4:F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9" sqref="J9"/>
    </sheetView>
  </sheetViews>
  <sheetFormatPr defaultRowHeight="13.5"/>
  <sheetData>
    <row r="1" spans="1:10">
      <c r="F1" s="3177" t="s">
        <v>3169</v>
      </c>
      <c r="G1" s="3128" t="s">
        <v>3165</v>
      </c>
      <c r="H1" s="3175" t="s">
        <v>3154</v>
      </c>
      <c r="J1" s="3128" t="s">
        <v>3162</v>
      </c>
    </row>
    <row r="2" spans="1:10">
      <c r="E2" s="3128" t="s">
        <v>3156</v>
      </c>
      <c r="F2" s="3178"/>
      <c r="G2" s="3128" t="s">
        <v>3166</v>
      </c>
      <c r="H2" s="3175" t="s">
        <v>3160</v>
      </c>
      <c r="I2" s="3128" t="s">
        <v>3153</v>
      </c>
    </row>
    <row r="3" spans="1:10">
      <c r="A3" s="3128" t="s">
        <v>3158</v>
      </c>
      <c r="B3">
        <v>1</v>
      </c>
      <c r="D3" s="3128" t="s">
        <v>3159</v>
      </c>
      <c r="E3">
        <f t="shared" ref="E3:E9" si="0">SUM(F3:J3)</f>
        <v>2093.88</v>
      </c>
      <c r="F3" s="3178">
        <v>2022.76</v>
      </c>
      <c r="H3" s="3176">
        <v>71.12</v>
      </c>
    </row>
    <row r="4" spans="1:10">
      <c r="A4" s="3128" t="s">
        <v>3158</v>
      </c>
      <c r="B4">
        <v>2</v>
      </c>
      <c r="D4" s="3128" t="s">
        <v>3168</v>
      </c>
      <c r="E4">
        <f t="shared" si="0"/>
        <v>1990.79</v>
      </c>
      <c r="F4" s="3178">
        <v>1950.79</v>
      </c>
      <c r="H4" s="3176">
        <v>40</v>
      </c>
    </row>
    <row r="5" spans="1:10">
      <c r="B5">
        <v>3</v>
      </c>
      <c r="D5" s="3128" t="s">
        <v>3168</v>
      </c>
      <c r="E5">
        <f t="shared" si="0"/>
        <v>1885.51</v>
      </c>
      <c r="F5" s="3178">
        <v>1885.51</v>
      </c>
      <c r="H5" s="3176"/>
    </row>
    <row r="6" spans="1:10">
      <c r="B6">
        <v>4</v>
      </c>
      <c r="D6" s="3128" t="s">
        <v>3168</v>
      </c>
      <c r="E6">
        <f t="shared" si="0"/>
        <v>1990.79</v>
      </c>
      <c r="F6" s="3178">
        <v>1990.79</v>
      </c>
      <c r="H6" s="3176"/>
    </row>
    <row r="7" spans="1:10">
      <c r="B7">
        <v>5</v>
      </c>
      <c r="D7" s="3128" t="s">
        <v>3168</v>
      </c>
      <c r="E7">
        <f t="shared" si="0"/>
        <v>1890.93</v>
      </c>
      <c r="F7" s="3178">
        <v>1890.93</v>
      </c>
      <c r="H7" s="3176"/>
    </row>
    <row r="8" spans="1:10">
      <c r="D8" s="3128" t="s">
        <v>3170</v>
      </c>
      <c r="E8">
        <f t="shared" si="0"/>
        <v>3306.66</v>
      </c>
      <c r="F8" s="3178"/>
      <c r="H8" s="3176"/>
      <c r="I8">
        <v>3306.66</v>
      </c>
    </row>
    <row r="9" spans="1:10">
      <c r="B9">
        <v>1</v>
      </c>
      <c r="D9" s="3128" t="s">
        <v>3164</v>
      </c>
      <c r="E9">
        <f t="shared" si="0"/>
        <v>6008.380000000001</v>
      </c>
      <c r="F9" s="3178"/>
      <c r="G9">
        <v>861.16</v>
      </c>
      <c r="H9" s="3176"/>
      <c r="I9">
        <v>601.61</v>
      </c>
      <c r="J9">
        <f>64.1+4481.51</f>
        <v>4545.6100000000006</v>
      </c>
    </row>
    <row r="10" spans="1:10">
      <c r="E10">
        <f t="shared" ref="E10:J10" si="1">SUM(E3:E9)</f>
        <v>19166.940000000002</v>
      </c>
      <c r="F10">
        <f t="shared" si="1"/>
        <v>9740.7800000000007</v>
      </c>
      <c r="G10">
        <f t="shared" si="1"/>
        <v>861.16</v>
      </c>
      <c r="H10">
        <f t="shared" si="1"/>
        <v>111.12</v>
      </c>
      <c r="I10">
        <f t="shared" si="1"/>
        <v>3908.27</v>
      </c>
      <c r="J10">
        <f t="shared" si="1"/>
        <v>4545.6100000000006</v>
      </c>
    </row>
    <row r="11" spans="1:10">
      <c r="E11">
        <f>E10-J9</f>
        <v>14621.330000000002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topLeftCell="D1" zoomScaleNormal="70" zoomScaleSheetLayoutView="100" workbookViewId="0">
      <selection activeCell="P42" sqref="P42"/>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92" t="s">
        <v>203</v>
      </c>
      <c r="B2" s="3392"/>
      <c r="C2" s="3392"/>
      <c r="D2" s="1886" t="s">
        <v>204</v>
      </c>
      <c r="E2" s="106" t="s">
        <v>205</v>
      </c>
      <c r="F2" s="2964"/>
      <c r="G2" s="1180"/>
      <c r="H2" s="1181"/>
      <c r="I2" s="1182" t="s">
        <v>849</v>
      </c>
      <c r="J2" s="2964"/>
      <c r="K2" s="2964"/>
      <c r="L2" s="2964"/>
      <c r="M2" s="2964"/>
      <c r="N2" s="2964"/>
      <c r="O2" s="2964"/>
      <c r="P2" s="2964"/>
    </row>
    <row r="3" spans="1:16" ht="15.75" thickBot="1">
      <c r="A3" s="3393" t="s">
        <v>206</v>
      </c>
      <c r="B3" s="3393"/>
      <c r="C3" s="3393"/>
      <c r="D3" s="107">
        <f>'数据-基础表'!AY6</f>
        <v>9817.3700000000008</v>
      </c>
      <c r="E3" s="107">
        <f>'数据-基础表'!AZ5</f>
        <v>14621.33</v>
      </c>
      <c r="F3" s="2964"/>
      <c r="G3" s="277" t="s">
        <v>850</v>
      </c>
      <c r="H3" s="272" t="s">
        <v>851</v>
      </c>
      <c r="I3" s="1887">
        <f>ROUND('数据-基础表'!B3/'数据-基础表'!A3,2)</f>
        <v>1.49</v>
      </c>
      <c r="J3" s="2964"/>
      <c r="K3" s="2964"/>
      <c r="L3" s="2964"/>
      <c r="M3" s="2964"/>
      <c r="N3" s="2964"/>
      <c r="O3" s="2964"/>
      <c r="P3" s="2964"/>
    </row>
    <row r="4" spans="1:16" ht="15">
      <c r="A4" s="3394"/>
      <c r="B4" s="3395"/>
      <c r="C4" s="3396"/>
      <c r="D4" s="108" t="s">
        <v>204</v>
      </c>
      <c r="E4" s="109" t="s">
        <v>205</v>
      </c>
      <c r="F4" s="2964"/>
      <c r="G4" s="1183"/>
      <c r="H4" s="272" t="s">
        <v>852</v>
      </c>
      <c r="I4" s="1887">
        <f>ROUND(SUMIF('数据-基础表'!I9:AS9,"地上",'数据-基础表'!I5:AS5)/'数据-基础表'!A3,2)</f>
        <v>0.99</v>
      </c>
      <c r="J4" s="2964"/>
      <c r="K4" s="2964"/>
      <c r="L4" s="2964"/>
      <c r="M4" s="2964"/>
      <c r="N4" s="2964"/>
      <c r="O4" s="2964"/>
      <c r="P4" s="2964"/>
    </row>
    <row r="5" spans="1:16">
      <c r="A5" s="110" t="s">
        <v>207</v>
      </c>
      <c r="B5" s="3397" t="s">
        <v>230</v>
      </c>
      <c r="C5" s="3397"/>
      <c r="D5" s="111">
        <f>ROUND($D$3*E5/$E$3,2)</f>
        <v>0</v>
      </c>
      <c r="E5" s="112">
        <f>SUMIF('数据-基础表'!$11:$11,"住宅",'数据-基础表'!$5:$5)</f>
        <v>0</v>
      </c>
      <c r="F5" s="2964"/>
      <c r="G5" s="277" t="s">
        <v>853</v>
      </c>
      <c r="H5" s="272" t="s">
        <v>851</v>
      </c>
      <c r="I5" s="1887">
        <f>ROUND(E31/D31,2)</f>
        <v>1.49</v>
      </c>
      <c r="J5" s="2964"/>
      <c r="K5" s="2964"/>
      <c r="L5" s="2964"/>
      <c r="M5" s="2964"/>
      <c r="N5" s="2964"/>
      <c r="O5" s="2964"/>
      <c r="P5" s="2964"/>
    </row>
    <row r="6" spans="1:16" ht="15" thickBot="1">
      <c r="A6" s="113"/>
      <c r="B6" s="3397" t="s">
        <v>208</v>
      </c>
      <c r="C6" s="3397"/>
      <c r="D6" s="111">
        <f>ROUND($D$3*E6/$E$3,2)</f>
        <v>9817.3700000000008</v>
      </c>
      <c r="E6" s="112">
        <f>E3-E5</f>
        <v>14621.33</v>
      </c>
      <c r="F6" s="2964"/>
      <c r="G6" s="1183"/>
      <c r="H6" s="272" t="s">
        <v>852</v>
      </c>
      <c r="I6" s="1887">
        <f>ROUND(F31/D31,2)</f>
        <v>0.99</v>
      </c>
      <c r="J6" s="2964"/>
      <c r="K6" s="2964"/>
      <c r="L6" s="2964"/>
      <c r="M6" s="2964"/>
      <c r="N6" s="2964"/>
      <c r="O6" s="2964"/>
      <c r="P6" s="2964"/>
    </row>
    <row r="7" spans="1:16" ht="15">
      <c r="A7" s="3389"/>
      <c r="B7" s="3390"/>
      <c r="C7" s="3391"/>
      <c r="D7" s="108" t="s">
        <v>204</v>
      </c>
      <c r="E7" s="114" t="s">
        <v>231</v>
      </c>
      <c r="F7" s="2964"/>
      <c r="G7" s="1138" t="s">
        <v>1636</v>
      </c>
      <c r="H7" s="1139"/>
      <c r="I7" s="3181">
        <f>ROUND((F31+64.1)/D3,2)</f>
        <v>1</v>
      </c>
      <c r="J7" s="2964"/>
      <c r="K7" s="2964"/>
      <c r="L7" s="2964"/>
      <c r="M7" s="2964"/>
      <c r="N7" s="2964"/>
      <c r="O7" s="2964"/>
      <c r="P7" s="2964"/>
    </row>
    <row r="8" spans="1:16">
      <c r="A8" s="110" t="s">
        <v>209</v>
      </c>
      <c r="B8" s="115" t="s">
        <v>210</v>
      </c>
      <c r="C8" s="111" t="s">
        <v>211</v>
      </c>
      <c r="D8" s="111">
        <f t="shared" ref="D8:D15" si="0">ROUND($D$3*E8/$E$3,2)</f>
        <v>6540.37</v>
      </c>
      <c r="E8" s="116">
        <f>SUMIF('数据-基础表'!BB10:BK10,"地上",'数据-基础表'!BB5:BK5)</f>
        <v>9740.7800000000007</v>
      </c>
      <c r="F8" s="2964"/>
      <c r="G8" s="2965"/>
      <c r="H8" s="2965"/>
      <c r="I8" s="2964"/>
      <c r="J8" s="2964"/>
      <c r="K8" s="2964"/>
      <c r="L8" s="2964"/>
      <c r="M8" s="2964"/>
      <c r="N8" s="2964"/>
      <c r="O8" s="2964"/>
      <c r="P8" s="2964"/>
    </row>
    <row r="9" spans="1:16">
      <c r="A9" s="117"/>
      <c r="B9" s="118"/>
      <c r="C9" s="111" t="s">
        <v>212</v>
      </c>
      <c r="D9" s="111">
        <f t="shared" si="0"/>
        <v>0</v>
      </c>
      <c r="E9" s="119">
        <v>0</v>
      </c>
      <c r="F9" s="2964"/>
      <c r="G9" s="2965"/>
      <c r="H9" s="2965"/>
      <c r="I9" s="2964"/>
      <c r="J9" s="2964"/>
      <c r="K9" s="2964"/>
      <c r="L9" s="2964"/>
      <c r="M9" s="2964"/>
      <c r="N9" s="2964"/>
      <c r="O9" s="2964"/>
      <c r="P9" s="2964"/>
    </row>
    <row r="10" spans="1:16">
      <c r="A10" s="117"/>
      <c r="B10" s="118"/>
      <c r="C10" s="111" t="s">
        <v>213</v>
      </c>
      <c r="D10" s="111">
        <f t="shared" si="0"/>
        <v>0</v>
      </c>
      <c r="E10" s="116">
        <f>SUMPRODUCT(('数据-基础表'!BB10:BK10="地下")*('数据-基础表'!BB11:BK11="商业")*('数据-基础表'!BB5:BK5))</f>
        <v>0</v>
      </c>
      <c r="F10" s="2964"/>
      <c r="G10" s="2965"/>
      <c r="H10" s="2965"/>
      <c r="I10" s="2964"/>
      <c r="J10" s="2964"/>
      <c r="K10" s="2964"/>
      <c r="L10" s="2964"/>
      <c r="M10" s="2964"/>
      <c r="N10" s="2964"/>
      <c r="O10" s="2964"/>
      <c r="P10" s="2964"/>
    </row>
    <row r="11" spans="1:16">
      <c r="A11" s="117"/>
      <c r="B11" s="118"/>
      <c r="C11" s="2208" t="s">
        <v>2312</v>
      </c>
      <c r="D11" s="111">
        <f t="shared" si="0"/>
        <v>0</v>
      </c>
      <c r="E11" s="116">
        <f>SUMPRODUCT(('数据-基础表'!BB10:BK10="地下")*('数据-基础表'!BB11:BK11="办公")*('数据-基础表'!BB5:BK5))+'数据-基础表'!AJ5</f>
        <v>0</v>
      </c>
      <c r="F11" s="2964"/>
      <c r="G11" s="2965"/>
      <c r="H11" s="2965"/>
      <c r="I11" s="2964"/>
      <c r="J11" s="2964"/>
      <c r="K11" s="2964"/>
      <c r="L11" s="2964"/>
      <c r="M11" s="2964"/>
      <c r="N11" s="2964"/>
      <c r="O11" s="2964"/>
      <c r="P11" s="2964"/>
    </row>
    <row r="12" spans="1:16">
      <c r="A12" s="117"/>
      <c r="B12" s="118"/>
      <c r="C12" s="111" t="s">
        <v>214</v>
      </c>
      <c r="D12" s="111">
        <f t="shared" si="0"/>
        <v>0</v>
      </c>
      <c r="E12" s="116">
        <f>SUMPRODUCT(('数据-基础表'!BB10:BK10="地下")*('数据-基础表'!BB11:BK11="仓储")*('数据-基础表'!BB5:BK5))</f>
        <v>0</v>
      </c>
      <c r="F12" s="2964"/>
      <c r="G12" s="2965"/>
      <c r="H12" s="2965"/>
      <c r="I12" s="2964"/>
      <c r="J12" s="2964"/>
      <c r="K12" s="2964"/>
      <c r="L12" s="2964"/>
      <c r="M12" s="2964"/>
      <c r="N12" s="2964"/>
      <c r="O12" s="2964"/>
      <c r="P12" s="2964"/>
    </row>
    <row r="13" spans="1:16">
      <c r="A13" s="117"/>
      <c r="B13" s="118"/>
      <c r="C13" s="2208" t="s">
        <v>2319</v>
      </c>
      <c r="D13" s="111">
        <f t="shared" si="0"/>
        <v>578.22</v>
      </c>
      <c r="E13" s="116">
        <f>SUMPRODUCT(('数据-基础表'!BB10:BK10="地下")*('数据-基础表'!BB11:BK11="车库")*('数据-基础表'!BB5:BK5))</f>
        <v>861.16</v>
      </c>
      <c r="F13" s="2964"/>
      <c r="G13" s="2965"/>
      <c r="H13" s="2965"/>
      <c r="I13" s="2964"/>
      <c r="J13" s="2964"/>
      <c r="K13" s="2964"/>
      <c r="L13" s="2964"/>
      <c r="M13" s="2964"/>
      <c r="N13" s="2964"/>
      <c r="O13" s="2964"/>
      <c r="P13" s="2964"/>
    </row>
    <row r="14" spans="1:16">
      <c r="A14" s="117"/>
      <c r="B14" s="118"/>
      <c r="C14" s="111" t="s">
        <v>232</v>
      </c>
      <c r="D14" s="111">
        <f t="shared" si="0"/>
        <v>0</v>
      </c>
      <c r="E14" s="116">
        <f>SUMPRODUCT(('数据-基础表'!BB10:BK10="地下")*('数据-基础表'!BB11:BK11="车库—商业")*('数据-基础表'!BB5:BK5))</f>
        <v>0</v>
      </c>
      <c r="F14" s="2964"/>
      <c r="G14" s="2965"/>
      <c r="H14" s="2965"/>
      <c r="I14" s="2964"/>
      <c r="J14" s="2964"/>
      <c r="K14" s="2964"/>
      <c r="L14" s="2964"/>
      <c r="M14" s="2964"/>
      <c r="N14" s="2964"/>
      <c r="O14" s="2964"/>
      <c r="P14" s="2964"/>
    </row>
    <row r="15" spans="1:16" ht="15" thickBot="1">
      <c r="A15" s="117"/>
      <c r="B15" s="118"/>
      <c r="C15" s="111" t="s">
        <v>233</v>
      </c>
      <c r="D15" s="111">
        <f t="shared" si="0"/>
        <v>0</v>
      </c>
      <c r="E15" s="116">
        <f>SUMPRODUCT(('数据-基础表'!BB10:BK10="地下")*('数据-基础表'!BB11:BK11="车库—办公")*('数据-基础表'!BB5:BK5))</f>
        <v>0</v>
      </c>
      <c r="F15" s="2964"/>
      <c r="G15" s="2965"/>
      <c r="H15" s="2965"/>
      <c r="I15" s="2964"/>
      <c r="J15" s="2964"/>
      <c r="K15" s="2964"/>
      <c r="L15" s="2964"/>
      <c r="M15" s="2964"/>
      <c r="N15" s="2964"/>
      <c r="O15" s="2964"/>
      <c r="P15" s="2964"/>
    </row>
    <row r="16" spans="1:16" ht="15.75" thickBot="1">
      <c r="A16" s="113"/>
      <c r="B16" s="118"/>
      <c r="C16" s="115" t="s">
        <v>215</v>
      </c>
      <c r="D16" s="115">
        <f>SUM(D8:D15)</f>
        <v>7118.59</v>
      </c>
      <c r="E16" s="120">
        <f>SUM(E8:E15)</f>
        <v>10601.94</v>
      </c>
      <c r="F16" s="2964"/>
      <c r="G16" s="2965"/>
      <c r="H16" s="955" t="s">
        <v>219</v>
      </c>
      <c r="I16" s="956"/>
      <c r="J16" s="1895"/>
      <c r="K16" s="3383" t="s">
        <v>2545</v>
      </c>
      <c r="L16" s="3384"/>
      <c r="M16" s="3384"/>
      <c r="N16" s="3384"/>
      <c r="O16" s="3384"/>
      <c r="P16" s="3385"/>
    </row>
    <row r="17" spans="1:19" ht="15">
      <c r="A17" s="121" t="s">
        <v>216</v>
      </c>
      <c r="B17" s="122" t="s">
        <v>217</v>
      </c>
      <c r="C17" s="2175" t="s">
        <v>2298</v>
      </c>
      <c r="D17" s="108" t="s">
        <v>204</v>
      </c>
      <c r="E17" s="124" t="s">
        <v>205</v>
      </c>
      <c r="F17" s="125"/>
      <c r="G17" s="1318"/>
      <c r="H17" s="957" t="s">
        <v>218</v>
      </c>
      <c r="I17" s="958" t="s">
        <v>2297</v>
      </c>
      <c r="J17" s="1895"/>
      <c r="K17" s="3386" t="s">
        <v>2546</v>
      </c>
      <c r="L17" s="3387"/>
      <c r="M17" s="3388"/>
      <c r="N17" s="3386" t="s">
        <v>2547</v>
      </c>
      <c r="O17" s="3387"/>
      <c r="P17" s="3388"/>
      <c r="R17" s="2176" t="s">
        <v>2296</v>
      </c>
      <c r="S17" s="142"/>
    </row>
    <row r="18" spans="1:19" ht="15">
      <c r="A18" s="117"/>
      <c r="B18" s="128"/>
      <c r="C18" s="129"/>
      <c r="D18" s="2481"/>
      <c r="E18" s="130" t="s">
        <v>220</v>
      </c>
      <c r="F18" s="131" t="s">
        <v>221</v>
      </c>
      <c r="G18" s="1319" t="s">
        <v>222</v>
      </c>
      <c r="H18" s="959" t="s">
        <v>223</v>
      </c>
      <c r="I18" s="960" t="s">
        <v>224</v>
      </c>
      <c r="J18" s="1895"/>
      <c r="K18" s="2446" t="s">
        <v>2548</v>
      </c>
      <c r="L18" s="2447" t="s">
        <v>2549</v>
      </c>
      <c r="M18" s="2448" t="s">
        <v>2550</v>
      </c>
      <c r="N18" s="2446" t="s">
        <v>2548</v>
      </c>
      <c r="O18" s="2447" t="s">
        <v>2549</v>
      </c>
      <c r="P18" s="2448" t="s">
        <v>2550</v>
      </c>
      <c r="R18" s="2177" t="s">
        <v>2294</v>
      </c>
      <c r="S18" s="2177" t="s">
        <v>2295</v>
      </c>
    </row>
    <row r="19" spans="1:19">
      <c r="A19" s="133"/>
      <c r="B19" s="115" t="s">
        <v>225</v>
      </c>
      <c r="C19" s="2735" t="s">
        <v>3121</v>
      </c>
      <c r="D19" s="111">
        <f t="shared" ref="D19:D26" si="1">ROUND($D$3*E19/$E$3,2)</f>
        <v>6540.37</v>
      </c>
      <c r="E19" s="134">
        <f t="shared" ref="E19:E26" si="2">SUM(F19:G19)</f>
        <v>9740.7800000000007</v>
      </c>
      <c r="F19" s="2966">
        <f>'数据-基础表'!I5</f>
        <v>9740.7800000000007</v>
      </c>
      <c r="G19" s="2967"/>
      <c r="H19" s="961">
        <f>ROUND($D$3*I19/$E$3,2)</f>
        <v>2479.5700000000002</v>
      </c>
      <c r="I19" s="116">
        <f>IF($I$17="自定义",P19,M19)</f>
        <v>3692.91</v>
      </c>
      <c r="J19" s="1895"/>
      <c r="K19" s="2449">
        <f t="shared" ref="K19:K26" si="3">ROUND(E$28*E19/E$27,2)</f>
        <v>3692.91</v>
      </c>
      <c r="L19" s="272">
        <f t="shared" ref="L19:L26" si="4">ROUND(IF(COUNTIF(C19,"*住宅*")&gt;0,E$29*E19/E$32,0),2)</f>
        <v>0</v>
      </c>
      <c r="M19" s="2450">
        <f>K19+L19</f>
        <v>3692.91</v>
      </c>
      <c r="N19" s="2451"/>
      <c r="O19" s="2452"/>
      <c r="P19" s="2453">
        <f>N19+O19</f>
        <v>0</v>
      </c>
      <c r="R19" s="272">
        <f t="shared" ref="R19:S26" si="5">D19+H19</f>
        <v>9019.94</v>
      </c>
      <c r="S19" s="2178">
        <f t="shared" si="5"/>
        <v>13433.69</v>
      </c>
    </row>
    <row r="20" spans="1:19">
      <c r="A20" s="137"/>
      <c r="B20" s="115" t="s">
        <v>226</v>
      </c>
      <c r="C20" s="2735" t="s">
        <v>3122</v>
      </c>
      <c r="D20" s="111">
        <f t="shared" si="1"/>
        <v>578.22</v>
      </c>
      <c r="E20" s="134">
        <f t="shared" si="2"/>
        <v>861.16</v>
      </c>
      <c r="F20" s="2966"/>
      <c r="G20" s="2967">
        <f>'数据-基础表'!K5</f>
        <v>861.16</v>
      </c>
      <c r="H20" s="961">
        <f t="shared" ref="H20:H26" si="6">ROUND($D$3*I20/$E$3,2)</f>
        <v>219.21</v>
      </c>
      <c r="I20" s="116">
        <f t="shared" ref="I20:I26" si="7">IF($I$17="自定义",P20,M20)</f>
        <v>326.48</v>
      </c>
      <c r="J20" s="1895"/>
      <c r="K20" s="2449">
        <f t="shared" si="3"/>
        <v>326.48</v>
      </c>
      <c r="L20" s="272">
        <f t="shared" si="4"/>
        <v>0</v>
      </c>
      <c r="M20" s="2450">
        <f t="shared" ref="M20:M26" si="8">K20+L20</f>
        <v>326.48</v>
      </c>
      <c r="N20" s="2451"/>
      <c r="O20" s="2452"/>
      <c r="P20" s="2453">
        <f t="shared" ref="P20:P26" si="9">N20+O20</f>
        <v>0</v>
      </c>
      <c r="R20" s="272">
        <f t="shared" si="5"/>
        <v>797.43000000000006</v>
      </c>
      <c r="S20" s="2178">
        <f t="shared" si="5"/>
        <v>1187.6399999999999</v>
      </c>
    </row>
    <row r="21" spans="1:19">
      <c r="A21" s="137"/>
      <c r="B21" s="115" t="s">
        <v>226</v>
      </c>
      <c r="C21" s="2735"/>
      <c r="D21" s="111">
        <f t="shared" si="1"/>
        <v>0</v>
      </c>
      <c r="E21" s="134">
        <f t="shared" si="2"/>
        <v>0</v>
      </c>
      <c r="F21" s="2966"/>
      <c r="G21" s="2967"/>
      <c r="H21" s="961">
        <f t="shared" si="6"/>
        <v>0</v>
      </c>
      <c r="I21" s="116">
        <f t="shared" si="7"/>
        <v>0</v>
      </c>
      <c r="J21" s="1895"/>
      <c r="K21" s="2449">
        <f t="shared" si="3"/>
        <v>0</v>
      </c>
      <c r="L21" s="272">
        <f t="shared" si="4"/>
        <v>0</v>
      </c>
      <c r="M21" s="2450">
        <f t="shared" si="8"/>
        <v>0</v>
      </c>
      <c r="N21" s="2451"/>
      <c r="O21" s="2452"/>
      <c r="P21" s="2453">
        <f t="shared" si="9"/>
        <v>0</v>
      </c>
      <c r="R21" s="272">
        <f t="shared" si="5"/>
        <v>0</v>
      </c>
      <c r="S21" s="2178">
        <f t="shared" si="5"/>
        <v>0</v>
      </c>
    </row>
    <row r="22" spans="1:19">
      <c r="A22" s="137"/>
      <c r="B22" s="115" t="s">
        <v>226</v>
      </c>
      <c r="C22" s="1317"/>
      <c r="D22" s="111">
        <f t="shared" si="1"/>
        <v>0</v>
      </c>
      <c r="E22" s="134">
        <f t="shared" si="2"/>
        <v>0</v>
      </c>
      <c r="F22" s="2968"/>
      <c r="G22" s="2969"/>
      <c r="H22" s="961">
        <f t="shared" si="6"/>
        <v>0</v>
      </c>
      <c r="I22" s="116">
        <f t="shared" si="7"/>
        <v>0</v>
      </c>
      <c r="J22" s="1895"/>
      <c r="K22" s="2449">
        <f t="shared" si="3"/>
        <v>0</v>
      </c>
      <c r="L22" s="272">
        <f t="shared" si="4"/>
        <v>0</v>
      </c>
      <c r="M22" s="2450">
        <f t="shared" si="8"/>
        <v>0</v>
      </c>
      <c r="N22" s="2451"/>
      <c r="O22" s="2452"/>
      <c r="P22" s="2453">
        <f t="shared" si="9"/>
        <v>0</v>
      </c>
      <c r="R22" s="272">
        <f t="shared" si="5"/>
        <v>0</v>
      </c>
      <c r="S22" s="2178">
        <f t="shared" si="5"/>
        <v>0</v>
      </c>
    </row>
    <row r="23" spans="1:19">
      <c r="A23" s="137"/>
      <c r="B23" s="115" t="s">
        <v>226</v>
      </c>
      <c r="C23" s="138"/>
      <c r="D23" s="111">
        <f>ROUND($D$3*E23/$E$3,2)</f>
        <v>0</v>
      </c>
      <c r="E23" s="134">
        <f>SUM(F23:G23)</f>
        <v>0</v>
      </c>
      <c r="F23" s="2968"/>
      <c r="G23" s="2969"/>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2968"/>
      <c r="G24" s="2969"/>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2968"/>
      <c r="G25" s="2969"/>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2968"/>
      <c r="G26" s="2969"/>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7118.59</v>
      </c>
      <c r="E27" s="141">
        <f>IF(SUM(E19:E26)='数据-基础表'!BA5,SUM(E19:E26),IF(F27="地上面积有误","面积有误","地下面积有误"))</f>
        <v>10601.94</v>
      </c>
      <c r="F27" s="134">
        <f>IF(SUM(F19:F26)=E8,SUM(F19:F26),"地上面积有误")</f>
        <v>9740.7800000000007</v>
      </c>
      <c r="G27" s="112">
        <f>SUM(G19:G26)</f>
        <v>861.16</v>
      </c>
      <c r="H27" s="962">
        <f>SUM(H19:H26)</f>
        <v>2698.78</v>
      </c>
      <c r="I27" s="963">
        <f>SUM(I19:I26)</f>
        <v>4019.39</v>
      </c>
      <c r="J27" s="1895"/>
      <c r="K27" s="2458">
        <f>SUM(K19:K26)</f>
        <v>4019.39</v>
      </c>
      <c r="L27" s="2459">
        <f>SUM(L19:L26)</f>
        <v>0</v>
      </c>
      <c r="M27" s="2460">
        <f>SUM(M19:M26)</f>
        <v>4019.39</v>
      </c>
      <c r="N27" s="2458">
        <f t="shared" ref="N27:O27" si="10">SUM(N19:N26)</f>
        <v>0</v>
      </c>
      <c r="O27" s="2459">
        <f t="shared" si="10"/>
        <v>0</v>
      </c>
      <c r="P27" s="2461">
        <f>SUM(P19:P26)</f>
        <v>0</v>
      </c>
      <c r="R27" s="2182">
        <f>IF(SUM(R19:R26)=$D$3,SUM(R19:R26),SUM(R19:R26)&amp;"误差"&amp;ROUND(SUM(R19:R26)-$D$3,2))</f>
        <v>9817.3700000000008</v>
      </c>
      <c r="S27" s="272">
        <f>IF(SUM(S19:S26)=$E$3,SUM(S19:S26),SUM(S19:S26)&amp;"误差"&amp;ROUND(SUM(S19:S26)-E3,2))</f>
        <v>14621.33</v>
      </c>
    </row>
    <row r="28" spans="1:19">
      <c r="A28" s="137"/>
      <c r="B28" s="115" t="s">
        <v>227</v>
      </c>
      <c r="C28" s="135" t="s">
        <v>228</v>
      </c>
      <c r="D28" s="111">
        <f>ROUND($D$3*E28/$E$3,2)</f>
        <v>2698.79</v>
      </c>
      <c r="E28" s="134">
        <f>SUM(F28:G28)</f>
        <v>4019.39</v>
      </c>
      <c r="F28" s="142">
        <f>'数据-基础表'!BQ5+'数据-基础表'!BS5</f>
        <v>0</v>
      </c>
      <c r="G28" s="143">
        <f>'数据-基础表'!BR5+'数据-基础表'!BT5</f>
        <v>4019.39</v>
      </c>
      <c r="H28" s="2964"/>
      <c r="I28" s="2964"/>
      <c r="J28" s="2964"/>
      <c r="K28" s="2964"/>
      <c r="L28" s="2964"/>
      <c r="M28" s="2964"/>
      <c r="N28" s="2964"/>
      <c r="O28" s="2964"/>
      <c r="P28" s="2964"/>
    </row>
    <row r="29" spans="1:19">
      <c r="A29" s="137"/>
      <c r="B29" s="115" t="s">
        <v>227</v>
      </c>
      <c r="C29" s="2190" t="s">
        <v>2305</v>
      </c>
      <c r="D29" s="111">
        <f>ROUND($D$3*E29/$E$3,2)</f>
        <v>0</v>
      </c>
      <c r="E29" s="134">
        <f>SUM(F29:G29)</f>
        <v>0</v>
      </c>
      <c r="F29" s="142">
        <f>'数据-基础表'!BM5+'数据-基础表'!BO5</f>
        <v>0</v>
      </c>
      <c r="G29" s="144">
        <f>'数据-基础表'!BN5+'数据-基础表'!BP5</f>
        <v>0</v>
      </c>
      <c r="H29" s="2964"/>
      <c r="I29" s="2964"/>
      <c r="J29" s="2964"/>
      <c r="K29" s="2964"/>
      <c r="L29" s="2964"/>
      <c r="M29" s="2964"/>
      <c r="N29" s="2964"/>
      <c r="O29" s="2964"/>
      <c r="P29" s="2964"/>
    </row>
    <row r="30" spans="1:19">
      <c r="A30" s="137"/>
      <c r="B30" s="111"/>
      <c r="C30" s="145" t="s">
        <v>215</v>
      </c>
      <c r="D30" s="134">
        <f>SUM(D28:D29)</f>
        <v>2698.79</v>
      </c>
      <c r="E30" s="134">
        <f>SUM(E28:E29)</f>
        <v>4019.39</v>
      </c>
      <c r="F30" s="134">
        <f>SUM(F28:F29)</f>
        <v>0</v>
      </c>
      <c r="G30" s="112">
        <f>SUM(G28:G29)</f>
        <v>4019.39</v>
      </c>
      <c r="H30" s="2964"/>
      <c r="I30" s="2964"/>
      <c r="J30" s="2964"/>
      <c r="K30" s="2964"/>
      <c r="L30" s="2964"/>
      <c r="M30" s="2964"/>
      <c r="N30" s="2964"/>
      <c r="O30" s="2964"/>
      <c r="P30" s="2964"/>
    </row>
    <row r="31" spans="1:19" ht="32.25" customHeight="1" thickBot="1">
      <c r="A31" s="1320"/>
      <c r="B31" s="1321" t="s">
        <v>229</v>
      </c>
      <c r="C31" s="2207" t="s">
        <v>2307</v>
      </c>
      <c r="D31" s="1322">
        <f>D27+D30</f>
        <v>9817.380000000001</v>
      </c>
      <c r="E31" s="1322">
        <f>E27+E30</f>
        <v>14621.33</v>
      </c>
      <c r="F31" s="1323">
        <f>F27+F30</f>
        <v>9740.7800000000007</v>
      </c>
      <c r="G31" s="1324">
        <f>G27+G30</f>
        <v>4880.55</v>
      </c>
      <c r="H31" s="2964"/>
      <c r="I31" s="2964"/>
      <c r="J31" s="2964"/>
      <c r="K31" s="2964"/>
      <c r="L31" s="2964"/>
      <c r="M31" s="2964"/>
      <c r="N31" s="2964"/>
      <c r="O31" s="2964"/>
      <c r="P31" s="2964"/>
    </row>
    <row r="32" spans="1:19">
      <c r="A32" s="1895"/>
      <c r="B32" s="2219" t="s">
        <v>2306</v>
      </c>
      <c r="C32" s="2486"/>
      <c r="D32" s="1183"/>
      <c r="E32" s="1183">
        <f>SUMIF(C19:C26,"*住宅*",E19:E26)</f>
        <v>0</v>
      </c>
      <c r="F32" s="1183"/>
      <c r="G32" s="1183"/>
      <c r="H32" s="2964"/>
      <c r="I32" s="2964"/>
      <c r="J32" s="2964"/>
      <c r="K32" s="2964"/>
      <c r="L32" s="2964"/>
      <c r="M32" s="2964"/>
      <c r="N32" s="2964"/>
      <c r="O32" s="2964"/>
      <c r="P32" s="2964"/>
    </row>
    <row r="33" spans="4:9">
      <c r="D33" s="1897"/>
    </row>
    <row r="35" spans="4:9">
      <c r="E35" s="1896" t="e">
        <f>D3+#REF!+#REF!+'[1]数据-汇总表'!$D$3</f>
        <v>#REF!</v>
      </c>
      <c r="F35" s="1896" t="e">
        <f>E3+#REF!+#REF!+'[1]数据-汇总表'!$E$3</f>
        <v>#REF!</v>
      </c>
    </row>
    <row r="38" spans="4:9">
      <c r="G38" s="3182" t="s">
        <v>3176</v>
      </c>
      <c r="H38" s="3182" t="s">
        <v>3177</v>
      </c>
      <c r="I38" s="3182" t="s">
        <v>3178</v>
      </c>
    </row>
    <row r="39" spans="4:9">
      <c r="F39" s="3182" t="s">
        <v>3172</v>
      </c>
      <c r="G39" s="1896" t="e">
        <f>#REF!+#REF!+'[1]数据-汇总表'!$F$27</f>
        <v>#REF!</v>
      </c>
      <c r="H39" s="1896">
        <v>116167.1</v>
      </c>
      <c r="I39" s="1896">
        <v>9120</v>
      </c>
    </row>
    <row r="40" spans="4:9">
      <c r="F40" s="3182" t="s">
        <v>3173</v>
      </c>
      <c r="G40" s="1896">
        <f>F19</f>
        <v>9740.7800000000007</v>
      </c>
      <c r="H40" s="1896">
        <v>9789.7999999999993</v>
      </c>
      <c r="I40" s="1896">
        <f>I39</f>
        <v>9120</v>
      </c>
    </row>
    <row r="41" spans="4:9">
      <c r="F41" s="3182" t="s">
        <v>3174</v>
      </c>
      <c r="G41" s="1896" t="e">
        <f>#REF!+#REF!+#REF!+#REF!+#REF!+#REF!+#REF!+'[1]数据-汇总表'!$G$19+'[1]数据-汇总表'!$G$20</f>
        <v>#REF!</v>
      </c>
      <c r="H41" s="1896">
        <v>38546.54</v>
      </c>
      <c r="I41" s="1896">
        <f>I39*0.2*0.25</f>
        <v>456</v>
      </c>
    </row>
    <row r="42" spans="4:9">
      <c r="F42" s="3182" t="s">
        <v>3175</v>
      </c>
      <c r="G42" s="1896" t="e">
        <f>G20+#REF!+#REF!+#REF!+'[1]数据-汇总表'!$G$22</f>
        <v>#REF!</v>
      </c>
      <c r="H42" s="1896">
        <v>55597.15</v>
      </c>
      <c r="I42" s="1896">
        <f>I39*0.15*0.25</f>
        <v>342</v>
      </c>
    </row>
    <row r="44" spans="4:9">
      <c r="G44" s="1896" t="e">
        <f>G39*I39+G40*I40+G41*I41+G42*I42</f>
        <v>#REF!</v>
      </c>
      <c r="H44" s="1896">
        <f>H39*I39+H40*I40+H41*I41+H42*I42</f>
        <v>1185318375.54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M36" activePane="bottomRight" state="frozen"/>
      <selection activeCell="AI33" sqref="AI33"/>
      <selection pane="topRight" activeCell="AI33" sqref="AI33"/>
      <selection pane="bottomLeft" activeCell="AI33" sqref="AI33"/>
      <selection pane="bottomRight" activeCell="N43" sqref="N43"/>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5"/>
    <col min="42" max="42" width="13.75" style="1905" customWidth="1"/>
    <col min="43" max="83" width="13.75" style="1905"/>
    <col min="84" max="16384" width="13.75" style="1185"/>
  </cols>
  <sheetData>
    <row r="1" spans="1:83" ht="19.5" thickBot="1">
      <c r="A1" s="146" t="s">
        <v>234</v>
      </c>
      <c r="B1" s="1184"/>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971"/>
      <c r="AO1" s="2971"/>
      <c r="AP1" s="2971"/>
      <c r="AQ1" s="2971"/>
      <c r="AR1" s="2971"/>
      <c r="AS1" s="2971"/>
      <c r="AT1" s="2971"/>
      <c r="AU1" s="2971"/>
      <c r="AV1" s="2971"/>
      <c r="AW1" s="2971"/>
      <c r="AX1" s="2971"/>
      <c r="AY1" s="2971"/>
      <c r="AZ1" s="2971"/>
    </row>
    <row r="2" spans="1:83" s="1188" customFormat="1" ht="15.75" thickBot="1">
      <c r="A2" s="147" t="s">
        <v>235</v>
      </c>
      <c r="B2" s="2215">
        <f>项目基本情况!D3</f>
        <v>44266</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2974"/>
      <c r="AO2" s="2974"/>
      <c r="AP2" s="2974"/>
      <c r="AQ2" s="2974"/>
      <c r="AR2" s="2974"/>
      <c r="AS2" s="2974"/>
      <c r="AT2" s="2974"/>
      <c r="AU2" s="2974"/>
      <c r="AV2" s="2974"/>
      <c r="AW2" s="2974"/>
      <c r="AX2" s="2974"/>
      <c r="AY2" s="2974"/>
      <c r="AZ2" s="2974"/>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8" customFormat="1" ht="15" thickBot="1">
      <c r="A3" s="1189"/>
      <c r="B3" s="1186"/>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2974"/>
      <c r="AO3" s="2974"/>
      <c r="AP3" s="2974"/>
      <c r="AQ3" s="2974"/>
      <c r="AR3" s="2974"/>
      <c r="AS3" s="2974"/>
      <c r="AT3" s="2974"/>
      <c r="AU3" s="2974"/>
      <c r="AV3" s="2974"/>
      <c r="AW3" s="2974"/>
      <c r="AX3" s="2974"/>
      <c r="AY3" s="2974"/>
      <c r="AZ3" s="2974"/>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2974"/>
      <c r="AO4" s="2974"/>
      <c r="AP4" s="2974"/>
      <c r="AQ4" s="2974"/>
      <c r="AR4" s="2974"/>
      <c r="AS4" s="2974"/>
      <c r="AT4" s="2974"/>
      <c r="AU4" s="2974"/>
      <c r="AV4" s="2974"/>
      <c r="AW4" s="2974"/>
      <c r="AX4" s="2974"/>
      <c r="AY4" s="2974"/>
      <c r="AZ4" s="2974"/>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4" customFormat="1" ht="40.5">
      <c r="A5" s="2181"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2783</v>
      </c>
      <c r="O5" s="161" t="s">
        <v>246</v>
      </c>
      <c r="P5" s="163" t="s">
        <v>247</v>
      </c>
      <c r="Q5" s="164" t="s">
        <v>248</v>
      </c>
      <c r="R5" s="165" t="s">
        <v>249</v>
      </c>
      <c r="S5" s="2462" t="s">
        <v>2551</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2308</v>
      </c>
      <c r="AI5" s="169" t="s">
        <v>2277</v>
      </c>
      <c r="AJ5" s="169" t="s">
        <v>258</v>
      </c>
      <c r="AK5" s="157" t="s">
        <v>259</v>
      </c>
      <c r="AL5" s="157" t="s">
        <v>260</v>
      </c>
      <c r="AM5" s="170" t="s">
        <v>261</v>
      </c>
      <c r="AN5" s="2243" t="s">
        <v>2355</v>
      </c>
      <c r="AO5" s="2985"/>
      <c r="AP5" s="2970" t="s">
        <v>2942</v>
      </c>
      <c r="AQ5" s="2985"/>
      <c r="AR5" s="2985"/>
      <c r="AS5" s="2985"/>
      <c r="AT5" s="2985"/>
      <c r="AU5" s="2985"/>
      <c r="AV5" s="2985"/>
      <c r="AW5" s="2985"/>
      <c r="AX5" s="2985"/>
      <c r="AY5" s="2985"/>
      <c r="AZ5" s="2985"/>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8" customFormat="1" ht="14.25">
      <c r="A6" s="2179" t="str">
        <f>'数据-汇总表'!C19</f>
        <v>商业</v>
      </c>
      <c r="B6" s="2214" t="str">
        <f>IF(A6=0,"","经营性")</f>
        <v>经营性</v>
      </c>
      <c r="C6" s="171" t="s">
        <v>2982</v>
      </c>
      <c r="D6" s="2185">
        <f>SUMIF(项目基本情况!D$15:I$15,C6,项目基本情况!D$18:I$18)</f>
        <v>40</v>
      </c>
      <c r="E6" s="2186">
        <f>IF(B6="","",SUMIF(项目基本情况!D$15:I$15,C6,项目基本情况!D$17:I$17))</f>
        <v>58183</v>
      </c>
      <c r="F6" s="172">
        <f>SUMIF(项目基本情况!D$15:I$15,C6,项目基本情况!D$19:I$19)</f>
        <v>38.119999999999997</v>
      </c>
      <c r="G6" s="173">
        <f>IF(ISERROR(ROUND(POWER(1+H6,D6-F6)*(POWER(1+H6,F6)-1)/(POWER(1+H6,D6)-1),3)),0,ROUND(POWER(1+H6,D6-F6)*(POWER(1+H6,F6)-1)/(POWER(1+H6,D6)-1),3))</f>
        <v>0.98399999999999999</v>
      </c>
      <c r="H6" s="2736">
        <v>0.05</v>
      </c>
      <c r="I6" s="2736">
        <v>5.5E-2</v>
      </c>
      <c r="J6" s="174"/>
      <c r="K6" s="177">
        <f>SUMIF('数据-汇总表'!C$19:C$33,'数据-取费表'!A6,'数据-汇总表'!E$19:E$33)</f>
        <v>9740.7800000000007</v>
      </c>
      <c r="L6" s="2737">
        <v>2000</v>
      </c>
      <c r="M6" s="175">
        <f t="shared" ref="M6:M14" si="0">ROUND(K6*L6/10000,0)</f>
        <v>1948</v>
      </c>
      <c r="N6" s="2738">
        <v>0</v>
      </c>
      <c r="O6" s="175">
        <f>IF($N$5="成新度","——",ROUND(M6*N6,0))</f>
        <v>0</v>
      </c>
      <c r="P6" s="176">
        <f>IF($N$5="成新度","——",M6-O6)</f>
        <v>1948</v>
      </c>
      <c r="Q6" s="2739">
        <v>0.1</v>
      </c>
      <c r="R6" s="177">
        <f>SUMIF('数据-汇总表'!C$19:C$33,A6,'数据-汇总表'!R$19:R$33)</f>
        <v>9019.94</v>
      </c>
      <c r="S6" s="132">
        <f>IF('数据-汇总表'!$I$17="按面积比例",SUMIF('数据-汇总表'!C$19:C$33,A6,'数据-汇总表'!K$19:K$33),SUMIF('数据-汇总表'!C$19:C$33,A6,'数据-汇总表'!N$19:N$33))</f>
        <v>3692.91</v>
      </c>
      <c r="T6" s="2111">
        <f>IF($T$4="按面积比例",IF(ISERROR(ROUND($M$14*S6/S$16,0)),"0",ROUND($M$14*S6/S$16,0)),"需自行计算录入")</f>
        <v>739</v>
      </c>
      <c r="U6" s="178">
        <v>1.8</v>
      </c>
      <c r="V6" s="179">
        <v>0</v>
      </c>
      <c r="W6" s="179">
        <v>0.1</v>
      </c>
      <c r="X6" s="2198"/>
      <c r="Y6" s="180">
        <v>1</v>
      </c>
      <c r="Z6" s="181"/>
      <c r="AA6" s="174"/>
      <c r="AB6" s="174"/>
      <c r="AC6" s="2201"/>
      <c r="AD6" s="182"/>
      <c r="AE6" s="959">
        <f ca="1">IF(AN6="",0,SUMIF(INDIRECT("'"&amp;AN6&amp;"'"&amp;"!E:E"),$AE$5,INDIRECT("'"&amp;AN6&amp;"'"&amp;"!F:F")))</f>
        <v>37.119999999999997</v>
      </c>
      <c r="AF6" s="139"/>
      <c r="AG6" s="1195">
        <f>IF(AF6="",0,AE6-AF6)</f>
        <v>0</v>
      </c>
      <c r="AH6" s="139"/>
      <c r="AI6" s="185">
        <v>365</v>
      </c>
      <c r="AJ6" s="186"/>
      <c r="AK6" s="3179">
        <v>0.01</v>
      </c>
      <c r="AL6" s="188">
        <v>1.5E-3</v>
      </c>
      <c r="AM6" s="2750">
        <v>0.01</v>
      </c>
      <c r="AN6" s="2244" t="s">
        <v>3141</v>
      </c>
      <c r="AO6" s="2974"/>
      <c r="AP6" s="1186">
        <f>ROUND(1-1/(1+H6)^F6,3)</f>
        <v>0.84399999999999997</v>
      </c>
      <c r="AQ6" s="2974"/>
      <c r="AR6" s="2974"/>
      <c r="AS6" s="2974"/>
      <c r="AT6" s="2974"/>
      <c r="AU6" s="2974"/>
      <c r="AV6" s="2974"/>
      <c r="AW6" s="2974"/>
      <c r="AX6" s="2974"/>
      <c r="AY6" s="2974"/>
      <c r="AZ6" s="2974"/>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8" customFormat="1" ht="14.25">
      <c r="A7" s="2179" t="str">
        <f>'数据-汇总表'!C20</f>
        <v>车库</v>
      </c>
      <c r="B7" s="2214" t="str">
        <f t="shared" ref="B7:B13" si="1">IF(A7=0,"","经营性")</f>
        <v>经营性</v>
      </c>
      <c r="C7" s="171" t="s">
        <v>2983</v>
      </c>
      <c r="D7" s="2185">
        <f>SUMIF(项目基本情况!D$15:I$15,C7,项目基本情况!D$18:I$18)</f>
        <v>50</v>
      </c>
      <c r="E7" s="2186">
        <f>IF(B7="","",SUMIF(项目基本情况!D$15:I$15,C7,项目基本情况!D$17:I$17))</f>
        <v>61836</v>
      </c>
      <c r="F7" s="172">
        <f>SUMIF(项目基本情况!D$15:I$15,C7,项目基本情况!D$19:I$19)</f>
        <v>48.13</v>
      </c>
      <c r="G7" s="173">
        <f t="shared" ref="G7:G11" si="2">IF(ISERROR(ROUND(POWER(1+H7,D7-F7)*(POWER(1+H7,F7)-1)/(POWER(1+H7,D7)-1),3)),0,ROUND(POWER(1+H7,D7-F7)*(POWER(1+H7,F7)-1)/(POWER(1+H7,D7)-1),3))</f>
        <v>0.98899999999999999</v>
      </c>
      <c r="H7" s="2736">
        <v>4.4999999999999998E-2</v>
      </c>
      <c r="I7" s="2736">
        <v>0.05</v>
      </c>
      <c r="J7" s="174"/>
      <c r="K7" s="177">
        <f>SUMIF('数据-汇总表'!C$19:C$33,'数据-取费表'!A7,'数据-汇总表'!E$19:E$33)</f>
        <v>861.16</v>
      </c>
      <c r="L7" s="2737">
        <f>L6</f>
        <v>2000</v>
      </c>
      <c r="M7" s="175">
        <f t="shared" si="0"/>
        <v>172</v>
      </c>
      <c r="N7" s="2738">
        <f>N6</f>
        <v>0</v>
      </c>
      <c r="O7" s="175">
        <f t="shared" ref="O7:O14" si="3">IF($N$5="成新度","——",ROUND(M7*N7,0))</f>
        <v>0</v>
      </c>
      <c r="P7" s="176">
        <f t="shared" ref="P7:P14" si="4">IF($N$5="成新度","——",M7-O7)</f>
        <v>172</v>
      </c>
      <c r="Q7" s="2739">
        <v>0.05</v>
      </c>
      <c r="R7" s="177">
        <f>SUMIF('数据-汇总表'!C$19:C$33,A7,'数据-汇总表'!R$19:R$33)</f>
        <v>797.43000000000006</v>
      </c>
      <c r="S7" s="132">
        <f>IF('数据-汇总表'!$I$17="按面积比例",SUMIF('数据-汇总表'!C$19:C$33,A7,'数据-汇总表'!K$19:K$33),SUMIF('数据-汇总表'!C$19:C$33,A7,'数据-汇总表'!N$19:N$33))</f>
        <v>326.48</v>
      </c>
      <c r="T7" s="2111">
        <f t="shared" ref="T7:T13" si="5">IF($T$4="按面积比例",IF(ISERROR(ROUND($M$14*S7/S$16,0)),"0",ROUND($M$14*S7/S$16,0)),"需自行计算录入")</f>
        <v>65</v>
      </c>
      <c r="U7" s="178">
        <v>500</v>
      </c>
      <c r="V7" s="179">
        <f>V6</f>
        <v>0</v>
      </c>
      <c r="W7" s="179">
        <f>W6</f>
        <v>0.1</v>
      </c>
      <c r="X7" s="2198"/>
      <c r="Y7" s="180">
        <f>Y6</f>
        <v>1</v>
      </c>
      <c r="Z7" s="181"/>
      <c r="AA7" s="174"/>
      <c r="AB7" s="174"/>
      <c r="AC7" s="2201"/>
      <c r="AD7" s="182"/>
      <c r="AE7" s="959">
        <f t="shared" ref="AE7:AE13" ca="1" si="6">IF(AN7="",0,SUMIF(INDIRECT("'"&amp;AN7&amp;"'"&amp;"!E:E"),$AE$5,INDIRECT("'"&amp;AN7&amp;"'"&amp;"!F:F")))</f>
        <v>47.13</v>
      </c>
      <c r="AF7" s="139"/>
      <c r="AG7" s="1195">
        <f t="shared" ref="AG7:AG13" si="7">IF(AF7="",0,AE7-AF7)</f>
        <v>0</v>
      </c>
      <c r="AH7" s="139">
        <v>19</v>
      </c>
      <c r="AI7" s="185">
        <v>12</v>
      </c>
      <c r="AJ7" s="186"/>
      <c r="AK7" s="3179">
        <v>0.01</v>
      </c>
      <c r="AL7" s="188">
        <f>AL6</f>
        <v>1.5E-3</v>
      </c>
      <c r="AM7" s="2242">
        <f>AM6</f>
        <v>0.01</v>
      </c>
      <c r="AN7" s="2244" t="s">
        <v>3142</v>
      </c>
      <c r="AO7" s="2974"/>
      <c r="AP7" s="1186">
        <f t="shared" ref="AP7:AP13" si="8">ROUND(1-1/(1+H7)^F7,3)</f>
        <v>0.88</v>
      </c>
      <c r="AQ7" s="2974"/>
      <c r="AR7" s="2974"/>
      <c r="AS7" s="2974"/>
      <c r="AT7" s="2974"/>
      <c r="AU7" s="2974"/>
      <c r="AV7" s="2974"/>
      <c r="AW7" s="2974"/>
      <c r="AX7" s="2974"/>
      <c r="AY7" s="2974"/>
      <c r="AZ7" s="2974"/>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8" customFormat="1" ht="14.25">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1">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2974"/>
      <c r="AP8" s="1186">
        <f t="shared" si="8"/>
        <v>0</v>
      </c>
      <c r="AQ8" s="2974"/>
      <c r="AR8" s="2974"/>
      <c r="AS8" s="2974"/>
      <c r="AT8" s="2974"/>
      <c r="AU8" s="2974"/>
      <c r="AV8" s="2974"/>
      <c r="AW8" s="2974"/>
      <c r="AX8" s="2974"/>
      <c r="AY8" s="2974"/>
      <c r="AZ8" s="2974"/>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8" customFormat="1" ht="14.25">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1">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2974"/>
      <c r="AP9" s="1186">
        <f t="shared" si="8"/>
        <v>0</v>
      </c>
      <c r="AQ9" s="2974"/>
      <c r="AR9" s="2974"/>
      <c r="AS9" s="2974"/>
      <c r="AT9" s="2974"/>
      <c r="AU9" s="2974"/>
      <c r="AV9" s="2974"/>
      <c r="AW9" s="2974"/>
      <c r="AX9" s="2974"/>
      <c r="AY9" s="2974"/>
      <c r="AZ9" s="2974"/>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8"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2974"/>
      <c r="AP10" s="1186">
        <f t="shared" si="8"/>
        <v>0</v>
      </c>
      <c r="AQ10" s="2974"/>
      <c r="AR10" s="2974"/>
      <c r="AS10" s="2974"/>
      <c r="AT10" s="2974"/>
      <c r="AU10" s="2974"/>
      <c r="AV10" s="2974"/>
      <c r="AW10" s="2974"/>
      <c r="AX10" s="2974"/>
      <c r="AY10" s="2974"/>
      <c r="AZ10" s="2974"/>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8"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2974"/>
      <c r="AP11" s="1186">
        <f t="shared" si="8"/>
        <v>0</v>
      </c>
      <c r="AQ11" s="2974"/>
      <c r="AR11" s="2974"/>
      <c r="AS11" s="2974"/>
      <c r="AT11" s="2974"/>
      <c r="AU11" s="2974"/>
      <c r="AV11" s="2974"/>
      <c r="AW11" s="2974"/>
      <c r="AX11" s="2974"/>
      <c r="AY11" s="2974"/>
      <c r="AZ11" s="2974"/>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8"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2974"/>
      <c r="AP12" s="1186">
        <f t="shared" si="8"/>
        <v>0</v>
      </c>
      <c r="AQ12" s="2974"/>
      <c r="AR12" s="2974"/>
      <c r="AS12" s="2974"/>
      <c r="AT12" s="2974"/>
      <c r="AU12" s="2974"/>
      <c r="AV12" s="2974"/>
      <c r="AW12" s="2974"/>
      <c r="AX12" s="2974"/>
      <c r="AY12" s="2974"/>
      <c r="AZ12" s="2974"/>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8"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2974"/>
      <c r="AP13" s="1186">
        <f t="shared" si="8"/>
        <v>0</v>
      </c>
      <c r="AQ13" s="2974"/>
      <c r="AR13" s="2974"/>
      <c r="AS13" s="2974"/>
      <c r="AT13" s="2974"/>
      <c r="AU13" s="2974"/>
      <c r="AV13" s="2974"/>
      <c r="AW13" s="2974"/>
      <c r="AX13" s="2974"/>
      <c r="AY13" s="2974"/>
      <c r="AZ13" s="2974"/>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8" customFormat="1" ht="14.25">
      <c r="A14" s="2180" t="s">
        <v>2299</v>
      </c>
      <c r="B14" s="2183" t="s">
        <v>1670</v>
      </c>
      <c r="C14" s="2184" t="s">
        <v>2299</v>
      </c>
      <c r="D14" s="2185"/>
      <c r="E14" s="2186"/>
      <c r="F14" s="172"/>
      <c r="G14" s="173"/>
      <c r="H14" s="2187"/>
      <c r="I14" s="2187"/>
      <c r="J14" s="2187"/>
      <c r="K14" s="177">
        <f>SUMIF('数据-汇总表'!C$19:C$33,'数据-取费表'!A14,'数据-汇总表'!E$19:E$33)</f>
        <v>4019.39</v>
      </c>
      <c r="L14" s="191">
        <f>L6</f>
        <v>2000</v>
      </c>
      <c r="M14" s="175">
        <f t="shared" si="0"/>
        <v>804</v>
      </c>
      <c r="N14" s="192">
        <f>N6</f>
        <v>0</v>
      </c>
      <c r="O14" s="175">
        <f t="shared" si="3"/>
        <v>0</v>
      </c>
      <c r="P14" s="176">
        <f t="shared" si="4"/>
        <v>804</v>
      </c>
      <c r="Q14" s="2195"/>
      <c r="R14" s="177"/>
      <c r="S14" s="132"/>
      <c r="T14" s="2194"/>
      <c r="U14" s="961"/>
      <c r="V14" s="2197"/>
      <c r="W14" s="2197"/>
      <c r="X14" s="2198"/>
      <c r="Y14" s="2199"/>
      <c r="Z14" s="135"/>
      <c r="AA14" s="2200"/>
      <c r="AB14" s="2200"/>
      <c r="AC14" s="2201"/>
      <c r="AD14" s="2198"/>
      <c r="AE14" s="959"/>
      <c r="AF14" s="2173"/>
      <c r="AG14" s="1195"/>
      <c r="AH14" s="2173"/>
      <c r="AI14" s="1504"/>
      <c r="AJ14" s="1504"/>
      <c r="AK14" s="2202"/>
      <c r="AL14" s="2203"/>
      <c r="AM14" s="2204"/>
      <c r="AN14" s="2974"/>
      <c r="AO14" s="2974"/>
      <c r="AP14" s="2974"/>
      <c r="AQ14" s="2974"/>
      <c r="AR14" s="2974"/>
      <c r="AS14" s="2974"/>
      <c r="AT14" s="2974"/>
      <c r="AU14" s="2974"/>
      <c r="AV14" s="2974"/>
      <c r="AW14" s="2974"/>
      <c r="AX14" s="2974"/>
      <c r="AY14" s="2974"/>
      <c r="AZ14" s="2974"/>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8" customFormat="1" ht="27">
      <c r="A15" s="2189" t="s">
        <v>2301</v>
      </c>
      <c r="B15" s="2183" t="s">
        <v>1670</v>
      </c>
      <c r="C15" s="2184" t="s">
        <v>2300</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4"/>
      <c r="AJ15" s="1504"/>
      <c r="AK15" s="2202"/>
      <c r="AL15" s="2203"/>
      <c r="AM15" s="2204"/>
      <c r="AN15" s="2974"/>
      <c r="AO15" s="2974"/>
      <c r="AP15" s="2974"/>
      <c r="AQ15" s="2974"/>
      <c r="AR15" s="2974"/>
      <c r="AS15" s="2974"/>
      <c r="AT15" s="2974"/>
      <c r="AU15" s="2974"/>
      <c r="AV15" s="2974"/>
      <c r="AW15" s="2974"/>
      <c r="AX15" s="2974"/>
      <c r="AY15" s="2974"/>
      <c r="AZ15" s="2974"/>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8" customFormat="1" ht="15.75" thickBot="1">
      <c r="A16" s="196" t="s">
        <v>262</v>
      </c>
      <c r="B16" s="197"/>
      <c r="C16" s="198"/>
      <c r="D16" s="199"/>
      <c r="E16" s="197"/>
      <c r="F16" s="197"/>
      <c r="G16" s="200">
        <f>ROUND(SUMPRODUCT(G6:G13,K6:K13)/SUMPRODUCT((G6:G13&gt;0)*(K6:K13)),3)</f>
        <v>0.98399999999999999</v>
      </c>
      <c r="H16" s="201">
        <f>ROUND(SUMPRODUCT(H6:H13,K6:K13)/SUMPRODUCT((H6:H13&gt;0)*(K6:K13)),3)</f>
        <v>0.05</v>
      </c>
      <c r="I16" s="202"/>
      <c r="J16" s="202"/>
      <c r="K16" s="203">
        <f>SUM(K6:K15)</f>
        <v>14621.33</v>
      </c>
      <c r="L16" s="204">
        <f>ROUND(M16*10000/SUM(K6:K14),0)</f>
        <v>2000</v>
      </c>
      <c r="M16" s="204">
        <f>SUM(M6:M14)</f>
        <v>2924</v>
      </c>
      <c r="N16" s="205">
        <f>ROUND(SUMPRODUCT(M6:M14,N6:N14)/M16,3)</f>
        <v>0</v>
      </c>
      <c r="O16" s="204">
        <f>SUM(O6:O14)</f>
        <v>0</v>
      </c>
      <c r="P16" s="204">
        <f>SUM(P6:P14)</f>
        <v>2924</v>
      </c>
      <c r="Q16" s="206">
        <f>ROUND(SUMPRODUCT(Q6:Q13,K6:K13)/SUMPRODUCT((Q6:Q13&gt;0)*(K6:K13)),2)</f>
        <v>0.1</v>
      </c>
      <c r="R16" s="2188">
        <f>SUM(R6:R13)</f>
        <v>9817.3700000000008</v>
      </c>
      <c r="S16" s="207">
        <f>SUM(S6:S13)</f>
        <v>4019.39</v>
      </c>
      <c r="T16" s="208">
        <f>IF(SUMIF(T6:T13,"&lt;9E307")=M14,SUMIF(T6:T13,"&lt;9E307"),"有误，请检查")</f>
        <v>804</v>
      </c>
      <c r="U16" s="209"/>
      <c r="V16" s="210"/>
      <c r="W16" s="210"/>
      <c r="X16" s="213"/>
      <c r="Y16" s="211"/>
      <c r="Z16" s="212"/>
      <c r="AA16" s="210"/>
      <c r="AB16" s="210"/>
      <c r="AC16" s="213"/>
      <c r="AD16" s="213"/>
      <c r="AE16" s="209"/>
      <c r="AF16" s="210"/>
      <c r="AG16" s="211"/>
      <c r="AH16" s="210"/>
      <c r="AI16" s="212"/>
      <c r="AJ16" s="212"/>
      <c r="AK16" s="210"/>
      <c r="AL16" s="210"/>
      <c r="AM16" s="211"/>
      <c r="AN16" s="2974"/>
      <c r="AO16" s="2974"/>
      <c r="AP16" s="1186">
        <f>ROUND(SUMPRODUCT(AP6:AP13,K6:K13)/SUMPRODUCT((AP6:AP13&gt;0)*(K6:K13)),3)</f>
        <v>0.84699999999999998</v>
      </c>
      <c r="AQ16" s="2974"/>
      <c r="AR16" s="2974"/>
      <c r="AS16" s="2974"/>
      <c r="AT16" s="2974"/>
      <c r="AU16" s="2974"/>
      <c r="AV16" s="2974"/>
      <c r="AW16" s="2974"/>
      <c r="AX16" s="2974"/>
      <c r="AY16" s="2974"/>
      <c r="AZ16" s="2974"/>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6"/>
      <c r="B17" s="2971"/>
      <c r="C17" s="2971"/>
      <c r="D17" s="2972"/>
      <c r="E17" s="2972"/>
      <c r="F17" s="2971"/>
      <c r="G17" s="2971"/>
      <c r="H17" s="2971"/>
      <c r="I17" s="2971"/>
      <c r="J17" s="2971"/>
      <c r="K17" s="2973"/>
      <c r="L17" s="2973"/>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2971"/>
      <c r="AZ17" s="2971"/>
    </row>
    <row r="18" spans="1:83" ht="15" thickBot="1">
      <c r="A18" s="148" t="s">
        <v>263</v>
      </c>
      <c r="B18" s="2974"/>
      <c r="C18" s="2974"/>
      <c r="D18" s="2975"/>
      <c r="E18" s="2974"/>
      <c r="F18" s="2974"/>
      <c r="G18" s="2974"/>
      <c r="H18" s="2974"/>
      <c r="I18" s="2974"/>
      <c r="J18" s="2974"/>
      <c r="K18" s="2973"/>
      <c r="L18" s="2973"/>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c r="AJ18" s="2971"/>
      <c r="AK18" s="2971"/>
      <c r="AL18" s="2971"/>
      <c r="AM18" s="2971"/>
      <c r="AN18" s="2971"/>
      <c r="AO18" s="2971"/>
      <c r="AP18" s="2971"/>
      <c r="AQ18" s="2971"/>
      <c r="AR18" s="2971"/>
      <c r="AS18" s="2971"/>
      <c r="AT18" s="2971"/>
      <c r="AU18" s="2971"/>
      <c r="AV18" s="2971"/>
      <c r="AW18" s="2971"/>
      <c r="AX18" s="2971"/>
      <c r="AY18" s="2971"/>
      <c r="AZ18" s="2971"/>
    </row>
    <row r="19" spans="1:83" ht="14.25">
      <c r="A19" s="215" t="s">
        <v>264</v>
      </c>
      <c r="B19" s="216">
        <v>0</v>
      </c>
      <c r="C19" s="2986" t="s">
        <v>2955</v>
      </c>
      <c r="D19" s="2975"/>
      <c r="E19" s="2974"/>
      <c r="F19" s="2974"/>
      <c r="G19" s="2974"/>
      <c r="H19" s="2974"/>
      <c r="I19" s="2974"/>
      <c r="J19" s="2974"/>
      <c r="K19" s="2973"/>
      <c r="L19" s="2973"/>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2971"/>
      <c r="AZ19" s="2971"/>
    </row>
    <row r="20" spans="1:83" ht="14.25">
      <c r="A20" s="217" t="s">
        <v>265</v>
      </c>
      <c r="B20" s="218">
        <v>1</v>
      </c>
      <c r="C20" s="2986" t="s">
        <v>2320</v>
      </c>
      <c r="D20" s="2975"/>
      <c r="E20" s="2974"/>
      <c r="F20" s="2974"/>
      <c r="G20" s="2974"/>
      <c r="H20" s="2974"/>
      <c r="I20" s="2974"/>
      <c r="J20" s="2974"/>
      <c r="K20" s="2973"/>
      <c r="L20" s="2973"/>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2971"/>
      <c r="AZ20" s="2971"/>
    </row>
    <row r="21" spans="1:83" ht="14.25">
      <c r="A21" s="219" t="s">
        <v>266</v>
      </c>
      <c r="B21" s="218">
        <v>0</v>
      </c>
      <c r="C21" s="2974"/>
      <c r="D21" s="2975"/>
      <c r="E21" s="2974"/>
      <c r="F21" s="2974"/>
      <c r="G21" s="2974"/>
      <c r="H21" s="2974"/>
      <c r="I21" s="2974"/>
      <c r="J21" s="2974"/>
      <c r="K21" s="2973"/>
      <c r="L21" s="2973"/>
      <c r="M21" s="2971"/>
      <c r="N21" s="2971"/>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1"/>
      <c r="AO21" s="2971"/>
      <c r="AP21" s="2971"/>
      <c r="AQ21" s="2971"/>
      <c r="AR21" s="2971"/>
      <c r="AS21" s="2971"/>
      <c r="AT21" s="2971"/>
      <c r="AU21" s="2971"/>
      <c r="AV21" s="2971"/>
      <c r="AW21" s="2971"/>
      <c r="AX21" s="2971"/>
      <c r="AY21" s="2971"/>
      <c r="AZ21" s="2971"/>
    </row>
    <row r="22" spans="1:83" ht="14.25">
      <c r="A22" s="217" t="s">
        <v>267</v>
      </c>
      <c r="B22" s="220">
        <f>B19+B20</f>
        <v>1</v>
      </c>
      <c r="C22" s="2974"/>
      <c r="D22" s="2975"/>
      <c r="E22" s="2974"/>
      <c r="F22" s="2974"/>
      <c r="G22" s="2974"/>
      <c r="H22" s="2974"/>
      <c r="I22" s="2974"/>
      <c r="J22" s="2974"/>
      <c r="K22" s="2973"/>
      <c r="L22" s="2973"/>
      <c r="M22" s="2971"/>
      <c r="N22" s="2971"/>
      <c r="O22" s="2971"/>
      <c r="P22" s="2971"/>
      <c r="Q22" s="2971"/>
      <c r="R22" s="2971"/>
      <c r="S22" s="2971"/>
      <c r="T22" s="2971"/>
      <c r="U22" s="2971"/>
      <c r="V22" s="2971"/>
      <c r="W22" s="2971"/>
      <c r="X22" s="2971"/>
      <c r="Y22" s="2971"/>
      <c r="Z22" s="2971"/>
      <c r="AA22" s="2971"/>
      <c r="AB22" s="2971"/>
      <c r="AC22" s="2971"/>
      <c r="AD22" s="2971"/>
      <c r="AE22" s="2971"/>
      <c r="AF22" s="2971"/>
      <c r="AG22" s="2971"/>
      <c r="AH22" s="2971"/>
      <c r="AI22" s="2971"/>
      <c r="AJ22" s="2971"/>
      <c r="AK22" s="2971"/>
      <c r="AL22" s="2971"/>
      <c r="AM22" s="2971"/>
      <c r="AN22" s="2971"/>
      <c r="AO22" s="2971"/>
      <c r="AP22" s="2971"/>
      <c r="AQ22" s="2971"/>
      <c r="AR22" s="2971"/>
      <c r="AS22" s="2971"/>
      <c r="AT22" s="2971"/>
      <c r="AU22" s="2971"/>
      <c r="AV22" s="2971"/>
      <c r="AW22" s="2971"/>
      <c r="AX22" s="2971"/>
      <c r="AY22" s="2971"/>
      <c r="AZ22" s="2971"/>
    </row>
    <row r="23" spans="1:83" ht="14.25">
      <c r="A23" s="219" t="s">
        <v>268</v>
      </c>
      <c r="B23" s="220">
        <f>B19+B21</f>
        <v>0</v>
      </c>
      <c r="C23" s="2974"/>
      <c r="D23" s="2975"/>
      <c r="E23" s="2974"/>
      <c r="F23" s="2974"/>
      <c r="G23" s="2974"/>
      <c r="H23" s="2974"/>
      <c r="I23" s="2974"/>
      <c r="J23" s="2974"/>
      <c r="K23" s="2973"/>
      <c r="L23" s="2973"/>
      <c r="M23" s="2971"/>
      <c r="N23" s="2971"/>
      <c r="O23" s="2971"/>
      <c r="P23" s="2971"/>
      <c r="Q23" s="2971"/>
      <c r="R23" s="2971"/>
      <c r="S23" s="2971"/>
      <c r="T23" s="2971"/>
      <c r="U23" s="2971"/>
      <c r="V23" s="2971"/>
      <c r="W23" s="2971"/>
      <c r="X23" s="2971"/>
      <c r="Y23" s="2971"/>
      <c r="Z23" s="2971"/>
      <c r="AA23" s="2971"/>
      <c r="AB23" s="2971"/>
      <c r="AC23" s="2971"/>
      <c r="AD23" s="2971"/>
      <c r="AE23" s="2971"/>
      <c r="AF23" s="2971"/>
      <c r="AG23" s="2971"/>
      <c r="AH23" s="2971"/>
      <c r="AI23" s="2971"/>
      <c r="AJ23" s="2971"/>
      <c r="AK23" s="2971"/>
      <c r="AL23" s="2971"/>
      <c r="AM23" s="2971"/>
      <c r="AN23" s="2971"/>
      <c r="AO23" s="2971"/>
      <c r="AP23" s="2971"/>
      <c r="AQ23" s="2971"/>
      <c r="AR23" s="2971"/>
      <c r="AS23" s="2971"/>
      <c r="AT23" s="2971"/>
      <c r="AU23" s="2971"/>
      <c r="AV23" s="2971"/>
      <c r="AW23" s="2971"/>
      <c r="AX23" s="2971"/>
      <c r="AY23" s="2971"/>
      <c r="AZ23" s="2971"/>
    </row>
    <row r="24" spans="1:83" ht="15" thickBot="1">
      <c r="A24" s="221" t="s">
        <v>269</v>
      </c>
      <c r="B24" s="222">
        <f>B20-B21</f>
        <v>1</v>
      </c>
      <c r="C24" s="2974"/>
      <c r="D24" s="2975"/>
      <c r="E24" s="2974"/>
      <c r="F24" s="2974"/>
      <c r="G24" s="2974"/>
      <c r="H24" s="2974"/>
      <c r="I24" s="2974"/>
      <c r="J24" s="2974"/>
      <c r="K24" s="2973"/>
      <c r="L24" s="2973"/>
      <c r="M24" s="2971"/>
      <c r="N24" s="2971"/>
      <c r="O24" s="2971"/>
      <c r="P24" s="2971"/>
      <c r="Q24" s="2971"/>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1"/>
      <c r="AO24" s="2971"/>
      <c r="AP24" s="2971"/>
      <c r="AQ24" s="2971"/>
      <c r="AR24" s="2971"/>
      <c r="AS24" s="2971"/>
      <c r="AT24" s="2971"/>
      <c r="AU24" s="2971"/>
      <c r="AV24" s="2971"/>
      <c r="AW24" s="2971"/>
      <c r="AX24" s="2971"/>
      <c r="AY24" s="2971"/>
      <c r="AZ24" s="2971"/>
    </row>
    <row r="25" spans="1:83" ht="15" thickBot="1">
      <c r="A25" s="1189"/>
      <c r="B25" s="1186"/>
      <c r="C25" s="2974"/>
      <c r="D25" s="2975"/>
      <c r="E25" s="2974"/>
      <c r="F25" s="2974"/>
      <c r="G25" s="2974"/>
      <c r="H25" s="2974"/>
      <c r="I25" s="2974"/>
      <c r="J25" s="2974"/>
      <c r="K25" s="2973"/>
      <c r="L25" s="2973"/>
      <c r="M25" s="2971"/>
      <c r="N25" s="2971"/>
      <c r="O25" s="2971"/>
      <c r="P25" s="2971"/>
      <c r="Q25" s="2971"/>
      <c r="R25" s="2971"/>
      <c r="S25" s="2971"/>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2971"/>
      <c r="AR25" s="2971"/>
      <c r="AS25" s="2971"/>
      <c r="AT25" s="2971"/>
      <c r="AU25" s="2971"/>
      <c r="AV25" s="2971"/>
      <c r="AW25" s="2971"/>
      <c r="AX25" s="2971"/>
      <c r="AY25" s="2971"/>
      <c r="AZ25" s="2971"/>
    </row>
    <row r="26" spans="1:83" ht="15" thickBot="1">
      <c r="A26" s="147" t="s">
        <v>270</v>
      </c>
      <c r="B26" s="223" t="s">
        <v>271</v>
      </c>
      <c r="C26" s="2976" t="s">
        <v>272</v>
      </c>
      <c r="D26" s="2975"/>
      <c r="E26" s="2974"/>
      <c r="F26" s="2974"/>
      <c r="G26" s="2974"/>
      <c r="H26" s="2974"/>
      <c r="I26" s="2974"/>
      <c r="J26" s="2974"/>
      <c r="K26" s="2973"/>
      <c r="L26" s="2973"/>
      <c r="M26" s="2971"/>
      <c r="N26" s="2971"/>
      <c r="O26" s="2971"/>
      <c r="P26" s="2971"/>
      <c r="Q26" s="2971"/>
      <c r="R26" s="2971"/>
      <c r="S26" s="2971"/>
      <c r="T26" s="2971"/>
      <c r="U26" s="2971"/>
      <c r="V26" s="2971"/>
      <c r="W26" s="2971"/>
      <c r="X26" s="2971"/>
      <c r="Y26" s="2971"/>
      <c r="Z26" s="2971"/>
      <c r="AA26" s="2971"/>
      <c r="AB26" s="2971"/>
      <c r="AC26" s="2971"/>
      <c r="AD26" s="2971"/>
      <c r="AE26" s="2971"/>
      <c r="AF26" s="2971"/>
      <c r="AG26" s="2971"/>
      <c r="AH26" s="2971"/>
      <c r="AI26" s="2971"/>
      <c r="AJ26" s="2971"/>
      <c r="AK26" s="2971"/>
      <c r="AL26" s="2971"/>
      <c r="AM26" s="2971"/>
      <c r="AN26" s="2971"/>
      <c r="AO26" s="2971"/>
      <c r="AP26" s="2971"/>
      <c r="AQ26" s="2971"/>
      <c r="AR26" s="2971"/>
      <c r="AS26" s="2971"/>
      <c r="AT26" s="2971"/>
      <c r="AU26" s="2971"/>
      <c r="AV26" s="2971"/>
      <c r="AW26" s="2971"/>
      <c r="AX26" s="2971"/>
      <c r="AY26" s="2971"/>
      <c r="AZ26" s="2971"/>
    </row>
    <row r="27" spans="1:83" s="1197" customFormat="1" ht="27.75">
      <c r="A27" s="224" t="s">
        <v>2322</v>
      </c>
      <c r="B27" s="225">
        <v>80</v>
      </c>
      <c r="C27" s="2987" t="s">
        <v>2956</v>
      </c>
      <c r="D27" s="2978"/>
      <c r="E27" s="2979"/>
      <c r="F27" s="2979"/>
      <c r="G27" s="2974"/>
      <c r="H27" s="2974"/>
      <c r="I27" s="2974"/>
      <c r="J27" s="2974"/>
      <c r="K27" s="2973"/>
      <c r="L27" s="2973"/>
      <c r="M27" s="2971"/>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c r="AL27" s="2971"/>
      <c r="AM27" s="2971"/>
      <c r="AN27" s="2971"/>
      <c r="AO27" s="2971"/>
      <c r="AP27" s="2971"/>
      <c r="AQ27" s="2971"/>
      <c r="AR27" s="2971"/>
      <c r="AS27" s="2971"/>
      <c r="AT27" s="2971"/>
      <c r="AU27" s="2971"/>
      <c r="AV27" s="2971"/>
      <c r="AW27" s="2971"/>
      <c r="AX27" s="2971"/>
      <c r="AY27" s="2971"/>
      <c r="AZ27" s="2971"/>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7" customFormat="1" ht="27.75">
      <c r="A28" s="226" t="s">
        <v>2323</v>
      </c>
      <c r="B28" s="227">
        <v>80</v>
      </c>
      <c r="C28" s="2980"/>
      <c r="D28" s="2978"/>
      <c r="E28" s="2979"/>
      <c r="F28" s="2979"/>
      <c r="G28" s="2974"/>
      <c r="H28" s="2974"/>
      <c r="I28" s="2974"/>
      <c r="J28" s="2974"/>
      <c r="K28" s="2973"/>
      <c r="L28" s="2973"/>
      <c r="M28" s="2971"/>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c r="AL28" s="2971"/>
      <c r="AM28" s="2971"/>
      <c r="AN28" s="2971"/>
      <c r="AO28" s="2971"/>
      <c r="AP28" s="2971"/>
      <c r="AQ28" s="2971"/>
      <c r="AR28" s="2971"/>
      <c r="AS28" s="2971"/>
      <c r="AT28" s="2971"/>
      <c r="AU28" s="2971"/>
      <c r="AV28" s="2971"/>
      <c r="AW28" s="2971"/>
      <c r="AX28" s="2971"/>
      <c r="AY28" s="2971"/>
      <c r="AZ28" s="2971"/>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7" customFormat="1" ht="28.5" thickBot="1">
      <c r="A29" s="229" t="s">
        <v>2321</v>
      </c>
      <c r="B29" s="3168">
        <v>0</v>
      </c>
      <c r="C29" s="2988" t="s">
        <v>2324</v>
      </c>
      <c r="D29" s="2978"/>
      <c r="E29" s="2979"/>
      <c r="F29" s="2979"/>
      <c r="G29" s="2974"/>
      <c r="H29" s="2974"/>
      <c r="I29" s="2974"/>
      <c r="J29" s="2974"/>
      <c r="K29" s="2973"/>
      <c r="L29" s="2973"/>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7" customFormat="1" ht="27">
      <c r="A30" s="232" t="s">
        <v>273</v>
      </c>
      <c r="B30" s="965">
        <v>200</v>
      </c>
      <c r="C30" s="2980"/>
      <c r="D30" s="2978"/>
      <c r="E30" s="2979"/>
      <c r="F30" s="2979"/>
      <c r="G30" s="2974"/>
      <c r="H30" s="2974"/>
      <c r="I30" s="2974"/>
      <c r="J30" s="2974"/>
      <c r="K30" s="2973"/>
      <c r="L30" s="2973"/>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c r="AL30" s="2971"/>
      <c r="AM30" s="2971"/>
      <c r="AN30" s="2971"/>
      <c r="AO30" s="2971"/>
      <c r="AP30" s="2971"/>
      <c r="AQ30" s="2971"/>
      <c r="AR30" s="2971"/>
      <c r="AS30" s="2971"/>
      <c r="AT30" s="2971"/>
      <c r="AU30" s="2971"/>
      <c r="AV30" s="2971"/>
      <c r="AW30" s="2971"/>
      <c r="AX30" s="2971"/>
      <c r="AY30" s="2971"/>
      <c r="AZ30" s="2971"/>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7" customFormat="1" ht="27">
      <c r="A31" s="226" t="s">
        <v>274</v>
      </c>
      <c r="B31" s="228">
        <f>B30-B32</f>
        <v>80</v>
      </c>
      <c r="C31" s="2977"/>
      <c r="D31" s="2978"/>
      <c r="E31" s="2979"/>
      <c r="F31" s="2979"/>
      <c r="G31" s="2974"/>
      <c r="H31" s="2974"/>
      <c r="I31" s="2974"/>
      <c r="J31" s="2974"/>
      <c r="K31" s="2973"/>
      <c r="L31" s="2973"/>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2971"/>
      <c r="AZ31" s="2971"/>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7" customFormat="1" ht="27.75" thickBot="1">
      <c r="A32" s="234" t="s">
        <v>275</v>
      </c>
      <c r="B32" s="3180">
        <v>120</v>
      </c>
      <c r="C32" s="2980"/>
      <c r="D32" s="2975"/>
      <c r="E32" s="2974"/>
      <c r="F32" s="2974"/>
      <c r="G32" s="2974"/>
      <c r="H32" s="2974"/>
      <c r="I32" s="2974"/>
      <c r="J32" s="2974"/>
      <c r="K32" s="2973"/>
      <c r="L32" s="2973"/>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2971"/>
      <c r="AZ32" s="2971"/>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7" customFormat="1" ht="14.25">
      <c r="A33" s="224" t="s">
        <v>278</v>
      </c>
      <c r="B33" s="1328">
        <v>0.03</v>
      </c>
      <c r="C33" s="2989" t="s">
        <v>2943</v>
      </c>
      <c r="D33" s="2978"/>
      <c r="E33" s="2979"/>
      <c r="F33" s="2979"/>
      <c r="G33" s="2974"/>
      <c r="H33" s="2974"/>
      <c r="I33" s="2974"/>
      <c r="J33" s="2974"/>
      <c r="K33" s="2973"/>
      <c r="L33" s="2973"/>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2971"/>
      <c r="AZ33" s="2971"/>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0">
        <v>0</v>
      </c>
      <c r="C34" s="2989" t="s">
        <v>2944</v>
      </c>
      <c r="D34" s="2990" t="s">
        <v>2952</v>
      </c>
      <c r="E34" s="2971"/>
      <c r="F34" s="2974"/>
      <c r="G34" s="2974"/>
      <c r="H34" s="2974"/>
      <c r="I34" s="2974"/>
      <c r="J34" s="2974"/>
      <c r="K34" s="2973"/>
      <c r="L34" s="2973"/>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c r="AZ34" s="2971"/>
    </row>
    <row r="35" spans="1:83" ht="14.25">
      <c r="A35" s="226" t="s">
        <v>276</v>
      </c>
      <c r="B35" s="227">
        <f>B30</f>
        <v>200</v>
      </c>
      <c r="C35" s="2989" t="s">
        <v>2945</v>
      </c>
      <c r="D35" s="2975"/>
      <c r="E35" s="2974"/>
      <c r="F35" s="2974"/>
      <c r="G35" s="2974"/>
      <c r="H35" s="2974"/>
      <c r="I35" s="2974"/>
      <c r="J35" s="2974"/>
      <c r="K35" s="2973"/>
      <c r="L35" s="2973"/>
      <c r="M35" s="2971"/>
      <c r="N35" s="2971"/>
      <c r="O35" s="2971"/>
      <c r="P35" s="2971"/>
      <c r="Q35" s="2971"/>
      <c r="R35" s="2971"/>
      <c r="S35" s="2971"/>
      <c r="T35" s="2971"/>
      <c r="U35" s="2971"/>
      <c r="V35" s="2971"/>
      <c r="W35" s="2971"/>
      <c r="X35" s="2971"/>
      <c r="Y35" s="2971"/>
      <c r="Z35" s="2971"/>
      <c r="AA35" s="2971"/>
      <c r="AB35" s="2971"/>
      <c r="AC35" s="2971"/>
      <c r="AD35" s="2971"/>
      <c r="AE35" s="2971"/>
      <c r="AF35" s="2971"/>
      <c r="AG35" s="2971"/>
      <c r="AH35" s="2971"/>
      <c r="AI35" s="2971"/>
      <c r="AJ35" s="2971"/>
      <c r="AK35" s="2971"/>
      <c r="AL35" s="2971"/>
      <c r="AM35" s="2971"/>
      <c r="AN35" s="2971"/>
      <c r="AO35" s="2971"/>
      <c r="AP35" s="2971"/>
      <c r="AQ35" s="2971"/>
      <c r="AR35" s="2971"/>
      <c r="AS35" s="2971"/>
      <c r="AT35" s="2971"/>
      <c r="AU35" s="2971"/>
      <c r="AV35" s="2971"/>
      <c r="AW35" s="2971"/>
      <c r="AX35" s="2971"/>
      <c r="AY35" s="2971"/>
      <c r="AZ35" s="2971"/>
    </row>
    <row r="36" spans="1:83" ht="15" thickBot="1">
      <c r="A36" s="229" t="s">
        <v>277</v>
      </c>
      <c r="B36" s="231">
        <v>1.4999999999999999E-2</v>
      </c>
      <c r="C36" s="2989" t="s">
        <v>2946</v>
      </c>
      <c r="D36" s="2972"/>
      <c r="E36" s="2971"/>
      <c r="F36" s="2974"/>
      <c r="G36" s="2974"/>
      <c r="H36" s="2974"/>
      <c r="I36" s="2974"/>
      <c r="J36" s="2974"/>
      <c r="K36" s="2973"/>
      <c r="L36" s="2973"/>
      <c r="M36" s="2971"/>
      <c r="N36" s="2971"/>
      <c r="O36" s="2971"/>
      <c r="P36" s="2971"/>
      <c r="Q36" s="2971"/>
      <c r="R36" s="2971"/>
      <c r="S36" s="2971"/>
      <c r="T36" s="2971"/>
      <c r="U36" s="2971"/>
      <c r="V36" s="2971"/>
      <c r="W36" s="2971"/>
      <c r="X36" s="2971"/>
      <c r="Y36" s="2971"/>
      <c r="Z36" s="2971"/>
      <c r="AA36" s="2971"/>
      <c r="AB36" s="2971"/>
      <c r="AC36" s="2971"/>
      <c r="AD36" s="2971"/>
      <c r="AE36" s="2971"/>
      <c r="AF36" s="2971"/>
      <c r="AG36" s="2971"/>
      <c r="AH36" s="2971"/>
      <c r="AI36" s="2971"/>
      <c r="AJ36" s="2971"/>
      <c r="AK36" s="2971"/>
      <c r="AL36" s="2971"/>
      <c r="AM36" s="2971"/>
      <c r="AN36" s="2971"/>
      <c r="AO36" s="2971"/>
      <c r="AP36" s="2971"/>
      <c r="AQ36" s="2971"/>
      <c r="AR36" s="2971"/>
      <c r="AS36" s="2971"/>
      <c r="AT36" s="2971"/>
      <c r="AU36" s="2971"/>
      <c r="AV36" s="2971"/>
      <c r="AW36" s="2971"/>
      <c r="AX36" s="2971"/>
      <c r="AY36" s="2971"/>
      <c r="AZ36" s="2971"/>
    </row>
    <row r="37" spans="1:83" ht="14.25">
      <c r="A37" s="232" t="s">
        <v>280</v>
      </c>
      <c r="B37" s="233">
        <v>1.4999999999999999E-2</v>
      </c>
      <c r="C37" s="2989" t="s">
        <v>2947</v>
      </c>
      <c r="D37" s="2975"/>
      <c r="E37" s="2974"/>
      <c r="F37" s="2974"/>
      <c r="G37" s="2974"/>
      <c r="H37" s="2974"/>
      <c r="I37" s="2974"/>
      <c r="J37" s="2974"/>
      <c r="K37" s="2973"/>
      <c r="L37" s="2973"/>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c r="AZ37" s="2971"/>
    </row>
    <row r="38" spans="1:83" ht="14.25">
      <c r="A38" s="226" t="s">
        <v>281</v>
      </c>
      <c r="B38" s="230">
        <v>1.4999999999999999E-2</v>
      </c>
      <c r="C38" s="2989" t="s">
        <v>2947</v>
      </c>
      <c r="D38" s="2975"/>
      <c r="E38" s="2974"/>
      <c r="F38" s="2974"/>
      <c r="G38" s="2974"/>
      <c r="H38" s="2974"/>
      <c r="I38" s="2974"/>
      <c r="J38" s="2974"/>
      <c r="K38" s="2973"/>
      <c r="L38" s="2973"/>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c r="AZ38" s="2971"/>
    </row>
    <row r="39" spans="1:83" ht="14.25">
      <c r="A39" s="2339" t="s">
        <v>2435</v>
      </c>
      <c r="B39" s="789">
        <f ca="1">存贷款利率!C4</f>
        <v>1.4999999999999999E-2</v>
      </c>
      <c r="C39" s="2981"/>
      <c r="D39" s="2975"/>
      <c r="E39" s="2974"/>
      <c r="F39" s="2974"/>
      <c r="G39" s="2974"/>
      <c r="H39" s="2974"/>
      <c r="I39" s="2974"/>
      <c r="J39" s="2974"/>
      <c r="K39" s="2973"/>
      <c r="L39" s="2973"/>
      <c r="M39" s="2971"/>
      <c r="N39" s="2971"/>
      <c r="O39" s="2971"/>
      <c r="P39" s="2971"/>
      <c r="Q39" s="2971"/>
      <c r="R39" s="2971"/>
      <c r="S39" s="2971"/>
      <c r="T39" s="2971"/>
      <c r="U39" s="2971"/>
      <c r="V39" s="2971"/>
      <c r="W39" s="2971"/>
      <c r="X39" s="2971"/>
      <c r="Y39" s="2971"/>
      <c r="Z39" s="2971"/>
      <c r="AA39" s="2971"/>
      <c r="AB39" s="2971"/>
      <c r="AC39" s="2971"/>
      <c r="AD39" s="2971"/>
      <c r="AE39" s="2971"/>
      <c r="AF39" s="2971"/>
      <c r="AG39" s="2971"/>
      <c r="AH39" s="2971"/>
      <c r="AI39" s="2971"/>
      <c r="AJ39" s="2971"/>
      <c r="AK39" s="2971"/>
      <c r="AL39" s="2971"/>
      <c r="AM39" s="2971"/>
      <c r="AN39" s="2971"/>
      <c r="AO39" s="2971"/>
      <c r="AP39" s="2971"/>
      <c r="AQ39" s="2971"/>
      <c r="AR39" s="2971"/>
      <c r="AS39" s="2971"/>
      <c r="AT39" s="2971"/>
      <c r="AU39" s="2971"/>
      <c r="AV39" s="2971"/>
      <c r="AW39" s="2971"/>
      <c r="AX39" s="2971"/>
      <c r="AY39" s="2971"/>
      <c r="AZ39" s="2971"/>
    </row>
    <row r="40" spans="1:83" ht="15" thickBot="1">
      <c r="A40" s="2339" t="s">
        <v>2436</v>
      </c>
      <c r="B40" s="2331">
        <f ca="1">存贷款利率!E2</f>
        <v>4.3499999999999997E-2</v>
      </c>
      <c r="C40" s="2989" t="s">
        <v>2948</v>
      </c>
      <c r="D40" s="2975"/>
      <c r="E40" s="2974"/>
      <c r="F40" s="2974"/>
      <c r="G40" s="2974"/>
      <c r="H40" s="2974"/>
      <c r="I40" s="2974"/>
      <c r="J40" s="2974"/>
      <c r="K40" s="2973"/>
      <c r="L40" s="2973"/>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c r="AI40" s="2971"/>
      <c r="AJ40" s="2971"/>
      <c r="AK40" s="2971"/>
      <c r="AL40" s="2971"/>
      <c r="AM40" s="2971"/>
      <c r="AN40" s="2971"/>
      <c r="AO40" s="2971"/>
      <c r="AP40" s="2971"/>
      <c r="AQ40" s="2971"/>
      <c r="AR40" s="2971"/>
      <c r="AS40" s="2971"/>
      <c r="AT40" s="2971"/>
      <c r="AU40" s="2971"/>
      <c r="AV40" s="2971"/>
      <c r="AW40" s="2971"/>
      <c r="AX40" s="2971"/>
      <c r="AY40" s="2971"/>
      <c r="AZ40" s="2971"/>
    </row>
    <row r="41" spans="1:83" ht="14.25">
      <c r="A41" s="224" t="s">
        <v>282</v>
      </c>
      <c r="B41" s="235">
        <f>B42+B43</f>
        <v>5.5000000000000007E-2</v>
      </c>
      <c r="C41" s="2977"/>
      <c r="D41" s="2975"/>
      <c r="E41" s="2974"/>
      <c r="F41" s="2974"/>
      <c r="G41" s="2974"/>
      <c r="H41" s="2974"/>
      <c r="I41" s="2974"/>
      <c r="J41" s="2974"/>
      <c r="K41" s="2973"/>
      <c r="L41" s="2973"/>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c r="AZ41" s="2971"/>
    </row>
    <row r="42" spans="1:83" ht="14.25">
      <c r="A42" s="966" t="s">
        <v>283</v>
      </c>
      <c r="B42" s="237">
        <v>0.05</v>
      </c>
      <c r="C42" s="2991">
        <f>IF(B2&lt;DATE(2016,5,1),0,B42)</f>
        <v>0.05</v>
      </c>
      <c r="D42" s="2975"/>
      <c r="E42" s="2974"/>
      <c r="F42" s="2974"/>
      <c r="G42" s="2974"/>
      <c r="H42" s="2974"/>
      <c r="I42" s="2974"/>
      <c r="J42" s="2974"/>
      <c r="K42" s="2973"/>
      <c r="L42" s="2973"/>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row>
    <row r="43" spans="1:83" ht="14.25">
      <c r="A43" s="966" t="s">
        <v>284</v>
      </c>
      <c r="B43" s="238">
        <f>B42*(B44+B45+B46)+B47</f>
        <v>5.000000000000001E-3</v>
      </c>
      <c r="C43" s="2977"/>
      <c r="D43" s="2975"/>
      <c r="E43" s="2974"/>
      <c r="F43" s="2974"/>
      <c r="G43" s="2974"/>
      <c r="H43" s="2974"/>
      <c r="I43" s="2974"/>
      <c r="J43" s="2974"/>
      <c r="K43" s="2973"/>
      <c r="L43" s="2973"/>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c r="AZ43" s="2971"/>
    </row>
    <row r="44" spans="1:83" ht="14.25">
      <c r="A44" s="236" t="s">
        <v>285</v>
      </c>
      <c r="B44" s="239">
        <v>0.05</v>
      </c>
      <c r="C44" s="2989" t="s">
        <v>2953</v>
      </c>
      <c r="D44" s="2975"/>
      <c r="E44" s="2974"/>
      <c r="F44" s="2974"/>
      <c r="G44" s="2974"/>
      <c r="H44" s="2974"/>
      <c r="I44" s="2974"/>
      <c r="J44" s="2974"/>
      <c r="K44" s="2973"/>
      <c r="L44" s="2973"/>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c r="AZ44" s="2971"/>
    </row>
    <row r="45" spans="1:83" ht="14.25">
      <c r="A45" s="236" t="s">
        <v>286</v>
      </c>
      <c r="B45" s="237">
        <v>0.03</v>
      </c>
      <c r="C45" s="2992" t="s">
        <v>2949</v>
      </c>
      <c r="D45" s="2975"/>
      <c r="E45" s="2974"/>
      <c r="F45" s="2974"/>
      <c r="G45" s="2974"/>
      <c r="H45" s="2974"/>
      <c r="I45" s="2974"/>
      <c r="J45" s="2974"/>
      <c r="K45" s="2973"/>
      <c r="L45" s="2973"/>
      <c r="M45" s="2971"/>
      <c r="N45" s="2971"/>
      <c r="O45" s="2971"/>
      <c r="P45" s="2971"/>
      <c r="Q45" s="2971"/>
      <c r="R45" s="2971"/>
      <c r="S45" s="2971"/>
      <c r="T45" s="2971"/>
      <c r="U45" s="2971"/>
      <c r="V45" s="2971"/>
      <c r="W45" s="2971"/>
      <c r="X45" s="2971"/>
      <c r="Y45" s="2971"/>
      <c r="Z45" s="2971"/>
      <c r="AA45" s="2971"/>
      <c r="AB45" s="2971"/>
      <c r="AC45" s="2971"/>
      <c r="AD45" s="2971"/>
      <c r="AE45" s="2971"/>
      <c r="AF45" s="2971"/>
      <c r="AG45" s="2971"/>
      <c r="AH45" s="2971"/>
      <c r="AI45" s="2971"/>
      <c r="AJ45" s="2971"/>
      <c r="AK45" s="2971"/>
      <c r="AL45" s="2971"/>
      <c r="AM45" s="2971"/>
      <c r="AN45" s="2971"/>
      <c r="AO45" s="2971"/>
      <c r="AP45" s="2971"/>
      <c r="AQ45" s="2971"/>
      <c r="AR45" s="2971"/>
      <c r="AS45" s="2971"/>
      <c r="AT45" s="2971"/>
      <c r="AU45" s="2971"/>
      <c r="AV45" s="2971"/>
      <c r="AW45" s="2971"/>
      <c r="AX45" s="2971"/>
      <c r="AY45" s="2971"/>
      <c r="AZ45" s="2971"/>
    </row>
    <row r="46" spans="1:83" ht="14.25">
      <c r="A46" s="236" t="s">
        <v>287</v>
      </c>
      <c r="B46" s="237">
        <v>0.02</v>
      </c>
      <c r="C46" s="2992" t="s">
        <v>2950</v>
      </c>
      <c r="D46" s="2975"/>
      <c r="E46" s="2974"/>
      <c r="F46" s="2974"/>
      <c r="G46" s="2974"/>
      <c r="H46" s="2974"/>
      <c r="I46" s="2974"/>
      <c r="J46" s="2974"/>
      <c r="K46" s="2973"/>
      <c r="L46" s="2973"/>
      <c r="M46" s="2971"/>
      <c r="N46" s="2971"/>
      <c r="O46" s="2971"/>
      <c r="P46" s="2971"/>
      <c r="Q46" s="2971"/>
      <c r="R46" s="2971"/>
      <c r="S46" s="2971"/>
      <c r="T46" s="2971"/>
      <c r="U46" s="2971"/>
      <c r="V46" s="2971"/>
      <c r="W46" s="2971"/>
      <c r="X46" s="2971"/>
      <c r="Y46" s="2971"/>
      <c r="Z46" s="2971"/>
      <c r="AA46" s="2971"/>
      <c r="AB46" s="2971"/>
      <c r="AC46" s="2971"/>
      <c r="AD46" s="2971"/>
      <c r="AE46" s="2971"/>
      <c r="AF46" s="2971"/>
      <c r="AG46" s="2971"/>
      <c r="AH46" s="2971"/>
      <c r="AI46" s="2971"/>
      <c r="AJ46" s="2971"/>
      <c r="AK46" s="2971"/>
      <c r="AL46" s="2971"/>
      <c r="AM46" s="2971"/>
      <c r="AN46" s="2971"/>
      <c r="AO46" s="2971"/>
      <c r="AP46" s="2971"/>
      <c r="AQ46" s="2971"/>
      <c r="AR46" s="2971"/>
      <c r="AS46" s="2971"/>
      <c r="AT46" s="2971"/>
      <c r="AU46" s="2971"/>
      <c r="AV46" s="2971"/>
      <c r="AW46" s="2971"/>
      <c r="AX46" s="2971"/>
      <c r="AY46" s="2971"/>
      <c r="AZ46" s="2971"/>
    </row>
    <row r="47" spans="1:83" ht="15" thickBot="1">
      <c r="A47" s="240" t="s">
        <v>288</v>
      </c>
      <c r="B47" s="241">
        <v>0</v>
      </c>
      <c r="C47" s="2987" t="s">
        <v>2957</v>
      </c>
      <c r="D47" s="2975"/>
      <c r="E47" s="2974"/>
      <c r="F47" s="2974"/>
      <c r="G47" s="2974"/>
      <c r="H47" s="2974"/>
      <c r="I47" s="2974"/>
      <c r="J47" s="2974"/>
      <c r="K47" s="2973"/>
      <c r="L47" s="2973"/>
      <c r="M47" s="2971"/>
      <c r="N47" s="2971"/>
      <c r="O47" s="2971"/>
      <c r="P47" s="2971"/>
      <c r="Q47" s="2971"/>
      <c r="R47" s="2971"/>
      <c r="S47" s="2971"/>
      <c r="T47" s="2971"/>
      <c r="U47" s="2971"/>
      <c r="V47" s="2971"/>
      <c r="W47" s="2971"/>
      <c r="X47" s="2971"/>
      <c r="Y47" s="2971"/>
      <c r="Z47" s="2971"/>
      <c r="AA47" s="2971"/>
      <c r="AB47" s="2971"/>
      <c r="AC47" s="2971"/>
      <c r="AD47" s="2971"/>
      <c r="AE47" s="2971"/>
      <c r="AF47" s="2971"/>
      <c r="AG47" s="2971"/>
      <c r="AH47" s="2971"/>
      <c r="AI47" s="2971"/>
      <c r="AJ47" s="2971"/>
      <c r="AK47" s="2971"/>
      <c r="AL47" s="2971"/>
      <c r="AM47" s="2971"/>
      <c r="AN47" s="2971"/>
      <c r="AO47" s="2971"/>
      <c r="AP47" s="2971"/>
      <c r="AQ47" s="2971"/>
      <c r="AR47" s="2971"/>
      <c r="AS47" s="2971"/>
      <c r="AT47" s="2971"/>
      <c r="AU47" s="2971"/>
      <c r="AV47" s="2971"/>
      <c r="AW47" s="2971"/>
      <c r="AX47" s="2971"/>
      <c r="AY47" s="2971"/>
      <c r="AZ47" s="2971"/>
    </row>
    <row r="48" spans="1:83" ht="14.25">
      <c r="A48" s="242" t="s">
        <v>289</v>
      </c>
      <c r="B48" s="243">
        <v>0.03</v>
      </c>
      <c r="C48" s="2992" t="s">
        <v>2949</v>
      </c>
      <c r="D48" s="2975"/>
      <c r="E48" s="2974"/>
      <c r="F48" s="2974"/>
      <c r="G48" s="2974"/>
      <c r="H48" s="2974"/>
      <c r="I48" s="2974"/>
      <c r="J48" s="2974"/>
      <c r="K48" s="2973"/>
      <c r="L48" s="2973"/>
      <c r="M48" s="2971"/>
      <c r="N48" s="2971"/>
      <c r="O48" s="2971"/>
      <c r="P48" s="2971"/>
      <c r="Q48" s="2971"/>
      <c r="R48" s="2971"/>
      <c r="S48" s="2971"/>
      <c r="T48" s="2971"/>
      <c r="U48" s="2971"/>
      <c r="V48" s="2971"/>
      <c r="W48" s="2971"/>
      <c r="X48" s="2971"/>
      <c r="Y48" s="2971"/>
      <c r="Z48" s="2971"/>
      <c r="AA48" s="2971"/>
      <c r="AB48" s="2971"/>
      <c r="AC48" s="2971"/>
      <c r="AD48" s="2971"/>
      <c r="AE48" s="2971"/>
      <c r="AF48" s="2971"/>
      <c r="AG48" s="2971"/>
      <c r="AH48" s="2971"/>
      <c r="AI48" s="2971"/>
      <c r="AJ48" s="2971"/>
      <c r="AK48" s="2971"/>
      <c r="AL48" s="2971"/>
      <c r="AM48" s="2971"/>
      <c r="AN48" s="2971"/>
      <c r="AO48" s="2971"/>
      <c r="AP48" s="2971"/>
      <c r="AQ48" s="2971"/>
      <c r="AR48" s="2971"/>
      <c r="AS48" s="2971"/>
      <c r="AT48" s="2971"/>
      <c r="AU48" s="2971"/>
      <c r="AV48" s="2971"/>
      <c r="AW48" s="2971"/>
      <c r="AX48" s="2971"/>
      <c r="AY48" s="2971"/>
      <c r="AZ48" s="2971"/>
    </row>
    <row r="49" spans="1:52" ht="15" thickBot="1">
      <c r="A49" s="234" t="s">
        <v>290</v>
      </c>
      <c r="B49" s="237">
        <v>5.0000000000000001E-4</v>
      </c>
      <c r="C49" s="2992" t="s">
        <v>2951</v>
      </c>
      <c r="D49" s="2975"/>
      <c r="E49" s="2974"/>
      <c r="F49" s="2974"/>
      <c r="G49" s="2974"/>
      <c r="H49" s="2974"/>
      <c r="I49" s="2974"/>
      <c r="J49" s="2974"/>
      <c r="K49" s="2973"/>
      <c r="L49" s="2973"/>
      <c r="M49" s="2971"/>
      <c r="N49" s="2971"/>
      <c r="O49" s="2971"/>
      <c r="P49" s="2971"/>
      <c r="Q49" s="2971"/>
      <c r="R49" s="2971"/>
      <c r="S49" s="2971"/>
      <c r="T49" s="2971"/>
      <c r="U49" s="2971"/>
      <c r="V49" s="2971"/>
      <c r="W49" s="2971"/>
      <c r="X49" s="2971"/>
      <c r="Y49" s="2971"/>
      <c r="Z49" s="2971"/>
      <c r="AA49" s="2971"/>
      <c r="AB49" s="2971"/>
      <c r="AC49" s="2971"/>
      <c r="AD49" s="2971"/>
      <c r="AE49" s="2971"/>
      <c r="AF49" s="2971"/>
      <c r="AG49" s="2971"/>
      <c r="AH49" s="2971"/>
      <c r="AI49" s="2971"/>
      <c r="AJ49" s="2971"/>
      <c r="AK49" s="2971"/>
      <c r="AL49" s="2971"/>
      <c r="AM49" s="2971"/>
      <c r="AN49" s="2971"/>
      <c r="AO49" s="2971"/>
      <c r="AP49" s="2971"/>
      <c r="AQ49" s="2971"/>
      <c r="AR49" s="2971"/>
      <c r="AS49" s="2971"/>
      <c r="AT49" s="2971"/>
      <c r="AU49" s="2971"/>
      <c r="AV49" s="2971"/>
      <c r="AW49" s="2971"/>
      <c r="AX49" s="2971"/>
      <c r="AY49" s="2971"/>
      <c r="AZ49" s="2971"/>
    </row>
    <row r="50" spans="1:52" ht="14.25">
      <c r="A50" s="244" t="s">
        <v>291</v>
      </c>
      <c r="B50" s="245">
        <v>1.2E-2</v>
      </c>
      <c r="C50" s="2980"/>
      <c r="D50" s="2975"/>
      <c r="E50" s="2974"/>
      <c r="F50" s="2974"/>
      <c r="G50" s="2974"/>
      <c r="H50" s="2974"/>
      <c r="I50" s="2974"/>
      <c r="J50" s="2974"/>
      <c r="K50" s="2973"/>
      <c r="L50" s="2973"/>
      <c r="M50" s="2971"/>
      <c r="N50" s="2971"/>
      <c r="O50" s="2971"/>
      <c r="P50" s="2971"/>
      <c r="Q50" s="2971"/>
      <c r="R50" s="2971"/>
      <c r="S50" s="2971"/>
      <c r="T50" s="2971"/>
      <c r="U50" s="2971"/>
      <c r="V50" s="2971"/>
      <c r="W50" s="2971"/>
      <c r="X50" s="2971"/>
      <c r="Y50" s="2971"/>
      <c r="Z50" s="2971"/>
      <c r="AA50" s="2971"/>
      <c r="AB50" s="2971"/>
      <c r="AC50" s="2971"/>
      <c r="AD50" s="2971"/>
      <c r="AE50" s="2971"/>
      <c r="AF50" s="2971"/>
      <c r="AG50" s="2971"/>
      <c r="AH50" s="2971"/>
      <c r="AI50" s="2971"/>
      <c r="AJ50" s="2971"/>
      <c r="AK50" s="2971"/>
      <c r="AL50" s="2971"/>
      <c r="AM50" s="2971"/>
      <c r="AN50" s="2971"/>
      <c r="AO50" s="2971"/>
      <c r="AP50" s="2971"/>
      <c r="AQ50" s="2971"/>
      <c r="AR50" s="2971"/>
      <c r="AS50" s="2971"/>
      <c r="AT50" s="2971"/>
      <c r="AU50" s="2971"/>
      <c r="AV50" s="2971"/>
      <c r="AW50" s="2971"/>
      <c r="AX50" s="2971"/>
      <c r="AY50" s="2971"/>
      <c r="AZ50" s="2971"/>
    </row>
    <row r="51" spans="1:52" ht="15" thickBot="1">
      <c r="A51" s="229" t="s">
        <v>292</v>
      </c>
      <c r="B51" s="246">
        <v>0.12</v>
      </c>
      <c r="C51" s="2980"/>
      <c r="D51" s="2975"/>
      <c r="E51" s="2974"/>
      <c r="F51" s="2974"/>
      <c r="G51" s="2974"/>
      <c r="H51" s="2974"/>
      <c r="I51" s="2974"/>
      <c r="J51" s="2974"/>
      <c r="K51" s="2973"/>
      <c r="L51" s="2973"/>
      <c r="M51" s="2971"/>
      <c r="N51" s="2971"/>
      <c r="O51" s="2971"/>
      <c r="P51" s="2971"/>
      <c r="Q51" s="2971"/>
      <c r="R51" s="2971"/>
      <c r="S51" s="2971"/>
      <c r="T51" s="2971"/>
      <c r="U51" s="2971"/>
      <c r="V51" s="2971"/>
      <c r="W51" s="2971"/>
      <c r="X51" s="2971"/>
      <c r="Y51" s="2971"/>
      <c r="Z51" s="2971"/>
      <c r="AA51" s="2971"/>
      <c r="AB51" s="2971"/>
      <c r="AC51" s="2971"/>
      <c r="AD51" s="2971"/>
      <c r="AE51" s="2971"/>
      <c r="AF51" s="2971"/>
      <c r="AG51" s="2971"/>
      <c r="AH51" s="2971"/>
      <c r="AI51" s="2971"/>
      <c r="AJ51" s="2971"/>
      <c r="AK51" s="2971"/>
      <c r="AL51" s="2971"/>
      <c r="AM51" s="2971"/>
      <c r="AN51" s="2971"/>
      <c r="AO51" s="2971"/>
      <c r="AP51" s="2971"/>
      <c r="AQ51" s="2971"/>
      <c r="AR51" s="2971"/>
      <c r="AS51" s="2971"/>
      <c r="AT51" s="2971"/>
      <c r="AU51" s="2971"/>
      <c r="AV51" s="2971"/>
      <c r="AW51" s="2971"/>
      <c r="AX51" s="2971"/>
      <c r="AY51" s="2971"/>
      <c r="AZ51" s="2971"/>
    </row>
    <row r="52" spans="1:52" ht="14.25">
      <c r="A52" s="244" t="s">
        <v>293</v>
      </c>
      <c r="B52" s="247">
        <f>SUMIF(A54:A63,B53,B54:B63)</f>
        <v>1.5</v>
      </c>
      <c r="C52" s="2980"/>
      <c r="D52" s="2975"/>
      <c r="E52" s="2974"/>
      <c r="F52" s="2974"/>
      <c r="G52" s="2974"/>
      <c r="H52" s="2974"/>
      <c r="I52" s="2974"/>
      <c r="J52" s="2974"/>
      <c r="K52" s="2973"/>
      <c r="L52" s="2973"/>
      <c r="M52" s="2971"/>
      <c r="N52" s="2971"/>
      <c r="O52" s="2971"/>
      <c r="P52" s="2971"/>
      <c r="Q52" s="2971"/>
      <c r="R52" s="2971"/>
      <c r="S52" s="2971"/>
      <c r="T52" s="2971"/>
      <c r="U52" s="2971"/>
      <c r="V52" s="2971"/>
      <c r="W52" s="2971"/>
      <c r="X52" s="2971"/>
      <c r="Y52" s="2971"/>
      <c r="Z52" s="2971"/>
      <c r="AA52" s="2971"/>
      <c r="AB52" s="2971"/>
      <c r="AC52" s="2971"/>
      <c r="AD52" s="2971"/>
      <c r="AE52" s="2971"/>
      <c r="AF52" s="2971"/>
      <c r="AG52" s="2971"/>
      <c r="AH52" s="2971"/>
      <c r="AI52" s="2971"/>
      <c r="AJ52" s="2971"/>
      <c r="AK52" s="2971"/>
      <c r="AL52" s="2971"/>
      <c r="AM52" s="2971"/>
      <c r="AN52" s="2971"/>
      <c r="AO52" s="2971"/>
      <c r="AP52" s="2971"/>
      <c r="AQ52" s="2971"/>
      <c r="AR52" s="2971"/>
      <c r="AS52" s="2971"/>
      <c r="AT52" s="2971"/>
      <c r="AU52" s="2971"/>
      <c r="AV52" s="2971"/>
      <c r="AW52" s="2971"/>
      <c r="AX52" s="2971"/>
      <c r="AY52" s="2971"/>
      <c r="AZ52" s="2971"/>
    </row>
    <row r="53" spans="1:52" ht="27">
      <c r="A53" s="226" t="s">
        <v>294</v>
      </c>
      <c r="B53" s="248" t="s">
        <v>1400</v>
      </c>
      <c r="C53" s="2982" t="s">
        <v>2847</v>
      </c>
      <c r="D53" s="2993" t="s">
        <v>2954</v>
      </c>
      <c r="E53" s="2974"/>
      <c r="F53" s="2974"/>
      <c r="G53" s="2974"/>
      <c r="H53" s="2974"/>
      <c r="I53" s="2974"/>
      <c r="J53" s="2974"/>
      <c r="K53" s="2973"/>
      <c r="L53" s="2973"/>
      <c r="M53" s="2971"/>
      <c r="N53" s="2971"/>
      <c r="O53" s="2971"/>
      <c r="P53" s="2971"/>
      <c r="Q53" s="2971"/>
      <c r="R53" s="2971"/>
      <c r="S53" s="2971"/>
      <c r="T53" s="2971"/>
      <c r="U53" s="2971"/>
      <c r="V53" s="2971"/>
      <c r="W53" s="2971"/>
      <c r="X53" s="2971"/>
      <c r="Y53" s="2971"/>
      <c r="Z53" s="2971"/>
      <c r="AA53" s="2971"/>
      <c r="AB53" s="2971"/>
      <c r="AC53" s="2971"/>
      <c r="AD53" s="2971"/>
      <c r="AE53" s="2971"/>
      <c r="AF53" s="2971"/>
      <c r="AG53" s="2971"/>
      <c r="AH53" s="2971"/>
      <c r="AI53" s="2971"/>
      <c r="AJ53" s="2971"/>
      <c r="AK53" s="2971"/>
      <c r="AL53" s="2971"/>
      <c r="AM53" s="2971"/>
      <c r="AN53" s="2971"/>
      <c r="AO53" s="2971"/>
      <c r="AP53" s="2971"/>
      <c r="AQ53" s="2971"/>
      <c r="AR53" s="2971"/>
      <c r="AS53" s="2971"/>
      <c r="AT53" s="2971"/>
      <c r="AU53" s="2971"/>
      <c r="AV53" s="2971"/>
      <c r="AW53" s="2971"/>
      <c r="AX53" s="2971"/>
      <c r="AY53" s="2971"/>
      <c r="AZ53" s="2971"/>
    </row>
    <row r="54" spans="1:52" ht="14.25">
      <c r="A54" s="2771" t="s">
        <v>2848</v>
      </c>
      <c r="B54" s="184"/>
      <c r="C54" s="2979">
        <v>30</v>
      </c>
      <c r="D54" s="2983"/>
      <c r="E54" s="2974"/>
      <c r="F54" s="2974"/>
      <c r="G54" s="2974"/>
      <c r="H54" s="2974"/>
      <c r="I54" s="2974"/>
      <c r="J54" s="2974"/>
      <c r="K54" s="2973"/>
      <c r="L54" s="2973"/>
      <c r="M54" s="2971"/>
      <c r="N54" s="2971"/>
      <c r="O54" s="2971"/>
      <c r="P54" s="2971"/>
      <c r="Q54" s="2971"/>
      <c r="R54" s="2971"/>
      <c r="S54" s="2971"/>
      <c r="T54" s="2971"/>
      <c r="U54" s="2971"/>
      <c r="V54" s="2971"/>
      <c r="W54" s="2971"/>
      <c r="X54" s="2971"/>
      <c r="Y54" s="2971"/>
      <c r="Z54" s="2971"/>
      <c r="AA54" s="2971"/>
      <c r="AB54" s="2971"/>
      <c r="AC54" s="2971"/>
      <c r="AD54" s="2971"/>
      <c r="AE54" s="2971"/>
      <c r="AF54" s="2971"/>
      <c r="AG54" s="2971"/>
      <c r="AH54" s="2971"/>
      <c r="AI54" s="2971"/>
      <c r="AJ54" s="2971"/>
      <c r="AK54" s="2971"/>
      <c r="AL54" s="2971"/>
      <c r="AM54" s="2971"/>
      <c r="AN54" s="2971"/>
      <c r="AO54" s="2971"/>
      <c r="AP54" s="2971"/>
      <c r="AQ54" s="2971"/>
      <c r="AR54" s="2971"/>
      <c r="AS54" s="2971"/>
      <c r="AT54" s="2971"/>
      <c r="AU54" s="2971"/>
      <c r="AV54" s="2971"/>
      <c r="AW54" s="2971"/>
      <c r="AX54" s="2971"/>
      <c r="AY54" s="2971"/>
      <c r="AZ54" s="2971"/>
    </row>
    <row r="55" spans="1:52" ht="14.25">
      <c r="A55" s="2771" t="s">
        <v>2849</v>
      </c>
      <c r="B55" s="184"/>
      <c r="C55" s="2979">
        <v>24</v>
      </c>
      <c r="D55" s="2983"/>
      <c r="E55" s="2974"/>
      <c r="F55" s="2974"/>
      <c r="G55" s="2974"/>
      <c r="H55" s="2974"/>
      <c r="I55" s="2984"/>
      <c r="J55" s="2974"/>
      <c r="K55" s="2973"/>
      <c r="L55" s="2973"/>
      <c r="M55" s="2971"/>
      <c r="N55" s="2971"/>
      <c r="O55" s="2971"/>
      <c r="P55" s="2971"/>
      <c r="Q55" s="2971"/>
      <c r="R55" s="2971"/>
      <c r="S55" s="2971"/>
      <c r="T55" s="2971"/>
      <c r="U55" s="2971"/>
      <c r="V55" s="2971"/>
      <c r="W55" s="2971"/>
      <c r="X55" s="2971"/>
      <c r="Y55" s="2971"/>
      <c r="Z55" s="2971"/>
      <c r="AA55" s="2971"/>
      <c r="AB55" s="2971"/>
      <c r="AC55" s="2971"/>
      <c r="AD55" s="2971"/>
      <c r="AE55" s="2971"/>
      <c r="AF55" s="2971"/>
      <c r="AG55" s="2971"/>
      <c r="AH55" s="2971"/>
      <c r="AI55" s="2971"/>
      <c r="AJ55" s="2971"/>
      <c r="AK55" s="2971"/>
      <c r="AL55" s="2971"/>
      <c r="AM55" s="2971"/>
      <c r="AN55" s="2971"/>
      <c r="AO55" s="2971"/>
      <c r="AP55" s="2971"/>
      <c r="AQ55" s="2971"/>
      <c r="AR55" s="2971"/>
      <c r="AS55" s="2971"/>
      <c r="AT55" s="2971"/>
      <c r="AU55" s="2971"/>
      <c r="AV55" s="2971"/>
      <c r="AW55" s="2971"/>
      <c r="AX55" s="2971"/>
      <c r="AY55" s="2971"/>
      <c r="AZ55" s="2971"/>
    </row>
    <row r="56" spans="1:52" ht="14.25">
      <c r="A56" s="2771" t="s">
        <v>2850</v>
      </c>
      <c r="B56" s="184"/>
      <c r="C56" s="2979">
        <v>18</v>
      </c>
      <c r="D56" s="2983"/>
      <c r="E56" s="2974"/>
      <c r="F56" s="2974"/>
      <c r="G56" s="2974"/>
      <c r="H56" s="2974"/>
      <c r="I56" s="2974"/>
      <c r="J56" s="2974"/>
      <c r="K56" s="2973"/>
      <c r="L56" s="2973"/>
      <c r="M56" s="2971"/>
      <c r="N56" s="2971"/>
      <c r="O56" s="2971"/>
      <c r="P56" s="2971"/>
      <c r="Q56" s="2971"/>
      <c r="R56" s="2971"/>
      <c r="S56" s="2971"/>
      <c r="T56" s="2971"/>
      <c r="U56" s="2971"/>
      <c r="V56" s="2971"/>
      <c r="W56" s="2971"/>
      <c r="X56" s="2971"/>
      <c r="Y56" s="2971"/>
      <c r="Z56" s="2971"/>
      <c r="AA56" s="2971"/>
      <c r="AB56" s="2971"/>
      <c r="AC56" s="2971"/>
      <c r="AD56" s="2971"/>
      <c r="AE56" s="2971"/>
      <c r="AF56" s="2971"/>
      <c r="AG56" s="2971"/>
      <c r="AH56" s="2971"/>
      <c r="AI56" s="2971"/>
      <c r="AJ56" s="2971"/>
      <c r="AK56" s="2971"/>
      <c r="AL56" s="2971"/>
      <c r="AM56" s="2971"/>
      <c r="AN56" s="2971"/>
      <c r="AO56" s="2971"/>
      <c r="AP56" s="2971"/>
      <c r="AQ56" s="2971"/>
      <c r="AR56" s="2971"/>
      <c r="AS56" s="2971"/>
      <c r="AT56" s="2971"/>
      <c r="AU56" s="2971"/>
      <c r="AV56" s="2971"/>
      <c r="AW56" s="2971"/>
      <c r="AX56" s="2971"/>
      <c r="AY56" s="2971"/>
      <c r="AZ56" s="2971"/>
    </row>
    <row r="57" spans="1:52" ht="14.25">
      <c r="A57" s="2771" t="s">
        <v>2851</v>
      </c>
      <c r="B57" s="184"/>
      <c r="C57" s="2979">
        <v>12</v>
      </c>
      <c r="D57" s="2983"/>
      <c r="E57" s="2974"/>
      <c r="F57" s="2974"/>
      <c r="G57" s="2974"/>
      <c r="H57" s="2974"/>
      <c r="I57" s="2974"/>
      <c r="J57" s="2974"/>
      <c r="K57" s="2973"/>
      <c r="L57" s="2973"/>
      <c r="M57" s="2971"/>
      <c r="N57" s="2971"/>
      <c r="O57" s="2971"/>
      <c r="P57" s="2971"/>
      <c r="Q57" s="2971"/>
      <c r="R57" s="2971"/>
      <c r="S57" s="2971"/>
      <c r="T57" s="2971"/>
      <c r="U57" s="2971"/>
      <c r="V57" s="2971"/>
      <c r="W57" s="2971"/>
      <c r="X57" s="2971"/>
      <c r="Y57" s="2971"/>
      <c r="Z57" s="2971"/>
      <c r="AA57" s="2971"/>
      <c r="AB57" s="2971"/>
      <c r="AC57" s="2971"/>
      <c r="AD57" s="2971"/>
      <c r="AE57" s="2971"/>
      <c r="AF57" s="2971"/>
      <c r="AG57" s="2971"/>
      <c r="AH57" s="2971"/>
      <c r="AI57" s="2971"/>
      <c r="AJ57" s="2971"/>
      <c r="AK57" s="2971"/>
      <c r="AL57" s="2971"/>
      <c r="AM57" s="2971"/>
      <c r="AN57" s="2971"/>
      <c r="AO57" s="2971"/>
      <c r="AP57" s="2971"/>
      <c r="AQ57" s="2971"/>
      <c r="AR57" s="2971"/>
      <c r="AS57" s="2971"/>
      <c r="AT57" s="2971"/>
      <c r="AU57" s="2971"/>
      <c r="AV57" s="2971"/>
      <c r="AW57" s="2971"/>
      <c r="AX57" s="2971"/>
      <c r="AY57" s="2971"/>
      <c r="AZ57" s="2971"/>
    </row>
    <row r="58" spans="1:52" ht="14.25">
      <c r="A58" s="2771" t="s">
        <v>2852</v>
      </c>
      <c r="B58" s="184"/>
      <c r="C58" s="2979">
        <v>3</v>
      </c>
      <c r="D58" s="2983"/>
      <c r="E58" s="2974"/>
      <c r="F58" s="2974"/>
      <c r="G58" s="2974"/>
      <c r="H58" s="2974"/>
      <c r="I58" s="2974"/>
      <c r="J58" s="2974"/>
      <c r="K58" s="2973"/>
      <c r="L58" s="2973"/>
      <c r="M58" s="2971"/>
      <c r="N58" s="2971"/>
      <c r="O58" s="2971"/>
      <c r="P58" s="2971"/>
      <c r="Q58" s="2971"/>
      <c r="R58" s="2971"/>
      <c r="S58" s="2971"/>
      <c r="T58" s="2971"/>
      <c r="U58" s="2971"/>
      <c r="V58" s="2971"/>
      <c r="W58" s="2971"/>
      <c r="X58" s="2971"/>
      <c r="Y58" s="2971"/>
      <c r="Z58" s="2971"/>
      <c r="AA58" s="2971"/>
      <c r="AB58" s="2971"/>
      <c r="AC58" s="2971"/>
      <c r="AD58" s="2971"/>
      <c r="AE58" s="2971"/>
      <c r="AF58" s="2971"/>
      <c r="AG58" s="2971"/>
      <c r="AH58" s="2971"/>
      <c r="AI58" s="2971"/>
      <c r="AJ58" s="2971"/>
      <c r="AK58" s="2971"/>
      <c r="AL58" s="2971"/>
      <c r="AM58" s="2971"/>
      <c r="AN58" s="2971"/>
      <c r="AO58" s="2971"/>
      <c r="AP58" s="2971"/>
      <c r="AQ58" s="2971"/>
      <c r="AR58" s="2971"/>
      <c r="AS58" s="2971"/>
      <c r="AT58" s="2971"/>
      <c r="AU58" s="2971"/>
      <c r="AV58" s="2971"/>
      <c r="AW58" s="2971"/>
      <c r="AX58" s="2971"/>
      <c r="AY58" s="2971"/>
      <c r="AZ58" s="2971"/>
    </row>
    <row r="59" spans="1:52" ht="14.25">
      <c r="A59" s="2771" t="s">
        <v>2853</v>
      </c>
      <c r="B59" s="184">
        <v>1.5</v>
      </c>
      <c r="C59" s="2979">
        <v>1.5</v>
      </c>
      <c r="D59" s="2983"/>
      <c r="E59" s="2974"/>
      <c r="F59" s="2974"/>
      <c r="G59" s="2974"/>
      <c r="H59" s="2974"/>
      <c r="I59" s="2974"/>
      <c r="J59" s="2974"/>
      <c r="K59" s="2973"/>
      <c r="L59" s="2973"/>
      <c r="M59" s="2971"/>
      <c r="N59" s="2971"/>
      <c r="O59" s="2971"/>
      <c r="P59" s="2971"/>
      <c r="Q59" s="2971"/>
      <c r="R59" s="2971"/>
      <c r="S59" s="2971"/>
      <c r="T59" s="2971"/>
      <c r="U59" s="2971"/>
      <c r="V59" s="2971"/>
      <c r="W59" s="2971"/>
      <c r="X59" s="2971"/>
      <c r="Y59" s="2971"/>
      <c r="Z59" s="2971"/>
      <c r="AA59" s="2971"/>
      <c r="AB59" s="2971"/>
      <c r="AC59" s="2971"/>
      <c r="AD59" s="2971"/>
      <c r="AE59" s="2971"/>
      <c r="AF59" s="2971"/>
      <c r="AG59" s="2971"/>
      <c r="AH59" s="2971"/>
      <c r="AI59" s="2971"/>
      <c r="AJ59" s="2971"/>
      <c r="AK59" s="2971"/>
      <c r="AL59" s="2971"/>
      <c r="AM59" s="2971"/>
      <c r="AN59" s="2971"/>
      <c r="AO59" s="2971"/>
      <c r="AP59" s="2971"/>
      <c r="AQ59" s="2971"/>
      <c r="AR59" s="2971"/>
      <c r="AS59" s="2971"/>
      <c r="AT59" s="2971"/>
      <c r="AU59" s="2971"/>
      <c r="AV59" s="2971"/>
      <c r="AW59" s="2971"/>
      <c r="AX59" s="2971"/>
      <c r="AY59" s="2971"/>
      <c r="AZ59" s="2971"/>
    </row>
    <row r="60" spans="1:52" ht="14.25">
      <c r="A60" s="2771" t="s">
        <v>2854</v>
      </c>
      <c r="B60" s="184"/>
      <c r="C60" s="2974"/>
      <c r="D60" s="2975"/>
      <c r="E60" s="2974"/>
      <c r="F60" s="2974"/>
      <c r="G60" s="2974"/>
      <c r="H60" s="2974"/>
      <c r="I60" s="2974"/>
      <c r="J60" s="2974"/>
      <c r="K60" s="2973"/>
      <c r="L60" s="2973"/>
      <c r="M60" s="2971"/>
      <c r="N60" s="2971"/>
      <c r="O60" s="2971"/>
      <c r="P60" s="2971"/>
      <c r="Q60" s="2971"/>
      <c r="R60" s="2971"/>
      <c r="S60" s="2971"/>
      <c r="T60" s="2971"/>
      <c r="U60" s="2971"/>
      <c r="V60" s="2971"/>
      <c r="W60" s="2971"/>
      <c r="X60" s="2971"/>
      <c r="Y60" s="2971"/>
      <c r="Z60" s="2971"/>
      <c r="AA60" s="2971"/>
      <c r="AB60" s="2971"/>
      <c r="AC60" s="2971"/>
      <c r="AD60" s="2971"/>
      <c r="AE60" s="2971"/>
      <c r="AF60" s="2971"/>
      <c r="AG60" s="2971"/>
      <c r="AH60" s="2971"/>
      <c r="AI60" s="2971"/>
      <c r="AJ60" s="2971"/>
      <c r="AK60" s="2971"/>
      <c r="AL60" s="2971"/>
      <c r="AM60" s="2971"/>
      <c r="AN60" s="2971"/>
      <c r="AO60" s="2971"/>
      <c r="AP60" s="2971"/>
      <c r="AQ60" s="2971"/>
      <c r="AR60" s="2971"/>
      <c r="AS60" s="2971"/>
      <c r="AT60" s="2971"/>
      <c r="AU60" s="2971"/>
      <c r="AV60" s="2971"/>
      <c r="AW60" s="2971"/>
      <c r="AX60" s="2971"/>
      <c r="AY60" s="2971"/>
      <c r="AZ60" s="2971"/>
    </row>
    <row r="61" spans="1:52" ht="14.25">
      <c r="A61" s="2771" t="s">
        <v>2855</v>
      </c>
      <c r="B61" s="184"/>
      <c r="C61" s="2974"/>
      <c r="D61" s="2975"/>
      <c r="E61" s="2974"/>
      <c r="F61" s="2974"/>
      <c r="G61" s="2974"/>
      <c r="H61" s="2974"/>
      <c r="I61" s="2974"/>
      <c r="J61" s="2974"/>
      <c r="K61" s="2973"/>
      <c r="L61" s="2973"/>
      <c r="M61" s="2971"/>
      <c r="N61" s="2971"/>
      <c r="O61" s="2971"/>
      <c r="P61" s="2971"/>
      <c r="Q61" s="2971"/>
      <c r="R61" s="2971"/>
      <c r="S61" s="2971"/>
      <c r="T61" s="2971"/>
      <c r="U61" s="2971"/>
      <c r="V61" s="2971"/>
      <c r="W61" s="2971"/>
      <c r="X61" s="2971"/>
      <c r="Y61" s="2971"/>
      <c r="Z61" s="2971"/>
      <c r="AA61" s="2971"/>
      <c r="AB61" s="2971"/>
      <c r="AC61" s="2971"/>
      <c r="AD61" s="2971"/>
      <c r="AE61" s="2971"/>
      <c r="AF61" s="2971"/>
      <c r="AG61" s="2971"/>
      <c r="AH61" s="2971"/>
      <c r="AI61" s="2971"/>
      <c r="AJ61" s="2971"/>
      <c r="AK61" s="2971"/>
      <c r="AL61" s="2971"/>
      <c r="AM61" s="2971"/>
      <c r="AN61" s="2971"/>
      <c r="AO61" s="2971"/>
      <c r="AP61" s="2971"/>
      <c r="AQ61" s="2971"/>
      <c r="AR61" s="2971"/>
      <c r="AS61" s="2971"/>
      <c r="AT61" s="2971"/>
      <c r="AU61" s="2971"/>
      <c r="AV61" s="2971"/>
      <c r="AW61" s="2971"/>
      <c r="AX61" s="2971"/>
      <c r="AY61" s="2971"/>
      <c r="AZ61" s="2971"/>
    </row>
    <row r="62" spans="1:52" ht="14.25">
      <c r="A62" s="2771" t="s">
        <v>2856</v>
      </c>
      <c r="B62" s="184"/>
      <c r="C62" s="2974"/>
      <c r="D62" s="2975"/>
      <c r="E62" s="2974"/>
      <c r="F62" s="2974"/>
      <c r="G62" s="2974"/>
      <c r="H62" s="2974"/>
      <c r="I62" s="2974"/>
      <c r="J62" s="2974"/>
      <c r="K62" s="2973"/>
      <c r="L62" s="2973"/>
      <c r="M62" s="2971"/>
      <c r="N62" s="2971"/>
      <c r="O62" s="2971"/>
      <c r="P62" s="2971"/>
      <c r="Q62" s="2971"/>
      <c r="R62" s="2971"/>
      <c r="S62" s="2971"/>
      <c r="T62" s="2971"/>
      <c r="U62" s="2971"/>
      <c r="V62" s="2971"/>
      <c r="W62" s="2971"/>
      <c r="X62" s="2971"/>
      <c r="Y62" s="2971"/>
      <c r="Z62" s="2971"/>
      <c r="AA62" s="2971"/>
      <c r="AB62" s="2971"/>
      <c r="AC62" s="2971"/>
      <c r="AD62" s="2971"/>
      <c r="AE62" s="2971"/>
      <c r="AF62" s="2971"/>
      <c r="AG62" s="2971"/>
      <c r="AH62" s="2971"/>
      <c r="AI62" s="2971"/>
      <c r="AJ62" s="2971"/>
      <c r="AK62" s="2971"/>
      <c r="AL62" s="2971"/>
      <c r="AM62" s="2971"/>
      <c r="AN62" s="2971"/>
      <c r="AO62" s="2971"/>
      <c r="AP62" s="2971"/>
      <c r="AQ62" s="2971"/>
      <c r="AR62" s="2971"/>
      <c r="AS62" s="2971"/>
      <c r="AT62" s="2971"/>
      <c r="AU62" s="2971"/>
      <c r="AV62" s="2971"/>
      <c r="AW62" s="2971"/>
      <c r="AX62" s="2971"/>
      <c r="AY62" s="2971"/>
      <c r="AZ62" s="2971"/>
    </row>
    <row r="63" spans="1:52" ht="15" thickBot="1">
      <c r="A63" s="2772" t="s">
        <v>2857</v>
      </c>
      <c r="B63" s="249"/>
      <c r="C63" s="2974"/>
      <c r="D63" s="2975"/>
      <c r="E63" s="2974"/>
      <c r="F63" s="2974"/>
      <c r="G63" s="2974"/>
      <c r="H63" s="2974"/>
      <c r="I63" s="2974"/>
      <c r="J63" s="2974"/>
      <c r="K63" s="2973"/>
      <c r="L63" s="2973"/>
      <c r="M63" s="2971"/>
      <c r="N63" s="2971"/>
      <c r="O63" s="2971"/>
      <c r="P63" s="2971"/>
      <c r="Q63" s="2971"/>
      <c r="R63" s="2971"/>
      <c r="S63" s="2971"/>
      <c r="T63" s="2971"/>
      <c r="U63" s="2971"/>
      <c r="V63" s="2971"/>
      <c r="W63" s="2971"/>
      <c r="X63" s="2971"/>
      <c r="Y63" s="2971"/>
      <c r="Z63" s="2971"/>
      <c r="AA63" s="2971"/>
      <c r="AB63" s="2971"/>
      <c r="AC63" s="2971"/>
      <c r="AD63" s="2971"/>
      <c r="AE63" s="2971"/>
      <c r="AF63" s="2971"/>
      <c r="AG63" s="2971"/>
      <c r="AH63" s="2971"/>
      <c r="AI63" s="2971"/>
      <c r="AJ63" s="2971"/>
      <c r="AK63" s="2971"/>
      <c r="AL63" s="2971"/>
      <c r="AM63" s="2971"/>
      <c r="AN63" s="2971"/>
      <c r="AO63" s="2971"/>
      <c r="AP63" s="2971"/>
      <c r="AQ63" s="2971"/>
      <c r="AR63" s="2971"/>
      <c r="AS63" s="2971"/>
      <c r="AT63" s="2971"/>
      <c r="AU63" s="2971"/>
      <c r="AV63" s="2971"/>
      <c r="AW63" s="2971"/>
      <c r="AX63" s="2971"/>
      <c r="AY63" s="2971"/>
      <c r="AZ63" s="2971"/>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AI33" sqref="AI33"/>
      <selection pane="topRight" activeCell="AI33" sqref="AI33"/>
      <selection pane="bottomLeft" activeCell="AI33" sqref="AI33"/>
      <selection pane="bottomRight" activeCell="C20" sqref="C20"/>
    </sheetView>
  </sheetViews>
  <sheetFormatPr defaultColWidth="9" defaultRowHeight="13.5"/>
  <cols>
    <col min="1" max="1" width="9.5" style="3005" customWidth="1"/>
    <col min="2" max="2" width="23.5" style="3038" customWidth="1"/>
    <col min="3" max="3" width="32.25" style="3040" customWidth="1"/>
    <col min="4" max="4" width="2.625" style="3040" customWidth="1"/>
    <col min="5" max="5" width="5.875" style="3040" customWidth="1"/>
    <col min="6" max="6" width="23.625" style="3038" customWidth="1"/>
    <col min="7" max="7" width="33.375" style="3039" customWidth="1"/>
    <col min="8" max="8" width="11.875" style="3038" customWidth="1"/>
    <col min="9" max="9" width="16.75" style="3039" customWidth="1"/>
    <col min="10" max="10" width="2.625" style="3040" customWidth="1"/>
    <col min="11" max="11" width="11.875" style="3038" customWidth="1"/>
    <col min="12" max="12" width="16.75" style="3039" customWidth="1"/>
    <col min="13" max="13" width="2.625" style="3040" customWidth="1"/>
    <col min="14" max="14" width="11.875" style="3038" customWidth="1"/>
    <col min="15" max="15" width="16.75" style="3039" customWidth="1"/>
    <col min="16" max="16" width="2.625" style="3040" customWidth="1"/>
    <col min="17" max="17" width="11.875" style="3038" customWidth="1"/>
    <col min="18" max="18" width="16.75" style="3041" customWidth="1"/>
    <col min="19" max="16384" width="9" style="3005"/>
  </cols>
  <sheetData>
    <row r="1" spans="1:18" s="2999" customFormat="1" ht="19.5" thickBot="1">
      <c r="A1" s="3398" t="s">
        <v>1654</v>
      </c>
      <c r="B1" s="3399"/>
      <c r="C1" s="3399"/>
      <c r="D1" s="3399"/>
      <c r="E1" s="3399"/>
      <c r="F1" s="3399"/>
      <c r="G1" s="3399"/>
      <c r="H1" s="2994"/>
      <c r="I1" s="2995"/>
      <c r="J1" s="2996"/>
      <c r="K1" s="2994"/>
      <c r="L1" s="2995"/>
      <c r="M1" s="2996"/>
      <c r="N1" s="2994"/>
      <c r="O1" s="2995"/>
      <c r="P1" s="2996"/>
      <c r="Q1" s="2997"/>
      <c r="R1" s="2998"/>
    </row>
    <row r="2" spans="1:18" ht="14.25" thickBot="1">
      <c r="A2" s="3000"/>
      <c r="B2" s="3001"/>
      <c r="C2" s="3002" t="s">
        <v>1655</v>
      </c>
      <c r="D2" s="3003"/>
      <c r="E2" s="3000"/>
      <c r="F2" s="3004"/>
      <c r="G2" s="3002" t="s">
        <v>1656</v>
      </c>
      <c r="H2" s="3005"/>
      <c r="I2" s="3005"/>
      <c r="J2" s="3005"/>
      <c r="K2" s="3005"/>
      <c r="L2" s="3005"/>
      <c r="M2" s="3005"/>
      <c r="N2" s="3005"/>
      <c r="O2" s="3005"/>
      <c r="P2" s="3005"/>
      <c r="Q2" s="3005"/>
      <c r="R2" s="3005"/>
    </row>
    <row r="3" spans="1:18" ht="29.25" thickBot="1">
      <c r="A3" s="3006" t="s">
        <v>1657</v>
      </c>
      <c r="B3" s="3007" t="s">
        <v>1644</v>
      </c>
      <c r="C3" s="3169" t="s">
        <v>3124</v>
      </c>
      <c r="D3" s="3008"/>
      <c r="E3" s="3009" t="s">
        <v>1657</v>
      </c>
      <c r="F3" s="3010" t="s">
        <v>1645</v>
      </c>
      <c r="G3" s="3011" t="s">
        <v>2862</v>
      </c>
      <c r="H3" s="3005"/>
      <c r="I3" s="3005"/>
      <c r="J3" s="3005"/>
      <c r="K3" s="3005"/>
      <c r="L3" s="3005"/>
      <c r="M3" s="3005"/>
      <c r="N3" s="3005"/>
      <c r="O3" s="3005"/>
      <c r="P3" s="3005"/>
      <c r="Q3" s="3005"/>
      <c r="R3" s="3005"/>
    </row>
    <row r="4" spans="1:18" ht="40.5">
      <c r="A4" s="3009"/>
      <c r="B4" s="3012" t="s">
        <v>1658</v>
      </c>
      <c r="C4" s="3169" t="s">
        <v>3124</v>
      </c>
      <c r="D4" s="3008"/>
      <c r="E4" s="3013"/>
      <c r="F4" s="3014" t="s">
        <v>1659</v>
      </c>
      <c r="G4" s="3015" t="s">
        <v>2859</v>
      </c>
      <c r="H4" s="3005"/>
      <c r="I4" s="3005"/>
      <c r="J4" s="3005"/>
      <c r="K4" s="3005"/>
      <c r="L4" s="3005"/>
      <c r="M4" s="3005"/>
      <c r="N4" s="3005"/>
      <c r="O4" s="3005"/>
      <c r="P4" s="3005"/>
      <c r="Q4" s="3005"/>
      <c r="R4" s="3005"/>
    </row>
    <row r="5" spans="1:18" ht="27.75" thickBot="1">
      <c r="A5" s="3009"/>
      <c r="B5" s="3012" t="s">
        <v>1660</v>
      </c>
      <c r="C5" s="3170" t="s">
        <v>3125</v>
      </c>
      <c r="D5" s="3008"/>
      <c r="E5" s="3013"/>
      <c r="F5" s="3012" t="s">
        <v>2525</v>
      </c>
      <c r="G5" s="3015" t="s">
        <v>2860</v>
      </c>
      <c r="H5" s="3005"/>
      <c r="I5" s="3005"/>
      <c r="J5" s="3005"/>
      <c r="K5" s="3005"/>
      <c r="L5" s="3005"/>
      <c r="M5" s="3005"/>
      <c r="N5" s="3005"/>
      <c r="O5" s="3005"/>
      <c r="P5" s="3005"/>
      <c r="Q5" s="3005"/>
      <c r="R5" s="3005"/>
    </row>
    <row r="6" spans="1:18" ht="14.25" thickBot="1">
      <c r="A6" s="3009"/>
      <c r="B6" s="3012" t="s">
        <v>1646</v>
      </c>
      <c r="C6" s="3169" t="s">
        <v>3124</v>
      </c>
      <c r="D6" s="3008"/>
      <c r="E6" s="3013"/>
      <c r="F6" s="3012" t="s">
        <v>2526</v>
      </c>
      <c r="G6" s="3015" t="s">
        <v>2858</v>
      </c>
      <c r="H6" s="3005"/>
      <c r="I6" s="3005"/>
      <c r="J6" s="3005"/>
      <c r="K6" s="3005"/>
      <c r="L6" s="3005"/>
      <c r="M6" s="3005"/>
      <c r="N6" s="3005"/>
      <c r="O6" s="3005"/>
      <c r="P6" s="3005"/>
      <c r="Q6" s="3005"/>
      <c r="R6" s="3005"/>
    </row>
    <row r="7" spans="1:18" ht="27.75" thickBot="1">
      <c r="A7" s="3009"/>
      <c r="B7" s="3012" t="s">
        <v>2525</v>
      </c>
      <c r="C7" s="3169" t="s">
        <v>3124</v>
      </c>
      <c r="D7" s="3016"/>
      <c r="E7" s="3017"/>
      <c r="F7" s="3018" t="s">
        <v>1661</v>
      </c>
      <c r="G7" s="3019" t="s">
        <v>2861</v>
      </c>
      <c r="H7" s="3005"/>
      <c r="I7" s="3005"/>
      <c r="J7" s="3005"/>
      <c r="K7" s="3005"/>
      <c r="L7" s="3005"/>
      <c r="M7" s="3005"/>
      <c r="N7" s="3005"/>
      <c r="O7" s="3005"/>
      <c r="P7" s="3005"/>
      <c r="Q7" s="3005"/>
      <c r="R7" s="3005"/>
    </row>
    <row r="8" spans="1:18">
      <c r="A8" s="3009"/>
      <c r="B8" s="3012" t="s">
        <v>2526</v>
      </c>
      <c r="C8" s="3171" t="s">
        <v>3126</v>
      </c>
      <c r="D8" s="3016"/>
      <c r="E8" s="3016"/>
      <c r="F8" s="3020"/>
      <c r="G8" s="3020"/>
      <c r="H8" s="3005"/>
      <c r="I8" s="3005"/>
      <c r="J8" s="3005"/>
      <c r="K8" s="3005"/>
      <c r="L8" s="3005"/>
      <c r="M8" s="3005"/>
      <c r="N8" s="3005"/>
      <c r="O8" s="3005"/>
      <c r="P8" s="3005"/>
      <c r="Q8" s="3005"/>
      <c r="R8" s="3005"/>
    </row>
    <row r="9" spans="1:18">
      <c r="A9" s="3009"/>
      <c r="B9" s="3012" t="s">
        <v>1647</v>
      </c>
      <c r="C9" s="3170" t="s">
        <v>3128</v>
      </c>
      <c r="D9" s="3008"/>
      <c r="E9" s="3016"/>
      <c r="F9" s="3020"/>
      <c r="G9" s="3020"/>
      <c r="H9" s="3005"/>
      <c r="I9" s="3005"/>
      <c r="J9" s="3005"/>
      <c r="K9" s="3005"/>
      <c r="L9" s="3005"/>
      <c r="M9" s="3005"/>
      <c r="N9" s="3005"/>
      <c r="O9" s="3005"/>
      <c r="P9" s="3005"/>
      <c r="Q9" s="3005"/>
      <c r="R9" s="3005"/>
    </row>
    <row r="10" spans="1:18" s="3027" customFormat="1" ht="15" thickBot="1">
      <c r="A10" s="3021"/>
      <c r="B10" s="3022" t="s">
        <v>1662</v>
      </c>
      <c r="C10" s="3023"/>
      <c r="D10" s="3008"/>
      <c r="E10" s="3008"/>
      <c r="F10" s="3020"/>
      <c r="G10" s="3020"/>
      <c r="H10" s="3024"/>
      <c r="I10" s="3025"/>
      <c r="J10" s="3026"/>
      <c r="K10" s="3024"/>
      <c r="L10" s="3025"/>
      <c r="M10" s="3026"/>
      <c r="N10" s="3024"/>
      <c r="O10" s="3025"/>
      <c r="P10" s="3026"/>
      <c r="Q10" s="3024"/>
      <c r="R10" s="3025"/>
    </row>
    <row r="11" spans="1:18" s="3027" customFormat="1">
      <c r="A11" s="3028"/>
      <c r="B11" s="3016"/>
      <c r="C11" s="3008"/>
      <c r="D11" s="3008"/>
      <c r="E11" s="3008"/>
      <c r="F11" s="3016"/>
      <c r="G11" s="3029"/>
      <c r="H11" s="3024"/>
      <c r="I11" s="3025"/>
      <c r="J11" s="3026"/>
      <c r="K11" s="3024"/>
      <c r="L11" s="3025"/>
      <c r="M11" s="3026"/>
      <c r="N11" s="3024"/>
      <c r="O11" s="3025"/>
      <c r="P11" s="3026"/>
      <c r="Q11" s="3024"/>
      <c r="R11" s="3025"/>
    </row>
    <row r="12" spans="1:18" s="2999" customFormat="1" ht="18.75">
      <c r="A12" s="3028"/>
      <c r="B12" s="3016"/>
      <c r="C12" s="3008"/>
      <c r="D12" s="3030"/>
      <c r="E12" s="3008"/>
      <c r="F12" s="3016"/>
      <c r="G12" s="3029"/>
      <c r="H12" s="3031"/>
      <c r="I12" s="3032"/>
      <c r="J12" s="3031"/>
      <c r="K12" s="3031"/>
      <c r="L12" s="3033"/>
      <c r="M12" s="3031"/>
      <c r="N12" s="3034"/>
      <c r="O12" s="3035"/>
      <c r="P12" s="3036"/>
      <c r="Q12" s="3034"/>
      <c r="R12" s="2998"/>
    </row>
    <row r="13" spans="1:18" ht="19.5" thickBot="1">
      <c r="A13" s="3037" t="s">
        <v>1663</v>
      </c>
      <c r="B13" s="3030"/>
      <c r="C13" s="3030"/>
      <c r="D13" s="3003"/>
      <c r="E13" s="3030"/>
      <c r="F13" s="3030"/>
      <c r="G13" s="3030"/>
    </row>
    <row r="14" spans="1:18" ht="14.25" thickBot="1">
      <c r="A14" s="3042"/>
      <c r="B14" s="3042"/>
      <c r="C14" s="3043" t="s">
        <v>1655</v>
      </c>
      <c r="D14" s="3008"/>
      <c r="E14" s="3044"/>
      <c r="F14" s="3044"/>
      <c r="G14" s="3002" t="s">
        <v>1656</v>
      </c>
    </row>
    <row r="15" spans="1:18" ht="27">
      <c r="A15" s="3045" t="s">
        <v>1648</v>
      </c>
      <c r="B15" s="3046" t="s">
        <v>1644</v>
      </c>
      <c r="C15" s="3047" t="str">
        <f>C3</f>
        <v>较差</v>
      </c>
      <c r="D15" s="3008"/>
      <c r="E15" s="3048" t="s">
        <v>1649</v>
      </c>
      <c r="F15" s="3046" t="s">
        <v>1664</v>
      </c>
      <c r="G15" s="3049" t="str">
        <f>G3</f>
        <v>估价对象位于XX开发区，园区建设成熟度XX，产业集聚程度XX</v>
      </c>
    </row>
    <row r="16" spans="1:18" ht="40.5">
      <c r="A16" s="3050"/>
      <c r="B16" s="3051" t="s">
        <v>1658</v>
      </c>
      <c r="C16" s="3052" t="str">
        <f>C4</f>
        <v>较差</v>
      </c>
      <c r="D16" s="3008"/>
      <c r="E16" s="3053"/>
      <c r="F16" s="3054" t="s">
        <v>1659</v>
      </c>
      <c r="G16" s="3055" t="str">
        <f>G4</f>
        <v>估价对象周边道路状况、公共交通通达情况、停车便捷程度，综合评价交通便捷度较好</v>
      </c>
    </row>
    <row r="17" spans="1:7" ht="14.25">
      <c r="A17" s="3050"/>
      <c r="B17" s="3051" t="s">
        <v>1660</v>
      </c>
      <c r="C17" s="3052" t="str">
        <f>C5</f>
        <v xml:space="preserve"> </v>
      </c>
      <c r="D17" s="3016"/>
      <c r="E17" s="3053"/>
      <c r="F17" s="3054" t="s">
        <v>1665</v>
      </c>
      <c r="G17" s="3056"/>
    </row>
    <row r="18" spans="1:7" ht="27">
      <c r="A18" s="3050"/>
      <c r="B18" s="3054" t="s">
        <v>1646</v>
      </c>
      <c r="C18" s="3055" t="str">
        <f>C6</f>
        <v>较差</v>
      </c>
      <c r="D18" s="3016"/>
      <c r="E18" s="3053"/>
      <c r="F18" s="3054" t="s">
        <v>1661</v>
      </c>
      <c r="G18" s="3055" t="str">
        <f>G7</f>
        <v>该园区内是否有污染型企业，绿化情况，卫生条件，整体环境状况判断</v>
      </c>
    </row>
    <row r="19" spans="1:7" ht="27">
      <c r="A19" s="3050"/>
      <c r="B19" s="3054" t="s">
        <v>1650</v>
      </c>
      <c r="C19" s="3172" t="s">
        <v>3130</v>
      </c>
      <c r="D19" s="3008"/>
      <c r="E19" s="3053"/>
      <c r="F19" s="3012" t="s">
        <v>2525</v>
      </c>
      <c r="G19" s="3055" t="str">
        <f>G5</f>
        <v>估价对象所在区域公共配套设施齐备情况</v>
      </c>
    </row>
    <row r="20" spans="1:7">
      <c r="A20" s="3050"/>
      <c r="B20" s="3054" t="s">
        <v>1651</v>
      </c>
      <c r="C20" s="3052" t="str">
        <f>C9</f>
        <v>较好</v>
      </c>
      <c r="D20" s="3016"/>
      <c r="E20" s="3053"/>
      <c r="F20" s="3012" t="s">
        <v>2526</v>
      </c>
      <c r="G20" s="3055" t="str">
        <f>G6</f>
        <v>估价对象所在区域基础设施水平</v>
      </c>
    </row>
    <row r="21" spans="1:7" ht="14.25">
      <c r="A21" s="3050"/>
      <c r="B21" s="3012" t="s">
        <v>2525</v>
      </c>
      <c r="C21" s="3055" t="str">
        <f>C7</f>
        <v>较差</v>
      </c>
      <c r="D21" s="3008"/>
      <c r="E21" s="3053"/>
      <c r="F21" s="3054" t="s">
        <v>1652</v>
      </c>
      <c r="G21" s="3057"/>
    </row>
    <row r="22" spans="1:7" ht="14.25">
      <c r="A22" s="3050"/>
      <c r="B22" s="3012" t="s">
        <v>2526</v>
      </c>
      <c r="C22" s="3055" t="str">
        <f>C8</f>
        <v>七通</v>
      </c>
      <c r="D22" s="3008"/>
      <c r="E22" s="3053"/>
      <c r="F22" s="3054" t="s">
        <v>1662</v>
      </c>
      <c r="G22" s="3056"/>
    </row>
    <row r="23" spans="1:7" ht="15" thickBot="1">
      <c r="A23" s="3050"/>
      <c r="B23" s="3054" t="s">
        <v>1652</v>
      </c>
      <c r="C23" s="3057"/>
      <c r="E23" s="3058"/>
      <c r="F23" s="3059" t="s">
        <v>1666</v>
      </c>
      <c r="G23" s="3060"/>
    </row>
    <row r="24" spans="1:7" ht="14.25" thickBot="1">
      <c r="A24" s="3061"/>
      <c r="B24" s="3059" t="s">
        <v>1653</v>
      </c>
      <c r="C24" s="3062">
        <f>C10</f>
        <v>0</v>
      </c>
      <c r="E24" s="3063"/>
      <c r="F24" s="3063"/>
      <c r="G24" s="3064"/>
    </row>
    <row r="25" spans="1:7">
      <c r="E25" s="3005"/>
      <c r="F25" s="3005"/>
      <c r="G25" s="3005"/>
    </row>
    <row r="26" spans="1:7">
      <c r="E26" s="3005"/>
      <c r="F26" s="3005"/>
      <c r="G26" s="3005"/>
    </row>
    <row r="27" spans="1:7">
      <c r="E27" s="3005"/>
      <c r="F27" s="3005"/>
      <c r="G27" s="3005"/>
    </row>
    <row r="28" spans="1:7">
      <c r="E28" s="3005"/>
      <c r="F28" s="3005"/>
      <c r="G28" s="3005"/>
    </row>
    <row r="29" spans="1:7">
      <c r="E29" s="3005"/>
      <c r="F29" s="3005"/>
      <c r="G29" s="3005"/>
    </row>
    <row r="30" spans="1:7">
      <c r="E30" s="3005"/>
      <c r="F30" s="3005"/>
      <c r="G30" s="3005"/>
    </row>
    <row r="31" spans="1:7">
      <c r="E31" s="3005"/>
      <c r="F31" s="3005"/>
      <c r="G31" s="3005"/>
    </row>
    <row r="32" spans="1:7">
      <c r="E32" s="3005"/>
      <c r="F32" s="3005"/>
      <c r="G32" s="3005"/>
    </row>
    <row r="33" spans="5:7">
      <c r="E33" s="3005"/>
      <c r="F33" s="3005"/>
      <c r="G33" s="3005"/>
    </row>
    <row r="34" spans="5:7">
      <c r="E34" s="3005"/>
      <c r="F34" s="3005"/>
      <c r="G34" s="3005"/>
    </row>
    <row r="35" spans="5:7">
      <c r="E35" s="3005"/>
      <c r="F35" s="3005"/>
      <c r="G35" s="3005"/>
    </row>
    <row r="36" spans="5:7">
      <c r="E36" s="3005"/>
      <c r="F36" s="3005"/>
      <c r="G36" s="3005"/>
    </row>
    <row r="37" spans="5:7">
      <c r="E37" s="3005"/>
      <c r="F37" s="3005"/>
      <c r="G37" s="300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33" sqref="D33"/>
    </sheetView>
  </sheetViews>
  <sheetFormatPr defaultColWidth="14.625" defaultRowHeight="13.5"/>
  <cols>
    <col min="1" max="1" width="24.375" style="3066" customWidth="1"/>
    <col min="2" max="16384" width="14.625" style="3066"/>
  </cols>
  <sheetData>
    <row r="1" spans="1:10" ht="16.5">
      <c r="A1" s="3065" t="s">
        <v>2799</v>
      </c>
      <c r="B1" s="3065">
        <f>SUM(B14:B23)</f>
        <v>218150.35</v>
      </c>
      <c r="C1" s="3074"/>
      <c r="D1" s="3074"/>
      <c r="E1" s="3074"/>
      <c r="F1" s="3074"/>
      <c r="G1" s="3075"/>
      <c r="H1" s="3075"/>
      <c r="I1" s="3075"/>
      <c r="J1" s="3075"/>
    </row>
    <row r="2" spans="1:10" ht="16.5">
      <c r="A2" s="3065" t="s">
        <v>2800</v>
      </c>
      <c r="B2" s="3065">
        <f>SUM(C14:C23)</f>
        <v>121640.67000000001</v>
      </c>
      <c r="C2" s="3074"/>
      <c r="D2" s="3074"/>
      <c r="E2" s="3074"/>
      <c r="F2" s="3074"/>
      <c r="G2" s="3075"/>
      <c r="H2" s="3075"/>
      <c r="I2" s="3075"/>
      <c r="J2" s="3075"/>
    </row>
    <row r="3" spans="1:10" ht="16.5">
      <c r="A3" s="3065" t="s">
        <v>2801</v>
      </c>
      <c r="B3" s="3067">
        <f>项目基本情况!D3</f>
        <v>44266</v>
      </c>
      <c r="C3" s="3074"/>
      <c r="D3" s="3074"/>
      <c r="E3" s="3074"/>
      <c r="F3" s="3074"/>
      <c r="G3" s="3075"/>
      <c r="H3" s="3075"/>
      <c r="I3" s="3075"/>
      <c r="J3" s="3075"/>
    </row>
    <row r="4" spans="1:10" ht="33">
      <c r="A4" s="3065" t="s">
        <v>2802</v>
      </c>
      <c r="B4" s="3065" t="s">
        <v>2803</v>
      </c>
      <c r="C4" s="3065" t="s">
        <v>2804</v>
      </c>
      <c r="D4" s="3065" t="s">
        <v>2805</v>
      </c>
      <c r="E4" s="3074"/>
      <c r="F4" s="3074"/>
      <c r="G4" s="3075"/>
      <c r="H4" s="3075"/>
      <c r="I4" s="3075"/>
      <c r="J4" s="3075"/>
    </row>
    <row r="5" spans="1:10" ht="16.5">
      <c r="A5" s="3065" t="s">
        <v>2806</v>
      </c>
      <c r="B5" s="3065">
        <f ca="1">SUM(D14:D23)</f>
        <v>135994</v>
      </c>
      <c r="C5" s="3065">
        <f ca="1">ROUND(B5*10000/$B$1,0)</f>
        <v>6234</v>
      </c>
      <c r="D5" s="3065">
        <f ca="1">ROUND(B5*10000/$B$2,0)</f>
        <v>11180</v>
      </c>
      <c r="E5" s="3074"/>
      <c r="F5" s="3074"/>
      <c r="G5" s="3075"/>
      <c r="H5" s="3075"/>
      <c r="I5" s="3075"/>
      <c r="J5" s="3075"/>
    </row>
    <row r="6" spans="1:10" ht="16.5">
      <c r="A6" s="3065" t="s">
        <v>2807</v>
      </c>
      <c r="B6" s="3065">
        <f ca="1">SUM(G14:G23)</f>
        <v>135616</v>
      </c>
      <c r="C6" s="3065">
        <f t="shared" ref="C6:C8" ca="1" si="0">ROUND(B6*10000/$B$1,0)</f>
        <v>6217</v>
      </c>
      <c r="D6" s="3065">
        <f t="shared" ref="D6:D8" ca="1" si="1">ROUND(B6*10000/$B$2,0)</f>
        <v>11149</v>
      </c>
      <c r="E6" s="3074"/>
      <c r="F6" s="3074"/>
      <c r="G6" s="3075"/>
      <c r="H6" s="3075"/>
      <c r="I6" s="3075"/>
      <c r="J6" s="3075"/>
    </row>
    <row r="7" spans="1:10" ht="16.5">
      <c r="A7" s="3065" t="s">
        <v>2808</v>
      </c>
      <c r="B7" s="3065">
        <f>SUM(H14:H23)</f>
        <v>0</v>
      </c>
      <c r="C7" s="3065">
        <f t="shared" si="0"/>
        <v>0</v>
      </c>
      <c r="D7" s="3065">
        <f t="shared" si="1"/>
        <v>0</v>
      </c>
      <c r="E7" s="3074"/>
      <c r="F7" s="3074"/>
      <c r="G7" s="3075"/>
      <c r="H7" s="3075"/>
      <c r="I7" s="3075"/>
      <c r="J7" s="3075"/>
    </row>
    <row r="8" spans="1:10" ht="16.5">
      <c r="A8" s="3065" t="s">
        <v>2809</v>
      </c>
      <c r="B8" s="3065">
        <f>SUM(I14:I23)</f>
        <v>0</v>
      </c>
      <c r="C8" s="3065">
        <f t="shared" si="0"/>
        <v>0</v>
      </c>
      <c r="D8" s="3065">
        <f t="shared" si="1"/>
        <v>0</v>
      </c>
      <c r="E8" s="3074"/>
      <c r="F8" s="3074"/>
      <c r="G8" s="3075"/>
      <c r="H8" s="3075"/>
      <c r="I8" s="3075"/>
      <c r="J8" s="3075"/>
    </row>
    <row r="9" spans="1:10" ht="16.5">
      <c r="A9" s="3065" t="s">
        <v>2810</v>
      </c>
      <c r="B9" s="3073"/>
      <c r="C9" s="3074"/>
      <c r="D9" s="3074"/>
      <c r="E9" s="3074"/>
      <c r="F9" s="3074"/>
      <c r="G9" s="3075"/>
      <c r="H9" s="3075"/>
      <c r="I9" s="3075"/>
      <c r="J9" s="3075"/>
    </row>
    <row r="10" spans="1:10" ht="16.5">
      <c r="A10" s="3065" t="s">
        <v>2811</v>
      </c>
      <c r="B10" s="3073"/>
      <c r="C10" s="3074"/>
      <c r="D10" s="3074"/>
      <c r="E10" s="3074"/>
      <c r="F10" s="3074"/>
      <c r="G10" s="3075"/>
      <c r="H10" s="3075"/>
      <c r="I10" s="3075"/>
      <c r="J10" s="3075"/>
    </row>
    <row r="11" spans="1:10" ht="16.5">
      <c r="A11" s="3065" t="s">
        <v>2828</v>
      </c>
      <c r="B11" s="3073"/>
      <c r="C11" s="3074"/>
      <c r="D11" s="3074"/>
      <c r="E11" s="3074"/>
      <c r="F11" s="3074"/>
      <c r="G11" s="3075"/>
      <c r="H11" s="3075"/>
      <c r="I11" s="3075"/>
      <c r="J11" s="3075"/>
    </row>
    <row r="12" spans="1:10" ht="16.5">
      <c r="A12" s="3074"/>
      <c r="B12" s="3074"/>
      <c r="C12" s="3074"/>
      <c r="D12" s="3074"/>
      <c r="E12" s="3074"/>
      <c r="F12" s="3074"/>
      <c r="G12" s="3075"/>
      <c r="H12" s="3075"/>
      <c r="I12" s="3075"/>
      <c r="J12" s="3075"/>
    </row>
    <row r="13" spans="1:10" ht="33">
      <c r="A13" s="3068" t="s">
        <v>2827</v>
      </c>
      <c r="B13" s="3069" t="s">
        <v>2799</v>
      </c>
      <c r="C13" s="3069" t="s">
        <v>2800</v>
      </c>
      <c r="D13" s="3069" t="s">
        <v>2812</v>
      </c>
      <c r="E13" s="3065" t="s">
        <v>2826</v>
      </c>
      <c r="F13" s="3065" t="s">
        <v>2805</v>
      </c>
      <c r="G13" s="3069" t="s">
        <v>2813</v>
      </c>
      <c r="H13" s="3069" t="s">
        <v>2814</v>
      </c>
      <c r="I13" s="3069" t="s">
        <v>2815</v>
      </c>
      <c r="J13" s="3075"/>
    </row>
    <row r="14" spans="1:10" ht="16.5">
      <c r="A14" s="3070" t="s">
        <v>2825</v>
      </c>
      <c r="B14" s="3071">
        <f>结果表!L38</f>
        <v>14621.33</v>
      </c>
      <c r="C14" s="3071">
        <f>结果表!K38</f>
        <v>9817.3700000000008</v>
      </c>
      <c r="D14" s="3071">
        <f ca="1">结果表!C42</f>
        <v>2055</v>
      </c>
      <c r="E14" s="3071">
        <f ca="1">ROUND(D14*10000/B14,0)</f>
        <v>1405</v>
      </c>
      <c r="F14" s="3071">
        <f ca="1">ROUND(D14*10000/C14,0)</f>
        <v>2093</v>
      </c>
      <c r="G14" s="3071">
        <f ca="1">结果表!C44</f>
        <v>2055</v>
      </c>
      <c r="H14" s="3071" t="str">
        <f>结果表!C45</f>
        <v>——</v>
      </c>
      <c r="I14" s="3071" t="str">
        <f>结果表!C46</f>
        <v>——</v>
      </c>
      <c r="J14" s="3075"/>
    </row>
    <row r="15" spans="1:10" ht="16.5">
      <c r="A15" s="3070" t="s">
        <v>2816</v>
      </c>
      <c r="B15" s="3072">
        <f>[2]系统读取表!$B$14</f>
        <v>70826.34</v>
      </c>
      <c r="C15" s="3072">
        <f>[2]系统读取表!$C$14</f>
        <v>38548.01</v>
      </c>
      <c r="D15" s="3072">
        <f>[3]系统读取表!$D$14</f>
        <v>43894</v>
      </c>
      <c r="E15" s="3071">
        <f t="shared" ref="E15:E23" si="2">ROUND(D15*10000/B15,0)</f>
        <v>6197</v>
      </c>
      <c r="F15" s="3071">
        <f t="shared" ref="F15:F23" si="3">ROUND(D15*10000/C15,0)</f>
        <v>11387</v>
      </c>
      <c r="G15" s="3072">
        <f>D15</f>
        <v>43894</v>
      </c>
      <c r="H15" s="3072" t="s">
        <v>3179</v>
      </c>
      <c r="I15" s="3072" t="s">
        <v>3179</v>
      </c>
      <c r="J15" s="3075"/>
    </row>
    <row r="16" spans="1:10" ht="16.5">
      <c r="A16" s="3070" t="s">
        <v>2817</v>
      </c>
      <c r="B16" s="3072">
        <f>[4]系统读取表!$B$14</f>
        <v>72555.72</v>
      </c>
      <c r="C16" s="3072">
        <f>[4]系统读取表!$C$14</f>
        <v>40036.67</v>
      </c>
      <c r="D16" s="3072">
        <f ca="1">[4]系统读取表!$D$14</f>
        <v>51985</v>
      </c>
      <c r="E16" s="3071">
        <f t="shared" ca="1" si="2"/>
        <v>7165</v>
      </c>
      <c r="F16" s="3071">
        <f t="shared" ca="1" si="3"/>
        <v>12984</v>
      </c>
      <c r="G16" s="3072">
        <f ca="1">D16</f>
        <v>51985</v>
      </c>
      <c r="H16" s="3072" t="s">
        <v>3179</v>
      </c>
      <c r="I16" s="3072" t="s">
        <v>3179</v>
      </c>
      <c r="J16" s="3075"/>
    </row>
    <row r="17" spans="1:10" ht="16.5">
      <c r="A17" s="3070" t="s">
        <v>2818</v>
      </c>
      <c r="B17" s="3072">
        <f>[1]系统读取表!$B$14</f>
        <v>60146.96</v>
      </c>
      <c r="C17" s="3072">
        <f>[1]系统读取表!$C$14</f>
        <v>33238.620000000003</v>
      </c>
      <c r="D17" s="3072">
        <f>[5]系统读取表!$D$14</f>
        <v>38060</v>
      </c>
      <c r="E17" s="3071">
        <f t="shared" si="2"/>
        <v>6328</v>
      </c>
      <c r="F17" s="3071">
        <f t="shared" si="3"/>
        <v>11451</v>
      </c>
      <c r="G17" s="3072">
        <f>[1]系统读取表!$G$14</f>
        <v>37682</v>
      </c>
      <c r="H17" s="3072" t="str">
        <f>[1]系统读取表!$H$14</f>
        <v>——</v>
      </c>
      <c r="I17" s="3072" t="str">
        <f>[1]系统读取表!$I$14</f>
        <v>——</v>
      </c>
      <c r="J17" s="3075"/>
    </row>
    <row r="18" spans="1:10" ht="16.5">
      <c r="A18" s="3070" t="s">
        <v>2819</v>
      </c>
      <c r="B18" s="3072"/>
      <c r="C18" s="3072"/>
      <c r="D18" s="3072"/>
      <c r="E18" s="3071" t="e">
        <f t="shared" si="2"/>
        <v>#DIV/0!</v>
      </c>
      <c r="F18" s="3071" t="e">
        <f t="shared" si="3"/>
        <v>#DIV/0!</v>
      </c>
      <c r="G18" s="3072"/>
      <c r="H18" s="3072"/>
      <c r="I18" s="3072"/>
      <c r="J18" s="3075"/>
    </row>
    <row r="19" spans="1:10" ht="16.5">
      <c r="A19" s="3070" t="s">
        <v>2820</v>
      </c>
      <c r="B19" s="3072"/>
      <c r="C19" s="3072"/>
      <c r="D19" s="3072"/>
      <c r="E19" s="3071" t="e">
        <f t="shared" si="2"/>
        <v>#DIV/0!</v>
      </c>
      <c r="F19" s="3071" t="e">
        <f t="shared" si="3"/>
        <v>#DIV/0!</v>
      </c>
      <c r="G19" s="3072"/>
      <c r="H19" s="3072"/>
      <c r="I19" s="3072"/>
      <c r="J19" s="3075"/>
    </row>
    <row r="20" spans="1:10" ht="16.5">
      <c r="A20" s="3070" t="s">
        <v>2821</v>
      </c>
      <c r="B20" s="3072"/>
      <c r="C20" s="3072"/>
      <c r="D20" s="3072"/>
      <c r="E20" s="3071" t="e">
        <f t="shared" si="2"/>
        <v>#DIV/0!</v>
      </c>
      <c r="F20" s="3071" t="e">
        <f t="shared" si="3"/>
        <v>#DIV/0!</v>
      </c>
      <c r="G20" s="3072"/>
      <c r="H20" s="3072"/>
      <c r="I20" s="3072"/>
      <c r="J20" s="3075"/>
    </row>
    <row r="21" spans="1:10" ht="16.5">
      <c r="A21" s="3070" t="s">
        <v>2822</v>
      </c>
      <c r="B21" s="3072"/>
      <c r="C21" s="3072"/>
      <c r="D21" s="3072"/>
      <c r="E21" s="3071" t="e">
        <f t="shared" si="2"/>
        <v>#DIV/0!</v>
      </c>
      <c r="F21" s="3071" t="e">
        <f t="shared" si="3"/>
        <v>#DIV/0!</v>
      </c>
      <c r="G21" s="3072"/>
      <c r="H21" s="3072"/>
      <c r="I21" s="3072"/>
      <c r="J21" s="3075"/>
    </row>
    <row r="22" spans="1:10" ht="16.5">
      <c r="A22" s="3070" t="s">
        <v>2823</v>
      </c>
      <c r="B22" s="3072"/>
      <c r="C22" s="3072"/>
      <c r="D22" s="3072"/>
      <c r="E22" s="3071" t="e">
        <f t="shared" si="2"/>
        <v>#DIV/0!</v>
      </c>
      <c r="F22" s="3071" t="e">
        <f t="shared" si="3"/>
        <v>#DIV/0!</v>
      </c>
      <c r="G22" s="3072"/>
      <c r="H22" s="3072"/>
      <c r="I22" s="3072"/>
      <c r="J22" s="3075"/>
    </row>
    <row r="23" spans="1:10" ht="16.5">
      <c r="A23" s="3070" t="s">
        <v>2824</v>
      </c>
      <c r="B23" s="3072"/>
      <c r="C23" s="3072"/>
      <c r="D23" s="3072"/>
      <c r="E23" s="3073" t="e">
        <f t="shared" si="2"/>
        <v>#DIV/0!</v>
      </c>
      <c r="F23" s="3073" t="e">
        <f t="shared" si="3"/>
        <v>#DIV/0!</v>
      </c>
      <c r="G23" s="3072"/>
      <c r="H23" s="3072"/>
      <c r="I23" s="3072"/>
      <c r="J23" s="3075"/>
    </row>
    <row r="24" spans="1:10">
      <c r="A24" s="3075"/>
      <c r="B24" s="3075"/>
      <c r="C24" s="3075"/>
      <c r="D24" s="3075"/>
      <c r="E24" s="3075"/>
      <c r="F24" s="3075"/>
      <c r="G24" s="3075"/>
      <c r="H24" s="3075"/>
      <c r="I24" s="3075"/>
      <c r="J24" s="3075"/>
    </row>
    <row r="25" spans="1:10">
      <c r="A25" s="3075"/>
      <c r="B25" s="3075"/>
      <c r="C25" s="3075"/>
      <c r="D25" s="3075"/>
      <c r="E25" s="3075"/>
      <c r="F25" s="3075"/>
      <c r="G25" s="3075"/>
      <c r="H25" s="3075"/>
      <c r="I25" s="3075"/>
      <c r="J25" s="3075"/>
    </row>
    <row r="26" spans="1:10">
      <c r="A26" s="3075"/>
      <c r="B26" s="3075"/>
      <c r="C26" s="3075"/>
      <c r="D26" s="3075"/>
      <c r="E26" s="3075"/>
      <c r="F26" s="3075"/>
      <c r="G26" s="3075"/>
      <c r="H26" s="3075"/>
      <c r="I26" s="3075"/>
      <c r="J26" s="307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6" zoomScaleNormal="100" zoomScaleSheetLayoutView="100" zoomScalePageLayoutView="80" workbookViewId="0">
      <selection activeCell="N48" sqref="N4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2041</v>
      </c>
      <c r="B1" s="1690"/>
      <c r="C1" s="1718" t="s">
        <v>2042</v>
      </c>
      <c r="D1" s="1719"/>
      <c r="E1" s="1718" t="s">
        <v>2043</v>
      </c>
      <c r="F1" s="1720"/>
      <c r="G1" s="308"/>
      <c r="H1" s="308"/>
      <c r="I1" s="308"/>
      <c r="J1" s="1909"/>
      <c r="K1" s="1909"/>
      <c r="L1" s="1909"/>
      <c r="M1" s="1909"/>
      <c r="N1" s="1909"/>
      <c r="O1" s="1909"/>
      <c r="P1" s="1909"/>
      <c r="Q1" s="1909"/>
      <c r="R1" s="1909"/>
      <c r="S1" s="1909"/>
      <c r="T1" s="1909"/>
      <c r="U1" s="1909"/>
      <c r="V1" s="1909"/>
    </row>
    <row r="2" spans="1:22" ht="21.75" customHeight="1" thickBot="1">
      <c r="A2" s="3444" t="str">
        <f>项目基本情况!K2</f>
        <v>北京市平谷区金海湖镇PG06-0100-6020、6021、6024地块3宗住宅、地下仓储、地下车库用地及PG06-0100-6019地块1宗商业、地下车库用地出让国有建设用地使用权</v>
      </c>
      <c r="B2" s="3445"/>
      <c r="C2" s="3446"/>
      <c r="D2" s="3446"/>
      <c r="E2" s="3446"/>
      <c r="F2" s="3446"/>
      <c r="G2" s="3445"/>
      <c r="H2" s="3445"/>
      <c r="I2" s="3447"/>
      <c r="J2" s="1910"/>
      <c r="K2" s="1909"/>
      <c r="L2" s="1909"/>
      <c r="M2" s="1909"/>
      <c r="N2" s="1909"/>
      <c r="O2" s="1909"/>
      <c r="P2" s="1909"/>
      <c r="Q2" s="1909"/>
      <c r="R2" s="1909"/>
      <c r="S2" s="1909"/>
      <c r="T2" s="1909"/>
      <c r="U2" s="1909"/>
      <c r="V2" s="1909"/>
    </row>
    <row r="3" spans="1:22" ht="14.25">
      <c r="A3" s="3437" t="s">
        <v>298</v>
      </c>
      <c r="B3" s="3438"/>
      <c r="C3" s="3438"/>
      <c r="D3" s="3438"/>
      <c r="E3" s="3438"/>
      <c r="F3" s="3438"/>
      <c r="G3" s="3438"/>
      <c r="H3" s="3438"/>
      <c r="I3" s="3438"/>
      <c r="J3" s="1910"/>
      <c r="K3" s="1909"/>
      <c r="L3" s="1909"/>
      <c r="M3" s="1909"/>
      <c r="N3" s="1909"/>
      <c r="O3" s="1909"/>
      <c r="P3" s="1909"/>
      <c r="Q3" s="1909"/>
      <c r="R3" s="1909"/>
      <c r="S3" s="1909"/>
      <c r="T3" s="1909"/>
      <c r="U3" s="1909"/>
      <c r="V3" s="1909"/>
    </row>
    <row r="4" spans="1:22" ht="14.25">
      <c r="A4" s="255" t="s">
        <v>299</v>
      </c>
      <c r="B4" s="256" t="s">
        <v>300</v>
      </c>
      <c r="C4" s="257" t="s">
        <v>3143</v>
      </c>
      <c r="D4" s="257" t="s">
        <v>3144</v>
      </c>
      <c r="E4" s="3403" t="s">
        <v>301</v>
      </c>
      <c r="F4" s="3404"/>
      <c r="G4" s="3404"/>
      <c r="H4" s="3404"/>
      <c r="I4" s="3439"/>
      <c r="J4" s="1910"/>
      <c r="K4" s="1909"/>
      <c r="L4" s="307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02" t="s">
        <v>302</v>
      </c>
      <c r="B5" s="3431">
        <v>25</v>
      </c>
      <c r="C5" s="3429"/>
      <c r="D5" s="3433"/>
      <c r="E5" s="258" t="s">
        <v>303</v>
      </c>
      <c r="F5" s="259"/>
      <c r="G5" s="259"/>
      <c r="H5" s="259"/>
      <c r="I5" s="260"/>
      <c r="J5" s="1910"/>
      <c r="K5" s="1909"/>
      <c r="L5" s="1909"/>
      <c r="M5" s="1909"/>
      <c r="N5" s="1909"/>
      <c r="O5" s="1909"/>
      <c r="P5" s="1909"/>
      <c r="Q5" s="1909"/>
      <c r="R5" s="1909"/>
      <c r="S5" s="1909"/>
      <c r="T5" s="1909"/>
      <c r="U5" s="1909"/>
      <c r="V5" s="1909"/>
    </row>
    <row r="6" spans="1:22" ht="14.25">
      <c r="A6" s="3402"/>
      <c r="B6" s="3431"/>
      <c r="C6" s="3432"/>
      <c r="D6" s="3433"/>
      <c r="E6" s="258" t="s">
        <v>304</v>
      </c>
      <c r="F6" s="259"/>
      <c r="G6" s="259"/>
      <c r="H6" s="259"/>
      <c r="I6" s="260"/>
      <c r="J6" s="1910"/>
      <c r="K6" s="1909"/>
      <c r="L6" s="1909"/>
      <c r="M6" s="1909"/>
      <c r="N6" s="1909"/>
      <c r="O6" s="1909"/>
      <c r="P6" s="1909"/>
      <c r="Q6" s="1909"/>
      <c r="R6" s="1909"/>
      <c r="S6" s="1909"/>
      <c r="T6" s="1909"/>
      <c r="U6" s="1909"/>
      <c r="V6" s="1909"/>
    </row>
    <row r="7" spans="1:22" ht="14.25">
      <c r="A7" s="3402"/>
      <c r="B7" s="3431"/>
      <c r="C7" s="3430"/>
      <c r="D7" s="3433"/>
      <c r="E7" s="258" t="s">
        <v>305</v>
      </c>
      <c r="F7" s="259"/>
      <c r="G7" s="259"/>
      <c r="H7" s="259"/>
      <c r="I7" s="260"/>
      <c r="J7" s="1910"/>
      <c r="K7" s="1909"/>
      <c r="L7" s="1909"/>
      <c r="M7" s="1909"/>
      <c r="N7" s="1909"/>
      <c r="O7" s="1909"/>
      <c r="P7" s="1909"/>
      <c r="Q7" s="1909"/>
      <c r="R7" s="1909"/>
      <c r="S7" s="1909"/>
      <c r="T7" s="1909"/>
      <c r="U7" s="1909"/>
      <c r="V7" s="1909"/>
    </row>
    <row r="8" spans="1:22" ht="14.25">
      <c r="A8" s="3402" t="s">
        <v>306</v>
      </c>
      <c r="B8" s="3431">
        <v>15</v>
      </c>
      <c r="C8" s="3429"/>
      <c r="D8" s="3433"/>
      <c r="E8" s="258" t="s">
        <v>307</v>
      </c>
      <c r="F8" s="259"/>
      <c r="G8" s="259"/>
      <c r="H8" s="259"/>
      <c r="I8" s="260"/>
      <c r="J8" s="1910"/>
      <c r="K8" s="1909"/>
      <c r="L8" s="1909"/>
      <c r="M8" s="1909"/>
      <c r="N8" s="1909"/>
      <c r="O8" s="1909"/>
      <c r="P8" s="1909"/>
      <c r="Q8" s="1909"/>
      <c r="R8" s="1909"/>
      <c r="S8" s="1909"/>
      <c r="T8" s="1909"/>
      <c r="U8" s="1909"/>
      <c r="V8" s="1909"/>
    </row>
    <row r="9" spans="1:22" ht="14.25">
      <c r="A9" s="3402"/>
      <c r="B9" s="3431"/>
      <c r="C9" s="3430"/>
      <c r="D9" s="3433"/>
      <c r="E9" s="258" t="s">
        <v>308</v>
      </c>
      <c r="F9" s="259"/>
      <c r="G9" s="259"/>
      <c r="H9" s="259"/>
      <c r="I9" s="260"/>
      <c r="J9" s="1910"/>
      <c r="K9" s="1909"/>
      <c r="L9" s="1909"/>
      <c r="M9" s="1909"/>
      <c r="N9" s="1909"/>
      <c r="O9" s="1909"/>
      <c r="P9" s="1909"/>
      <c r="Q9" s="1909"/>
      <c r="R9" s="1909"/>
      <c r="S9" s="1909"/>
      <c r="T9" s="1909"/>
      <c r="U9" s="1909"/>
      <c r="V9" s="1909"/>
    </row>
    <row r="10" spans="1:22" ht="14.25">
      <c r="A10" s="3402" t="s">
        <v>309</v>
      </c>
      <c r="B10" s="3431">
        <v>15</v>
      </c>
      <c r="C10" s="3429"/>
      <c r="D10" s="3433"/>
      <c r="E10" s="258" t="s">
        <v>310</v>
      </c>
      <c r="F10" s="259"/>
      <c r="G10" s="259"/>
      <c r="H10" s="259"/>
      <c r="I10" s="260"/>
      <c r="J10" s="1910"/>
      <c r="K10" s="1909"/>
      <c r="L10" s="1909"/>
      <c r="M10" s="1909"/>
      <c r="N10" s="1909"/>
      <c r="O10" s="1909"/>
      <c r="P10" s="1909"/>
      <c r="Q10" s="1909"/>
      <c r="R10" s="1909"/>
      <c r="S10" s="1909"/>
      <c r="T10" s="1909"/>
      <c r="U10" s="1909"/>
      <c r="V10" s="1909"/>
    </row>
    <row r="11" spans="1:22" ht="14.25">
      <c r="A11" s="3402"/>
      <c r="B11" s="3431"/>
      <c r="C11" s="3430"/>
      <c r="D11" s="3433"/>
      <c r="E11" s="258" t="s">
        <v>311</v>
      </c>
      <c r="F11" s="259"/>
      <c r="G11" s="259"/>
      <c r="H11" s="259"/>
      <c r="I11" s="260"/>
      <c r="J11" s="1910"/>
      <c r="K11" s="1909"/>
      <c r="L11" s="1909"/>
      <c r="M11" s="1909"/>
      <c r="N11" s="1909"/>
      <c r="O11" s="1909"/>
      <c r="P11" s="1909"/>
      <c r="Q11" s="1909"/>
      <c r="R11" s="1909"/>
      <c r="S11" s="1909"/>
      <c r="T11" s="1909"/>
      <c r="U11" s="1909"/>
      <c r="V11" s="1909"/>
    </row>
    <row r="12" spans="1:22" ht="14.25">
      <c r="A12" s="3402" t="s">
        <v>312</v>
      </c>
      <c r="B12" s="3431">
        <v>15</v>
      </c>
      <c r="C12" s="3429"/>
      <c r="D12" s="3433"/>
      <c r="E12" s="258" t="s">
        <v>313</v>
      </c>
      <c r="F12" s="259"/>
      <c r="G12" s="259"/>
      <c r="H12" s="259"/>
      <c r="I12" s="260"/>
      <c r="J12" s="1910"/>
      <c r="K12" s="1909"/>
      <c r="L12" s="1909"/>
      <c r="M12" s="1909"/>
      <c r="N12" s="1909"/>
      <c r="O12" s="1909"/>
      <c r="P12" s="1909"/>
      <c r="Q12" s="1909"/>
      <c r="R12" s="1909"/>
      <c r="S12" s="1909"/>
      <c r="T12" s="1909"/>
      <c r="U12" s="1909"/>
      <c r="V12" s="1909"/>
    </row>
    <row r="13" spans="1:22" ht="14.25">
      <c r="A13" s="3402"/>
      <c r="B13" s="3431"/>
      <c r="C13" s="3430"/>
      <c r="D13" s="3433"/>
      <c r="E13" s="258" t="s">
        <v>314</v>
      </c>
      <c r="F13" s="259"/>
      <c r="G13" s="259"/>
      <c r="H13" s="259"/>
      <c r="I13" s="260"/>
      <c r="J13" s="1910"/>
      <c r="K13" s="1909"/>
      <c r="L13" s="1909"/>
      <c r="M13" s="1909"/>
      <c r="N13" s="1909"/>
      <c r="O13" s="1909"/>
      <c r="P13" s="1909"/>
      <c r="Q13" s="1909"/>
      <c r="R13" s="1909"/>
      <c r="S13" s="1909"/>
      <c r="T13" s="1909"/>
      <c r="U13" s="1909"/>
      <c r="V13" s="1909"/>
    </row>
    <row r="14" spans="1:22" ht="14.25">
      <c r="A14" s="3402" t="s">
        <v>315</v>
      </c>
      <c r="B14" s="3431">
        <v>30</v>
      </c>
      <c r="C14" s="3429">
        <v>5</v>
      </c>
      <c r="D14" s="3433">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402"/>
      <c r="B15" s="3431"/>
      <c r="C15" s="3432"/>
      <c r="D15" s="3433"/>
      <c r="E15" s="258" t="s">
        <v>317</v>
      </c>
      <c r="F15" s="259"/>
      <c r="G15" s="259"/>
      <c r="H15" s="259"/>
      <c r="I15" s="260"/>
      <c r="J15" s="1910"/>
      <c r="K15" s="1909"/>
      <c r="L15" s="1909"/>
      <c r="M15" s="1909"/>
      <c r="N15" s="1909"/>
      <c r="O15" s="1909"/>
      <c r="P15" s="1909"/>
      <c r="Q15" s="1909"/>
      <c r="R15" s="1909"/>
      <c r="S15" s="1909"/>
      <c r="T15" s="1909"/>
      <c r="U15" s="1909"/>
      <c r="V15" s="1909"/>
    </row>
    <row r="16" spans="1:22" ht="14.25">
      <c r="A16" s="3402"/>
      <c r="B16" s="3431"/>
      <c r="C16" s="3430"/>
      <c r="D16" s="3433"/>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34" t="s">
        <v>2931</v>
      </c>
      <c r="F18" s="3435"/>
      <c r="G18" s="3435"/>
      <c r="H18" s="3435"/>
      <c r="I18" s="3435"/>
      <c r="J18" s="1909"/>
      <c r="K18" s="3173" t="s">
        <v>3147</v>
      </c>
      <c r="L18" s="3173"/>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2228</v>
      </c>
      <c r="D19" s="268">
        <f ca="1">SUMIF(INDIRECT("'"&amp;D4&amp;"'"&amp;"!A:A"),结果表!B19,INDIRECT("'"&amp;D4&amp;"'"&amp;"!B:B"))</f>
        <v>1882</v>
      </c>
      <c r="E19" s="265" t="s">
        <v>323</v>
      </c>
      <c r="F19" s="266" t="s">
        <v>322</v>
      </c>
      <c r="G19" s="269">
        <f ca="1">ROUND(C19*$C$18+D19*$D$18,0)</f>
        <v>2055</v>
      </c>
      <c r="H19" s="270" t="s">
        <v>324</v>
      </c>
      <c r="I19" s="308"/>
      <c r="J19" s="1909"/>
      <c r="K19" s="3174" t="s">
        <v>3145</v>
      </c>
      <c r="L19" s="3173">
        <v>2011</v>
      </c>
      <c r="M19" s="1909"/>
      <c r="N19" s="1909"/>
      <c r="O19" s="1909"/>
      <c r="P19" s="1909"/>
      <c r="Q19" s="1909"/>
      <c r="R19" s="1909"/>
      <c r="S19" s="1909"/>
      <c r="T19" s="1909"/>
      <c r="U19" s="1909"/>
      <c r="V19" s="1909"/>
    </row>
    <row r="20" spans="1:26" ht="15">
      <c r="A20" s="271"/>
      <c r="B20" s="272" t="s">
        <v>325</v>
      </c>
      <c r="C20" s="273">
        <f ca="1">SUMIF(INDIRECT("'"&amp;C4&amp;"'"&amp;"!A:A"),结果表!B20,INDIRECT("'"&amp;C4&amp;"'"&amp;"!B:B"))</f>
        <v>2102</v>
      </c>
      <c r="D20" s="274">
        <f ca="1">SUMIF(INDIRECT("'"&amp;D4&amp;"'"&amp;"!A:A"),结果表!B20,INDIRECT("'"&amp;D4&amp;"'"&amp;"!B:B"))</f>
        <v>1287</v>
      </c>
      <c r="E20" s="271"/>
      <c r="F20" s="272" t="s">
        <v>325</v>
      </c>
      <c r="G20" s="275">
        <f ca="1">ROUND(C20*$C$18+D20*$D$18,0)</f>
        <v>1695</v>
      </c>
      <c r="H20" s="276" t="s">
        <v>326</v>
      </c>
      <c r="I20" s="308"/>
      <c r="J20" s="1909"/>
      <c r="K20" s="3174" t="s">
        <v>3146</v>
      </c>
      <c r="L20" s="3173">
        <v>1732</v>
      </c>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2269</v>
      </c>
      <c r="D21" s="149">
        <f ca="1">SUMIF(INDIRECT("'"&amp;D4&amp;"'"&amp;"!A:A"),结果表!B21,INDIRECT("'"&amp;D4&amp;"'"&amp;"!B:B"))</f>
        <v>1917</v>
      </c>
      <c r="E21" s="271"/>
      <c r="F21" s="277" t="s">
        <v>327</v>
      </c>
      <c r="G21" s="279">
        <f ca="1">ROUND(C21*$C$18+D21*$D$18,0)</f>
        <v>2093</v>
      </c>
      <c r="H21" s="1204" t="s">
        <v>326</v>
      </c>
      <c r="I21" s="308"/>
      <c r="J21" s="1909"/>
      <c r="K21" s="1909"/>
      <c r="L21" s="1909"/>
      <c r="M21" s="1909"/>
      <c r="N21" s="1909"/>
      <c r="O21" s="1909"/>
      <c r="P21" s="1909"/>
      <c r="Q21" s="1909"/>
      <c r="R21" s="1909"/>
      <c r="S21" s="1909"/>
      <c r="T21" s="1909"/>
      <c r="U21" s="1909"/>
      <c r="V21" s="1909"/>
    </row>
    <row r="22" spans="1:26" ht="15.75" thickBot="1">
      <c r="A22" s="126" t="s">
        <v>328</v>
      </c>
      <c r="B22" s="1205"/>
      <c r="C22" s="1206"/>
      <c r="D22" s="280">
        <f ca="1">IF(C19&lt;D19,D19/C19-1,C19/D19-1)</f>
        <v>0.18384697130712002</v>
      </c>
      <c r="E22" s="281"/>
      <c r="F22" s="282"/>
      <c r="G22" s="283">
        <f ca="1">ROUND(G19/('数据-汇总表'!D3/666.67),0)</f>
        <v>140</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08"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09"/>
      <c r="B25" s="1274" t="s">
        <v>331</v>
      </c>
      <c r="C25" s="287">
        <f>IF(B30=0,0,C30)</f>
        <v>0</v>
      </c>
      <c r="D25" s="288"/>
      <c r="E25" s="308"/>
      <c r="F25" s="308"/>
      <c r="G25" s="308"/>
      <c r="H25" s="308"/>
      <c r="I25" s="308"/>
      <c r="J25" s="1909"/>
      <c r="K25" s="1208" t="str">
        <f ca="1">项目基本情况!B16&amp;"国有建设用地使用权价格："&amp;O38&amp;"万元"</f>
        <v>出让国有建设用地使用权价格：2055万元</v>
      </c>
      <c r="L25" s="1209"/>
      <c r="M25" s="1209"/>
      <c r="N25" s="1209"/>
      <c r="O25" s="1210"/>
      <c r="P25" s="1909"/>
      <c r="Q25" s="1909"/>
      <c r="R25" s="1909"/>
      <c r="S25" s="1909"/>
      <c r="T25" s="1909"/>
      <c r="U25" s="1909"/>
      <c r="V25" s="1909"/>
    </row>
    <row r="26" spans="1:26" s="1207" customFormat="1" ht="18">
      <c r="A26" s="290" t="s">
        <v>332</v>
      </c>
      <c r="B26" s="291" t="s">
        <v>333</v>
      </c>
      <c r="C26" s="291" t="s">
        <v>334</v>
      </c>
      <c r="D26" s="292" t="s">
        <v>335</v>
      </c>
      <c r="E26" s="308"/>
      <c r="F26" s="308"/>
      <c r="G26" s="308"/>
      <c r="H26" s="308"/>
      <c r="I26" s="308"/>
      <c r="J26" s="1909"/>
      <c r="K26" s="1211" t="str">
        <f ca="1">"大写金额：人民币"&amp;NUMBERSTRING(INT(O38*10000),2)&amp;"元整"</f>
        <v>大写金额：人民币贰仟零伍拾伍万元整</v>
      </c>
      <c r="L26" s="1205"/>
      <c r="M26" s="1205"/>
      <c r="N26" s="1205"/>
      <c r="O26" s="1204"/>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1" t="str">
        <f ca="1">"单位面积地价："&amp;M38&amp;"元/平方米"</f>
        <v>单位面积地价：2093元/平方米</v>
      </c>
      <c r="L27" s="1205"/>
      <c r="M27" s="1205"/>
      <c r="N27" s="1205"/>
      <c r="O27" s="1204"/>
      <c r="P27" s="1909"/>
      <c r="Q27" s="1909"/>
      <c r="R27" s="1909"/>
      <c r="S27" s="1909"/>
      <c r="T27" s="1909"/>
      <c r="U27" s="1909"/>
      <c r="V27" s="1909"/>
    </row>
    <row r="28" spans="1:26" ht="18.75" customHeight="1">
      <c r="A28" s="290"/>
      <c r="B28" s="291"/>
      <c r="C28" s="291"/>
      <c r="D28" s="292"/>
      <c r="E28" s="308"/>
      <c r="F28" s="308"/>
      <c r="G28" s="308"/>
      <c r="H28" s="308"/>
      <c r="I28" s="308"/>
      <c r="J28" s="1909"/>
      <c r="K28" s="1211" t="str">
        <f ca="1">"楼面地价："&amp;N38&amp;"元/平方米"</f>
        <v>楼面地价：1405元/平方米</v>
      </c>
      <c r="L28" s="1205"/>
      <c r="M28" s="1205"/>
      <c r="N28" s="1205"/>
      <c r="O28" s="1204"/>
      <c r="P28" s="1909"/>
      <c r="V28" s="1909"/>
    </row>
    <row r="29" spans="1:26" ht="18">
      <c r="A29" s="290"/>
      <c r="B29" s="291"/>
      <c r="C29" s="291"/>
      <c r="D29" s="292"/>
      <c r="E29" s="308"/>
      <c r="F29" s="308"/>
      <c r="G29" s="308"/>
      <c r="H29" s="308"/>
      <c r="I29" s="308"/>
      <c r="J29" s="1909"/>
      <c r="K29" s="1211" t="str">
        <f ca="1">IF(OR(项目基本情况!E8="抵押价格",项目基本情况!E8="已注销及未注销"),"抵押价格："&amp;O39&amp;"万元","——")</f>
        <v>抵押价格：2055万元</v>
      </c>
      <c r="L29" s="1205"/>
      <c r="M29" s="1205"/>
      <c r="N29" s="1205"/>
      <c r="O29" s="1204"/>
      <c r="P29" s="1909"/>
      <c r="V29" s="1909"/>
    </row>
    <row r="30" spans="1:26" ht="18.75" thickBot="1">
      <c r="A30" s="2797" t="s">
        <v>336</v>
      </c>
      <c r="B30" s="306"/>
      <c r="C30" s="306"/>
      <c r="D30" s="307"/>
      <c r="E30" s="2885" t="s">
        <v>2932</v>
      </c>
      <c r="F30" s="308"/>
      <c r="G30" s="308"/>
      <c r="H30" s="308"/>
      <c r="I30" s="308"/>
      <c r="J30" s="1909"/>
      <c r="K30" s="1211" t="str">
        <f ca="1">IF(K29="——","——","大写金额：人民币"&amp;NUMBERSTRING(INT(O39*10000),2)&amp;"元整")</f>
        <v>大写金额：人民币贰仟零伍拾伍万元整</v>
      </c>
      <c r="L30" s="1205"/>
      <c r="M30" s="1205"/>
      <c r="N30" s="1205"/>
      <c r="O30" s="1204"/>
      <c r="P30" s="1909"/>
      <c r="V30" s="1909"/>
    </row>
    <row r="31" spans="1:26" ht="24" customHeight="1" thickBot="1">
      <c r="A31" s="3436" t="s">
        <v>2933</v>
      </c>
      <c r="B31" s="3436"/>
      <c r="C31" s="3436"/>
      <c r="D31" s="3436"/>
      <c r="E31" s="3436"/>
      <c r="F31" s="3436"/>
      <c r="G31" s="3436"/>
      <c r="H31" s="3436"/>
      <c r="I31" s="3436"/>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2886" t="s">
        <v>1679</v>
      </c>
      <c r="C32" s="263">
        <f ca="1">G19-C24</f>
        <v>2055</v>
      </c>
      <c r="D32" s="2887"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1" t="s">
        <v>1681</v>
      </c>
      <c r="C33" s="261">
        <f ca="1">ROUND(C32*10000/'数据-汇总表'!E3,0)</f>
        <v>1405</v>
      </c>
      <c r="D33" s="1332" t="s">
        <v>1682</v>
      </c>
      <c r="E33" s="3408" t="s">
        <v>338</v>
      </c>
      <c r="F33" s="293" t="s">
        <v>339</v>
      </c>
      <c r="G33" s="294"/>
      <c r="H33" s="967"/>
      <c r="I33" s="1212"/>
      <c r="J33" s="1909"/>
      <c r="K33" s="1211" t="str">
        <f>IF(项目基本情况!E9="——","——","抵押净值："&amp;C46&amp;"万元")</f>
        <v>——</v>
      </c>
      <c r="L33" s="1205"/>
      <c r="M33" s="1205"/>
      <c r="N33" s="1205"/>
      <c r="O33" s="1204"/>
      <c r="P33" s="1909"/>
      <c r="V33" s="1909"/>
    </row>
    <row r="34" spans="1:26" s="1207" customFormat="1" ht="18.75" thickBot="1">
      <c r="A34" s="297"/>
      <c r="B34" s="1333" t="s">
        <v>1683</v>
      </c>
      <c r="C34" s="261">
        <f ca="1">ROUND(C32*10000/'数据-汇总表'!D3,0)</f>
        <v>2093</v>
      </c>
      <c r="D34" s="1334" t="s">
        <v>1682</v>
      </c>
      <c r="E34" s="3452"/>
      <c r="F34" s="127" t="s">
        <v>341</v>
      </c>
      <c r="G34" s="296"/>
      <c r="H34" s="105"/>
      <c r="I34" s="308"/>
      <c r="J34" s="1909"/>
      <c r="K34" s="1214" t="str">
        <f>IF(K33="——","——","大写金额：人民币"&amp;NUMBERSTRING(INT(O41*10000),2)&amp;"元整")</f>
        <v>——</v>
      </c>
      <c r="L34" s="1215"/>
      <c r="M34" s="1215"/>
      <c r="N34" s="1215"/>
      <c r="O34" s="1216"/>
      <c r="P34" s="1909"/>
      <c r="Q34" s="289"/>
      <c r="R34" s="289"/>
      <c r="S34" s="289"/>
      <c r="T34" s="289"/>
      <c r="U34" s="289"/>
      <c r="V34" s="1909"/>
      <c r="W34" s="289"/>
      <c r="X34" s="289"/>
      <c r="Y34" s="289"/>
      <c r="Z34" s="289"/>
    </row>
    <row r="35" spans="1:26" ht="15.75" thickBot="1">
      <c r="A35" s="281"/>
      <c r="B35" s="1335"/>
      <c r="C35" s="1336">
        <f ca="1">ROUND(C32/('数据-汇总表'!D3/666.67),0)</f>
        <v>140</v>
      </c>
      <c r="D35" s="1337" t="s">
        <v>1684</v>
      </c>
      <c r="E35" s="3453"/>
      <c r="F35" s="298" t="s">
        <v>342</v>
      </c>
      <c r="G35" s="969"/>
      <c r="H35" s="968" t="s">
        <v>343</v>
      </c>
      <c r="I35" s="308"/>
      <c r="J35" s="1909"/>
      <c r="K35" s="3426" t="s">
        <v>350</v>
      </c>
      <c r="L35" s="3426" t="s">
        <v>351</v>
      </c>
      <c r="M35" s="1217" t="s">
        <v>352</v>
      </c>
      <c r="N35" s="3426" t="s">
        <v>353</v>
      </c>
      <c r="O35" s="3426" t="s">
        <v>354</v>
      </c>
      <c r="P35" s="1909"/>
      <c r="V35" s="1909"/>
    </row>
    <row r="36" spans="1:26" ht="16.5" customHeight="1">
      <c r="A36" s="300" t="s">
        <v>344</v>
      </c>
      <c r="B36" s="301" t="s">
        <v>333</v>
      </c>
      <c r="C36" s="302" t="s">
        <v>345</v>
      </c>
      <c r="D36" s="302" t="s">
        <v>346</v>
      </c>
      <c r="E36" s="303" t="s">
        <v>347</v>
      </c>
      <c r="F36" s="308"/>
      <c r="G36" s="308"/>
      <c r="H36" s="308"/>
      <c r="I36" s="308"/>
      <c r="J36" s="1911"/>
      <c r="K36" s="3427"/>
      <c r="L36" s="3427"/>
      <c r="M36" s="1219" t="s">
        <v>355</v>
      </c>
      <c r="N36" s="3427"/>
      <c r="O36" s="3427"/>
      <c r="P36" s="1909"/>
      <c r="V36" s="1909"/>
    </row>
    <row r="37" spans="1:26" ht="16.5" customHeight="1" thickBot="1">
      <c r="A37" s="1213" t="s">
        <v>348</v>
      </c>
      <c r="B37" s="304"/>
      <c r="C37" s="291"/>
      <c r="D37" s="291"/>
      <c r="E37" s="292"/>
      <c r="F37" s="308"/>
      <c r="G37" s="308"/>
      <c r="H37" s="308"/>
      <c r="I37" s="308"/>
      <c r="J37" s="1911"/>
      <c r="K37" s="3428"/>
      <c r="L37" s="3428"/>
      <c r="M37" s="1220"/>
      <c r="N37" s="3428"/>
      <c r="O37" s="3428"/>
      <c r="P37" s="1909"/>
      <c r="V37" s="1909"/>
    </row>
    <row r="38" spans="1:26" ht="16.5" customHeight="1" thickBot="1">
      <c r="A38" s="1213" t="s">
        <v>349</v>
      </c>
      <c r="B38" s="304"/>
      <c r="C38" s="291"/>
      <c r="D38" s="291"/>
      <c r="E38" s="292"/>
      <c r="F38" s="308"/>
      <c r="G38" s="308"/>
      <c r="H38" s="308"/>
      <c r="I38" s="308"/>
      <c r="J38" s="1911"/>
      <c r="K38" s="1221">
        <f>'数据-汇总表'!D3</f>
        <v>9817.3700000000008</v>
      </c>
      <c r="L38" s="1222">
        <f>'数据-汇总表'!E3</f>
        <v>14621.33</v>
      </c>
      <c r="M38" s="1222">
        <f ca="1">C34</f>
        <v>2093</v>
      </c>
      <c r="N38" s="1222">
        <f ca="1">C33</f>
        <v>1405</v>
      </c>
      <c r="O38" s="1223">
        <f ca="1">C32</f>
        <v>2055</v>
      </c>
      <c r="P38" s="1909"/>
      <c r="V38" s="1909"/>
    </row>
    <row r="39" spans="1:26" ht="16.5" customHeight="1" thickBot="1">
      <c r="A39" s="1218"/>
      <c r="B39" s="305"/>
      <c r="C39" s="306"/>
      <c r="D39" s="306"/>
      <c r="E39" s="307"/>
      <c r="F39" s="308"/>
      <c r="G39" s="308"/>
      <c r="H39" s="308"/>
      <c r="I39" s="308"/>
      <c r="J39" s="1911"/>
      <c r="K39" s="3466" t="str">
        <f>MID(A44,3,LEN(A44)-2)</f>
        <v>抵押价格</v>
      </c>
      <c r="L39" s="3467"/>
      <c r="M39" s="3467"/>
      <c r="N39" s="3468"/>
      <c r="O39" s="1339">
        <f ca="1">C44</f>
        <v>2055</v>
      </c>
      <c r="P39" s="1909"/>
      <c r="V39" s="1909"/>
    </row>
    <row r="40" spans="1:26" ht="19.5" thickBot="1">
      <c r="A40" s="104" t="s">
        <v>864</v>
      </c>
      <c r="B40" s="308"/>
      <c r="C40" s="308"/>
      <c r="D40" s="308"/>
      <c r="E40" s="308"/>
      <c r="F40" s="308"/>
      <c r="G40" s="308"/>
      <c r="H40" s="308"/>
      <c r="I40" s="308"/>
      <c r="J40" s="1911"/>
      <c r="K40" s="3466" t="str">
        <f t="shared" ref="K40:K41" si="0">MID(A45,3,LEN(A45)-2)</f>
        <v/>
      </c>
      <c r="L40" s="3467"/>
      <c r="M40" s="3467"/>
      <c r="N40" s="3468"/>
      <c r="O40" s="1339" t="str">
        <f>C45</f>
        <v>——</v>
      </c>
      <c r="P40" s="1909"/>
      <c r="V40" s="1909"/>
    </row>
    <row r="41" spans="1:26" ht="16.5" thickBot="1">
      <c r="A41" s="309" t="s">
        <v>356</v>
      </c>
      <c r="B41" s="310"/>
      <c r="C41" s="311" t="s">
        <v>357</v>
      </c>
      <c r="D41" s="312" t="s">
        <v>358</v>
      </c>
      <c r="E41" s="312" t="s">
        <v>359</v>
      </c>
      <c r="F41" s="313" t="s">
        <v>360</v>
      </c>
      <c r="G41" s="308"/>
      <c r="H41" s="308"/>
      <c r="I41" s="308"/>
      <c r="J41" s="1911"/>
      <c r="K41" s="3466" t="str">
        <f t="shared" si="0"/>
        <v/>
      </c>
      <c r="L41" s="3467"/>
      <c r="M41" s="3467"/>
      <c r="N41" s="3468"/>
      <c r="O41" s="1339" t="str">
        <f>C46</f>
        <v>——</v>
      </c>
      <c r="P41" s="1909"/>
      <c r="V41" s="1909"/>
    </row>
    <row r="42" spans="1:26" ht="29.25">
      <c r="A42" s="3410" t="s">
        <v>2053</v>
      </c>
      <c r="B42" s="3411"/>
      <c r="C42" s="261">
        <f ca="1">C32</f>
        <v>2055</v>
      </c>
      <c r="D42" s="314">
        <f ca="1">C33</f>
        <v>1405</v>
      </c>
      <c r="E42" s="314">
        <f ca="1">C34</f>
        <v>2093</v>
      </c>
      <c r="F42" s="315">
        <f ca="1">C35</f>
        <v>140</v>
      </c>
      <c r="G42" s="308"/>
      <c r="H42" s="308"/>
      <c r="I42" s="316"/>
      <c r="J42" s="1911"/>
      <c r="K42" s="1224" t="s">
        <v>361</v>
      </c>
      <c r="L42" s="1928" t="s">
        <v>362</v>
      </c>
      <c r="M42" s="1225" t="s">
        <v>363</v>
      </c>
      <c r="N42" s="1929" t="s">
        <v>364</v>
      </c>
      <c r="O42" s="1930" t="s">
        <v>365</v>
      </c>
      <c r="P42" s="1909"/>
      <c r="V42" s="1909"/>
    </row>
    <row r="43" spans="1:26" ht="18">
      <c r="A43" s="3421" t="s">
        <v>2686</v>
      </c>
      <c r="B43" s="3422"/>
      <c r="C43" s="261">
        <f>IF(H33="正常操作",G33+G34+G35,G34+G35)</f>
        <v>0</v>
      </c>
      <c r="D43" s="314" t="s">
        <v>43</v>
      </c>
      <c r="E43" s="314" t="s">
        <v>44</v>
      </c>
      <c r="F43" s="315" t="s">
        <v>44</v>
      </c>
      <c r="G43" s="2581" t="s">
        <v>943</v>
      </c>
      <c r="H43" s="308"/>
      <c r="I43" s="316"/>
      <c r="J43" s="1911"/>
      <c r="K43" s="1226" t="str">
        <f>C4</f>
        <v>基准地价</v>
      </c>
      <c r="L43" s="1227">
        <f ca="1">IF(L42="估价结果/万元",C19,C20)</f>
        <v>2228</v>
      </c>
      <c r="M43" s="1228">
        <f>C18</f>
        <v>0.5</v>
      </c>
      <c r="N43" s="1229">
        <f ca="1">IF(N42="测算结果/万元",G19,G20)</f>
        <v>2055</v>
      </c>
      <c r="O43" s="1230">
        <f ca="1">IF(O42="最终结果/万元",C32,C33)</f>
        <v>2055</v>
      </c>
      <c r="P43" s="1909"/>
      <c r="V43" s="1909"/>
    </row>
    <row r="44" spans="1:26" ht="30.75" thickBot="1">
      <c r="A44" s="3410" t="str">
        <f>IF(OR(项目基本情况!E8="抵押价格",项目基本情况!E8="已注销及未注销"),"3.抵押价格","——")</f>
        <v>3.抵押价格</v>
      </c>
      <c r="B44" s="3411"/>
      <c r="C44" s="261">
        <f ca="1">IF(A44="——","——",C42-C43)</f>
        <v>2055</v>
      </c>
      <c r="D44" s="314">
        <f ca="1">ROUND(C44*10000/'数据-汇总表'!E3,0)</f>
        <v>1405</v>
      </c>
      <c r="E44" s="314">
        <f ca="1">ROUND(C44*10000/'数据-汇总表'!D3,0)</f>
        <v>2093</v>
      </c>
      <c r="F44" s="315">
        <f ca="1">ROUND(C44/('数据-汇总表'!D3/666.67),0)</f>
        <v>140</v>
      </c>
      <c r="G44" s="308"/>
      <c r="H44" s="308"/>
      <c r="I44" s="316"/>
      <c r="J44" s="1911"/>
      <c r="K44" s="1231" t="str">
        <f>D4</f>
        <v>剩余法-待开发</v>
      </c>
      <c r="L44" s="1232">
        <f ca="1">IF(L42="估价结果/万元",D19,D20)</f>
        <v>1882</v>
      </c>
      <c r="M44" s="1233">
        <f>D18</f>
        <v>0.5</v>
      </c>
      <c r="N44" s="1234"/>
      <c r="O44" s="1235"/>
      <c r="P44" s="1909"/>
      <c r="V44" s="1909"/>
    </row>
    <row r="45" spans="1:26" ht="15">
      <c r="A45" s="3416" t="str">
        <f>IF(项目基本情况!E8="已注销及未注销","4.抵押担保权已注销时的抵押价格",IF(项目基本情况!E8="已注销","3.抵押担保权已注销时的抵押价格","——"))</f>
        <v>——</v>
      </c>
      <c r="B45" s="3417"/>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12" t="str">
        <f>IF(项目基本情况!E9="抵押净值",IF(A45="——","4.抵押净值","5.抵押净值"),"——")</f>
        <v>——</v>
      </c>
      <c r="B46" s="3413"/>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6"/>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7" t="s">
        <v>373</v>
      </c>
      <c r="B62" s="1238"/>
      <c r="C62" s="1238"/>
      <c r="D62" s="1239"/>
      <c r="E62" s="1239"/>
      <c r="F62" s="1240"/>
      <c r="G62" s="1240"/>
      <c r="H62" s="1240"/>
      <c r="I62" s="1240"/>
      <c r="J62" s="1913"/>
      <c r="K62" s="1909"/>
      <c r="L62" s="1909"/>
      <c r="M62" s="1909"/>
      <c r="N62" s="1909"/>
      <c r="O62" s="1909"/>
      <c r="P62" s="1909"/>
      <c r="Q62" s="1909"/>
      <c r="R62" s="1909"/>
      <c r="S62" s="1909"/>
      <c r="T62" s="1909"/>
      <c r="U62" s="1909"/>
      <c r="V62" s="1909"/>
    </row>
    <row r="63" spans="1:22" ht="14.25" customHeight="1" thickBot="1">
      <c r="A63" s="3460" t="s">
        <v>374</v>
      </c>
      <c r="B63" s="3461"/>
      <c r="C63" s="3462"/>
      <c r="D63" s="338">
        <f ca="1">ROUND(C42*F63,0)</f>
        <v>2055</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18" t="s">
        <v>378</v>
      </c>
      <c r="B64" s="3419"/>
      <c r="C64" s="3419"/>
      <c r="D64" s="3419"/>
      <c r="E64" s="3419"/>
      <c r="F64" s="3419"/>
      <c r="G64" s="3420"/>
      <c r="H64" s="1241"/>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1"/>
      <c r="I65" s="936"/>
      <c r="J65" s="1900"/>
      <c r="K65" s="1242"/>
      <c r="L65" s="1243"/>
      <c r="M65" s="1243"/>
      <c r="N65" s="1275" t="s">
        <v>379</v>
      </c>
      <c r="O65" s="1276"/>
      <c r="P65" s="1277"/>
      <c r="Q65" s="1909"/>
      <c r="R65" s="1909"/>
      <c r="S65" s="1909"/>
      <c r="T65" s="1909"/>
      <c r="U65" s="1909"/>
      <c r="V65" s="1909"/>
    </row>
    <row r="66" spans="1:22" ht="25.5">
      <c r="A66" s="3414" t="s">
        <v>386</v>
      </c>
      <c r="B66" s="3415"/>
      <c r="C66" s="3415"/>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5"/>
      <c r="K66" s="1244">
        <v>1</v>
      </c>
      <c r="L66" s="3475" t="s">
        <v>385</v>
      </c>
      <c r="M66" s="3476"/>
      <c r="N66" s="2310"/>
      <c r="O66" s="2311"/>
      <c r="P66" s="2312"/>
      <c r="Q66" s="1909"/>
      <c r="R66" s="1909"/>
      <c r="S66" s="1909"/>
      <c r="T66" s="1909"/>
      <c r="U66" s="1909"/>
      <c r="V66" s="1909"/>
    </row>
    <row r="67" spans="1:22" ht="25.5" customHeight="1">
      <c r="A67" s="349" t="s">
        <v>389</v>
      </c>
      <c r="B67" s="3405" t="s">
        <v>390</v>
      </c>
      <c r="C67" s="3405"/>
      <c r="D67" s="350">
        <v>0</v>
      </c>
      <c r="E67" s="41" t="s">
        <v>391</v>
      </c>
      <c r="F67" s="62" t="s">
        <v>21</v>
      </c>
      <c r="G67" s="3463"/>
      <c r="H67" s="2888" t="s">
        <v>2934</v>
      </c>
      <c r="I67" s="2890"/>
      <c r="J67" s="1916"/>
      <c r="K67" s="1888">
        <v>2</v>
      </c>
      <c r="L67" s="3469" t="s">
        <v>388</v>
      </c>
      <c r="M67" s="3469"/>
      <c r="N67" s="1278">
        <f>'数据-取费表'!B2</f>
        <v>44266</v>
      </c>
      <c r="O67" s="1278"/>
      <c r="P67" s="1278"/>
      <c r="Q67" s="1909"/>
      <c r="R67" s="1909"/>
      <c r="S67" s="1909"/>
      <c r="T67" s="1909"/>
      <c r="U67" s="1909"/>
      <c r="V67" s="1909"/>
    </row>
    <row r="68" spans="1:22" ht="25.5" customHeight="1">
      <c r="A68" s="351"/>
      <c r="B68" s="3405" t="s">
        <v>393</v>
      </c>
      <c r="C68" s="3405"/>
      <c r="D68" s="352"/>
      <c r="E68" s="77"/>
      <c r="F68" s="353"/>
      <c r="G68" s="3464"/>
      <c r="H68" s="2889" t="s">
        <v>2935</v>
      </c>
      <c r="I68" s="2890"/>
      <c r="J68" s="1916"/>
      <c r="K68" s="1888">
        <v>3</v>
      </c>
      <c r="L68" s="3469" t="s">
        <v>392</v>
      </c>
      <c r="M68" s="3469"/>
      <c r="N68" s="1246">
        <f ca="1">C42</f>
        <v>2055</v>
      </c>
      <c r="O68" s="1246"/>
      <c r="P68" s="1246"/>
      <c r="Q68" s="1909"/>
      <c r="R68" s="1909"/>
      <c r="S68" s="1909"/>
      <c r="T68" s="1909"/>
      <c r="U68" s="1909"/>
      <c r="V68" s="1909"/>
    </row>
    <row r="69" spans="1:22" ht="23.45" customHeight="1">
      <c r="A69" s="354"/>
      <c r="B69" s="3405" t="s">
        <v>394</v>
      </c>
      <c r="C69" s="3405"/>
      <c r="D69" s="355"/>
      <c r="E69" s="73"/>
      <c r="F69" s="353"/>
      <c r="G69" s="3465"/>
      <c r="H69" s="2889" t="s">
        <v>2936</v>
      </c>
      <c r="I69" s="2890"/>
      <c r="J69" s="1916"/>
      <c r="K69" s="1247">
        <v>4</v>
      </c>
      <c r="L69" s="3479" t="s">
        <v>2838</v>
      </c>
      <c r="M69" s="3480"/>
      <c r="N69" s="1248">
        <f ca="1">C44</f>
        <v>2055</v>
      </c>
      <c r="O69" s="1248"/>
      <c r="P69" s="1248"/>
      <c r="Q69" s="1909"/>
      <c r="R69" s="1909"/>
      <c r="S69" s="1909"/>
      <c r="T69" s="1909"/>
      <c r="U69" s="1909"/>
      <c r="V69" s="1909"/>
    </row>
    <row r="70" spans="1:22" ht="24" customHeight="1">
      <c r="A70" s="356" t="s">
        <v>395</v>
      </c>
      <c r="B70" s="3405" t="s">
        <v>396</v>
      </c>
      <c r="C70" s="3405"/>
      <c r="D70" s="355">
        <f ca="1">ROUND(D63*'数据-取费表'!B41/(1+'数据-取费表'!C42),0)</f>
        <v>108</v>
      </c>
      <c r="E70" s="17" t="s">
        <v>397</v>
      </c>
      <c r="F70" s="357">
        <f>'数据-取费表'!B41</f>
        <v>5.5000000000000007E-2</v>
      </c>
      <c r="G70" s="358"/>
      <c r="H70" s="308"/>
      <c r="I70" s="1245"/>
      <c r="J70" s="1916"/>
      <c r="K70" s="2762"/>
      <c r="L70" s="2763"/>
      <c r="M70" s="2763"/>
      <c r="N70" s="2764" t="s">
        <v>2842</v>
      </c>
      <c r="O70" s="2763"/>
      <c r="P70" s="2765"/>
      <c r="Q70" s="1909"/>
      <c r="R70" s="1909"/>
      <c r="S70" s="1909"/>
      <c r="T70" s="1909"/>
      <c r="U70" s="1909"/>
      <c r="V70" s="1909"/>
    </row>
    <row r="71" spans="1:22" ht="12" customHeight="1">
      <c r="A71" s="356" t="s">
        <v>403</v>
      </c>
      <c r="B71" s="3406" t="s">
        <v>2966</v>
      </c>
      <c r="C71" s="3407"/>
      <c r="D71" s="355">
        <f ca="1">ROUND(D63*'数据-取费表'!B41/(1+'数据-取费表'!C42),0)</f>
        <v>108</v>
      </c>
      <c r="E71" s="17" t="s">
        <v>397</v>
      </c>
      <c r="F71" s="357">
        <f>'数据-取费表'!B41</f>
        <v>5.5000000000000007E-2</v>
      </c>
      <c r="G71" s="358"/>
      <c r="H71" s="308"/>
      <c r="I71" s="1245"/>
      <c r="J71" s="1916"/>
      <c r="K71" s="2761" t="s">
        <v>398</v>
      </c>
      <c r="L71" s="3481" t="s">
        <v>399</v>
      </c>
      <c r="M71" s="3481"/>
      <c r="N71" s="2761" t="s">
        <v>400</v>
      </c>
      <c r="O71" s="2761" t="s">
        <v>401</v>
      </c>
      <c r="P71" s="2761" t="s">
        <v>402</v>
      </c>
      <c r="Q71" s="1909"/>
      <c r="R71" s="1909"/>
      <c r="S71" s="1909"/>
      <c r="T71" s="1909"/>
      <c r="U71" s="1909"/>
      <c r="V71" s="1909"/>
    </row>
    <row r="72" spans="1:22" ht="12" customHeight="1">
      <c r="A72" s="356" t="s">
        <v>405</v>
      </c>
      <c r="B72" s="3406" t="s">
        <v>2967</v>
      </c>
      <c r="C72" s="3407"/>
      <c r="D72" s="355">
        <f ca="1">C86</f>
        <v>108</v>
      </c>
      <c r="E72" s="73" t="s">
        <v>406</v>
      </c>
      <c r="F72" s="357">
        <f>'数据-取费表'!B41</f>
        <v>5.5000000000000007E-2</v>
      </c>
      <c r="G72" s="358"/>
      <c r="H72" s="1251"/>
      <c r="I72" s="1245"/>
      <c r="J72" s="1916"/>
      <c r="K72" s="1888">
        <v>1</v>
      </c>
      <c r="L72" s="3456" t="s">
        <v>404</v>
      </c>
      <c r="M72" s="3456"/>
      <c r="N72" s="1249" t="b">
        <f>D66</f>
        <v>0</v>
      </c>
      <c r="O72" s="1771" t="str">
        <f>E66</f>
        <v>销售额×税（费）率</v>
      </c>
      <c r="P72" s="1250">
        <f>F66</f>
        <v>5.5000000000000007E-2</v>
      </c>
      <c r="Q72" s="1909"/>
      <c r="R72" s="1909"/>
      <c r="S72" s="1909"/>
      <c r="T72" s="1909"/>
      <c r="U72" s="1909"/>
      <c r="V72" s="1909"/>
    </row>
    <row r="73" spans="1:22" ht="24" customHeight="1">
      <c r="A73" s="3451" t="s">
        <v>408</v>
      </c>
      <c r="B73" s="3415"/>
      <c r="C73" s="3415"/>
      <c r="D73" s="359">
        <f ca="1">IF(H73="个人住宅",0,ROUND(D63*I73,0))</f>
        <v>1</v>
      </c>
      <c r="E73" s="17" t="s">
        <v>409</v>
      </c>
      <c r="F73" s="357" t="str">
        <f>IF(H73="正常",I73,"免征")</f>
        <v>免征</v>
      </c>
      <c r="G73" s="358"/>
      <c r="H73" s="189"/>
      <c r="I73" s="357">
        <f>'数据-取费表'!B49</f>
        <v>5.0000000000000001E-4</v>
      </c>
      <c r="J73" s="1916"/>
      <c r="K73" s="1888">
        <v>2</v>
      </c>
      <c r="L73" s="3456" t="s">
        <v>407</v>
      </c>
      <c r="M73" s="3456"/>
      <c r="N73" s="1249">
        <f t="shared" ref="N73:P74" ca="1" si="1">D73</f>
        <v>1</v>
      </c>
      <c r="O73" s="1771" t="str">
        <f t="shared" si="1"/>
        <v>销售额×税（费）率</v>
      </c>
      <c r="P73" s="1250" t="str">
        <f t="shared" si="1"/>
        <v>免征</v>
      </c>
      <c r="Q73" s="1909"/>
      <c r="R73" s="1909"/>
      <c r="S73" s="1909"/>
      <c r="T73" s="1909"/>
      <c r="U73" s="1909"/>
      <c r="V73" s="1909"/>
    </row>
    <row r="74" spans="1:22" ht="24.75">
      <c r="A74" s="3451" t="s">
        <v>411</v>
      </c>
      <c r="B74" s="3415"/>
      <c r="C74" s="3415"/>
      <c r="D74" s="359">
        <f ca="1">IF(H74="个人住宅",D75,D76)</f>
        <v>1165</v>
      </c>
      <c r="E74" s="17" t="s">
        <v>412</v>
      </c>
      <c r="F74" s="357" t="str">
        <f>IF(H74="正常",F76,"免征")</f>
        <v>免征</v>
      </c>
      <c r="G74" s="970" t="s">
        <v>413</v>
      </c>
      <c r="H74" s="360"/>
      <c r="I74" s="42"/>
      <c r="J74" s="1916"/>
      <c r="K74" s="1888">
        <v>3</v>
      </c>
      <c r="L74" s="3456" t="s">
        <v>410</v>
      </c>
      <c r="M74" s="3456"/>
      <c r="N74" s="1249">
        <f t="shared" ca="1" si="1"/>
        <v>1165</v>
      </c>
      <c r="O74" s="1771" t="str">
        <f t="shared" si="1"/>
        <v>增值额×税（费）率</v>
      </c>
      <c r="P74" s="1252" t="str">
        <f t="shared" si="1"/>
        <v>免征</v>
      </c>
      <c r="Q74" s="1909"/>
      <c r="R74" s="1909"/>
      <c r="S74" s="1909"/>
      <c r="T74" s="1909"/>
      <c r="U74" s="1909"/>
      <c r="V74" s="1909"/>
    </row>
    <row r="75" spans="1:22" ht="12.75">
      <c r="A75" s="356" t="s">
        <v>414</v>
      </c>
      <c r="B75" s="3403" t="s">
        <v>415</v>
      </c>
      <c r="C75" s="3439"/>
      <c r="D75" s="361">
        <v>0</v>
      </c>
      <c r="E75" s="41" t="s">
        <v>416</v>
      </c>
      <c r="F75" s="362"/>
      <c r="G75" s="358"/>
      <c r="H75" s="42"/>
      <c r="I75" s="42"/>
      <c r="J75" s="1916"/>
      <c r="K75" s="2755">
        <f>IF(H77="非个人房产","",4)</f>
        <v>4</v>
      </c>
      <c r="L75" s="3456" t="str">
        <f>IF(H77="非个人房产","——","个人所得税")</f>
        <v>个人所得税</v>
      </c>
      <c r="M75" s="3456"/>
      <c r="N75" s="1253">
        <f>D77</f>
        <v>0</v>
      </c>
      <c r="O75" s="1784" t="str">
        <f>E77</f>
        <v>差额计税</v>
      </c>
      <c r="P75" s="1254">
        <f>F77</f>
        <v>0.01</v>
      </c>
      <c r="Q75" s="1909"/>
      <c r="R75" s="1909"/>
      <c r="S75" s="1909"/>
      <c r="T75" s="1909"/>
      <c r="U75" s="1909"/>
      <c r="V75" s="1909"/>
    </row>
    <row r="76" spans="1:22" ht="24.75">
      <c r="A76" s="356" t="s">
        <v>395</v>
      </c>
      <c r="B76" s="3403" t="s">
        <v>418</v>
      </c>
      <c r="C76" s="3404"/>
      <c r="D76" s="359">
        <f ca="1">IF(H76="转让取得",C99,C115)</f>
        <v>1165</v>
      </c>
      <c r="E76" s="17" t="s">
        <v>419</v>
      </c>
      <c r="F76" s="53" t="s">
        <v>21</v>
      </c>
      <c r="G76" s="358"/>
      <c r="H76" s="360"/>
      <c r="I76" s="42"/>
      <c r="J76" s="1916"/>
      <c r="K76" s="2755" t="str">
        <f>IF(项目基本情况!K6="上海银行",IF(K75="",4,K75+1),"")</f>
        <v/>
      </c>
      <c r="L76" s="3471" t="str">
        <f>IF(项目基本情况!K6="上海银行","其他处置费用","")</f>
        <v/>
      </c>
      <c r="M76" s="3472"/>
      <c r="N76" s="1249" t="str">
        <f>IF(项目基本情况!K6="上海银行",N89,"")</f>
        <v/>
      </c>
      <c r="O76" s="3473" t="str">
        <f>IF(项目基本情况!K6="上海银行","包含处置中涉及的律师、诉讼、拍卖、评估等费用","")</f>
        <v/>
      </c>
      <c r="P76" s="3474"/>
      <c r="Q76" s="1909"/>
      <c r="R76" s="1909"/>
      <c r="S76" s="1909"/>
      <c r="T76" s="1909"/>
      <c r="U76" s="1909"/>
      <c r="V76" s="1909"/>
    </row>
    <row r="77" spans="1:22" ht="24.75" thickBot="1">
      <c r="A77" s="3458" t="s">
        <v>421</v>
      </c>
      <c r="B77" s="3459"/>
      <c r="C77" s="3459"/>
      <c r="D77" s="2893">
        <f>IF(H77="非个人房产","——",IF(H77="个人住宅（满五唯一有凭证）",0,IF(H77="个人其他（无凭证）",ROUND(D63*F77,0),ROUND(C84*F77,0))))</f>
        <v>0</v>
      </c>
      <c r="E77" s="2894" t="str">
        <f>IF(H77="非个人房产","——",IF(H77="个人其他（无凭证）","销售额×税（费）率",IF(H77="个人住宅（满五唯一有凭证）","免征","差额计税")))</f>
        <v>差额计税</v>
      </c>
      <c r="F77" s="2895">
        <f>IF(OR(H77="非个人房产",H77="个人住宅（满五唯一有凭证）"),"——",IF(H77="个人其他（有凭证）",20%,1%))</f>
        <v>0.01</v>
      </c>
      <c r="G77" s="971" t="s">
        <v>413</v>
      </c>
      <c r="H77" s="2892"/>
      <c r="I77" s="2891" t="s">
        <v>2937</v>
      </c>
      <c r="J77" s="1916"/>
      <c r="K77" s="3457">
        <f>IF(AND(K75="",K76=""),4,IF(项目基本情况!K6="上海银行",K76+1,K75+1))</f>
        <v>5</v>
      </c>
      <c r="L77" s="3456" t="s">
        <v>2839</v>
      </c>
      <c r="M77" s="2760" t="s">
        <v>417</v>
      </c>
      <c r="N77" s="1255"/>
      <c r="O77" s="1256">
        <f ca="1">SUMIF(N72:N76,"&lt;9e307")</f>
        <v>1166</v>
      </c>
      <c r="P77" s="1257"/>
      <c r="Q77" s="2758">
        <f ca="1">O77/N69</f>
        <v>0.56739659367396589</v>
      </c>
      <c r="R77" s="1909"/>
      <c r="S77" s="1909"/>
      <c r="T77" s="1909"/>
      <c r="U77" s="1909"/>
      <c r="V77" s="1909"/>
    </row>
    <row r="78" spans="1:22" ht="12" customHeight="1">
      <c r="A78" s="1258"/>
      <c r="B78" s="308"/>
      <c r="C78" s="308"/>
      <c r="D78" s="308"/>
      <c r="E78" s="42"/>
      <c r="F78" s="42"/>
      <c r="G78" s="42"/>
      <c r="H78" s="990"/>
      <c r="I78" s="308"/>
      <c r="J78" s="1916"/>
      <c r="K78" s="3457"/>
      <c r="L78" s="3456"/>
      <c r="M78" s="2760" t="s">
        <v>420</v>
      </c>
      <c r="N78" s="1255"/>
      <c r="O78" s="1256" t="str">
        <f ca="1">NUMBERSTRING(INT(O77*10000),2)&amp;"元整"</f>
        <v>壹仟壹佰陆拾陆万元整</v>
      </c>
      <c r="P78" s="1257"/>
      <c r="Q78" s="1909"/>
      <c r="R78" s="1909"/>
      <c r="S78" s="1909"/>
      <c r="T78" s="1909"/>
      <c r="U78" s="1909"/>
      <c r="V78" s="1909"/>
    </row>
    <row r="79" spans="1:22" ht="13.5" thickBot="1">
      <c r="A79" s="3423" t="s">
        <v>422</v>
      </c>
      <c r="B79" s="3423"/>
      <c r="C79" s="3423"/>
      <c r="D79" s="3423"/>
      <c r="E79" s="3423"/>
      <c r="F79" s="42"/>
      <c r="G79" s="42"/>
      <c r="H79" s="990"/>
      <c r="I79" s="308"/>
      <c r="J79" s="1916"/>
      <c r="K79" s="3477">
        <f>K77+1</f>
        <v>6</v>
      </c>
      <c r="L79" s="3456" t="s">
        <v>2840</v>
      </c>
      <c r="M79" s="2760" t="s">
        <v>417</v>
      </c>
      <c r="N79" s="1255"/>
      <c r="O79" s="1256">
        <f ca="1">N69-O77</f>
        <v>889</v>
      </c>
      <c r="P79" s="1257"/>
      <c r="Q79" s="1909"/>
      <c r="R79" s="1909"/>
      <c r="S79" s="1909"/>
      <c r="T79" s="1909"/>
      <c r="U79" s="1909"/>
      <c r="V79" s="1909"/>
    </row>
    <row r="80" spans="1:22" ht="25.5">
      <c r="A80" s="3424" t="s">
        <v>423</v>
      </c>
      <c r="B80" s="3425"/>
      <c r="C80" s="981"/>
      <c r="D80" s="981" t="s">
        <v>424</v>
      </c>
      <c r="E80" s="363" t="s">
        <v>425</v>
      </c>
      <c r="F80" s="42"/>
      <c r="G80" s="42"/>
      <c r="H80" s="990"/>
      <c r="I80" s="308"/>
      <c r="J80" s="1909"/>
      <c r="K80" s="3478"/>
      <c r="L80" s="3456"/>
      <c r="M80" s="2760" t="s">
        <v>420</v>
      </c>
      <c r="N80" s="1255"/>
      <c r="O80" s="1256" t="str">
        <f ca="1">NUMBERSTRING(INT(O79*10000),2)&amp;"元整"</f>
        <v>捌佰捌拾玖万元整</v>
      </c>
      <c r="P80" s="1257"/>
      <c r="Q80" s="1909"/>
      <c r="R80" s="1909"/>
      <c r="S80" s="1909"/>
      <c r="T80" s="1909"/>
      <c r="U80" s="1909"/>
      <c r="V80" s="1909"/>
    </row>
    <row r="81" spans="1:26" ht="13.5" thickBot="1">
      <c r="A81" s="374" t="s">
        <v>1814</v>
      </c>
      <c r="B81" s="364" t="s">
        <v>426</v>
      </c>
      <c r="C81" s="365">
        <f ca="1">ROUND((C82+C83)/(1+'数据-取费表'!C42),0)</f>
        <v>1957</v>
      </c>
      <c r="D81" s="366"/>
      <c r="E81" s="367"/>
      <c r="F81" s="42"/>
      <c r="G81" s="42"/>
      <c r="H81" s="990"/>
      <c r="I81" s="308"/>
      <c r="J81" s="1909"/>
      <c r="K81" s="2755">
        <f>K79+1</f>
        <v>7</v>
      </c>
      <c r="L81" s="3454" t="s">
        <v>2841</v>
      </c>
      <c r="M81" s="3455"/>
      <c r="N81" s="1259"/>
      <c r="O81" s="1260">
        <f ca="1">ROUND(O79*10000/'数据-汇总表'!E3,0)</f>
        <v>608</v>
      </c>
      <c r="P81" s="1261"/>
      <c r="Q81" s="1909"/>
      <c r="R81" s="1909"/>
      <c r="S81" s="1909"/>
      <c r="T81" s="1909"/>
      <c r="U81" s="1909"/>
      <c r="V81" s="1909"/>
    </row>
    <row r="82" spans="1:26" ht="13.5" thickTop="1">
      <c r="A82" s="368" t="s">
        <v>1815</v>
      </c>
      <c r="B82" s="369" t="s">
        <v>427</v>
      </c>
      <c r="C82" s="370">
        <f ca="1">D63</f>
        <v>2055</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70" t="s">
        <v>2829</v>
      </c>
      <c r="L83" s="2766" t="s">
        <v>2830</v>
      </c>
      <c r="M83" s="2756">
        <f ca="1">IF(N69&gt;10000,N69*0.5%,IF(AND(N69&gt;1000,N69&lt;=10000),N69*1%,IF(AND(N69&gt;100,N69&lt;=1000),N69*3%,IF(AND(N69&gt;10,N69&lt;=100),N69*5%,N69*8%))))</f>
        <v>20.55</v>
      </c>
      <c r="N83" s="53">
        <f ca="1">ROUND(M83,1)</f>
        <v>20.6</v>
      </c>
      <c r="O83" s="2759"/>
      <c r="P83" s="1909"/>
      <c r="Q83" s="1909"/>
      <c r="R83" s="1909"/>
      <c r="S83" s="1909"/>
      <c r="T83" s="1909"/>
      <c r="U83" s="1909"/>
      <c r="V83" s="1909"/>
    </row>
    <row r="84" spans="1:26" ht="12.75">
      <c r="A84" s="374" t="s">
        <v>1817</v>
      </c>
      <c r="B84" s="375" t="s">
        <v>429</v>
      </c>
      <c r="C84" s="376"/>
      <c r="D84" s="377" t="s">
        <v>19</v>
      </c>
      <c r="E84" s="2784" t="s">
        <v>2879</v>
      </c>
      <c r="F84" s="42"/>
      <c r="G84" s="42"/>
      <c r="H84" s="990"/>
      <c r="I84" s="308"/>
      <c r="J84" s="1909"/>
      <c r="K84" s="3470"/>
      <c r="L84" s="2766" t="s">
        <v>2831</v>
      </c>
      <c r="M84" s="2756">
        <f ca="1">IF(N69&gt;2000,N69*0.5%,IF(AND(N69&gt;1000,N69&lt;=2000),N69*0.6%,IF(AND(N69&gt;500,N69&lt;=1000),N69*0.7%,IF(AND(N69&gt;200,N69&lt;=500),N69*0.8%,IF(AND(N69&gt;100,N69&lt;=200),N69*0.9%,IF(AND(N69&gt;50,N69&lt;=100),N69*1%,IF(AND(N69&gt;20,N69&lt;=50),N69*1.5%,IF(AND(N69&gt;10,N69&lt;=20),N69*2%,IF(AND(N69&gt;1,N69&lt;=10),N69*2.5%)))))))))</f>
        <v>10.275</v>
      </c>
      <c r="N84" s="53">
        <f t="shared" ref="N84:N85" ca="1" si="2">ROUND(M84,1)</f>
        <v>10.3</v>
      </c>
      <c r="O84" s="1909" t="s">
        <v>2832</v>
      </c>
      <c r="P84" s="1909"/>
      <c r="Q84" s="1909"/>
      <c r="R84" s="1909"/>
      <c r="S84" s="1909"/>
      <c r="T84" s="1909"/>
      <c r="U84" s="1909"/>
      <c r="V84" s="1909"/>
    </row>
    <row r="85" spans="1:26" ht="12.75">
      <c r="A85" s="374" t="s">
        <v>1818</v>
      </c>
      <c r="B85" s="375" t="s">
        <v>430</v>
      </c>
      <c r="C85" s="378">
        <f ca="1">C81-C84</f>
        <v>1957</v>
      </c>
      <c r="D85" s="371" t="s">
        <v>19</v>
      </c>
      <c r="E85" s="372"/>
      <c r="F85" s="42"/>
      <c r="G85" s="42"/>
      <c r="H85" s="990"/>
      <c r="I85" s="308"/>
      <c r="J85" s="1909"/>
      <c r="K85" s="3470"/>
      <c r="L85" s="2766" t="s">
        <v>2833</v>
      </c>
      <c r="M85" s="2756">
        <f ca="1">IF(N69&gt;1000,N69*0.1%,IF(AND(N69&gt;500,N69&lt;=1000),N69*0.5%,IF(AND(N69&gt;50,N69&lt;=500),N69*1%,IF(AND(N69&gt;1,N69&lt;=50),N69*1.5%))))</f>
        <v>2.0550000000000002</v>
      </c>
      <c r="N85" s="53">
        <f t="shared" ca="1" si="2"/>
        <v>2.1</v>
      </c>
      <c r="O85" s="1909" t="s">
        <v>2832</v>
      </c>
      <c r="P85" s="1909"/>
      <c r="Q85" s="1909"/>
      <c r="R85" s="1909"/>
      <c r="S85" s="1909"/>
      <c r="T85" s="1909"/>
      <c r="U85" s="1909"/>
      <c r="V85" s="1909"/>
    </row>
    <row r="86" spans="1:26" ht="13.5" thickBot="1">
      <c r="A86" s="379" t="s">
        <v>1819</v>
      </c>
      <c r="B86" s="380" t="s">
        <v>431</v>
      </c>
      <c r="C86" s="381">
        <f ca="1">IF(C85&lt;=0,0,ROUND(C85*D86,0))</f>
        <v>108</v>
      </c>
      <c r="D86" s="382">
        <f>'数据-取费表'!B41</f>
        <v>5.5000000000000007E-2</v>
      </c>
      <c r="E86" s="383"/>
      <c r="F86" s="42"/>
      <c r="G86" s="42"/>
      <c r="H86" s="990"/>
      <c r="I86" s="308"/>
      <c r="J86" s="1909"/>
      <c r="K86" s="3470"/>
      <c r="L86" s="2766" t="s">
        <v>2834</v>
      </c>
      <c r="M86" s="2756">
        <f ca="1">N69*0.5%</f>
        <v>10.275</v>
      </c>
      <c r="N86" s="53">
        <f ca="1">IF(M86&gt;0.5,0.5,ROUND(M86,0))</f>
        <v>0.5</v>
      </c>
      <c r="O86" s="1909" t="s">
        <v>2835</v>
      </c>
      <c r="P86" s="1909"/>
      <c r="Q86" s="1909"/>
      <c r="R86" s="1909"/>
      <c r="S86" s="1909"/>
      <c r="T86" s="1909"/>
      <c r="U86" s="1909"/>
      <c r="V86" s="1909"/>
    </row>
    <row r="87" spans="1:26" s="1207" customFormat="1" ht="14.25" customHeight="1">
      <c r="A87" s="1262"/>
      <c r="B87" s="1263"/>
      <c r="C87" s="1264"/>
      <c r="D87" s="1265"/>
      <c r="E87" s="1266"/>
      <c r="F87" s="42"/>
      <c r="G87" s="42"/>
      <c r="H87" s="990"/>
      <c r="I87" s="308"/>
      <c r="J87" s="1909"/>
      <c r="K87" s="3470"/>
      <c r="L87" s="2766" t="s">
        <v>2836</v>
      </c>
      <c r="M87" s="275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759"/>
      <c r="P87" s="1909"/>
      <c r="Q87" s="1909"/>
      <c r="R87" s="1909"/>
      <c r="S87" s="1909"/>
      <c r="T87" s="1909"/>
      <c r="U87" s="1909"/>
      <c r="V87" s="1909"/>
      <c r="W87" s="289"/>
      <c r="X87" s="289"/>
      <c r="Y87" s="289"/>
      <c r="Z87" s="289"/>
    </row>
    <row r="88" spans="1:26" s="1267" customFormat="1" ht="15" thickBot="1">
      <c r="A88" s="3449" t="s">
        <v>432</v>
      </c>
      <c r="B88" s="3450"/>
      <c r="C88" s="3450"/>
      <c r="D88" s="3450"/>
      <c r="E88" s="3450"/>
      <c r="F88" s="3450"/>
      <c r="G88" s="3450"/>
      <c r="H88" s="3450"/>
      <c r="I88" s="1268"/>
      <c r="J88" s="1917"/>
      <c r="K88" s="3470"/>
      <c r="L88" s="2766" t="s">
        <v>2837</v>
      </c>
      <c r="M88" s="2756">
        <f ca="1">IF(N69&gt;10000,N69*0.5%,IF(AND(N69&gt;5000,N69&lt;=10000),N69*1%,IF(AND(N69&gt;1000,N69&lt;=5000),N69*2%,IF(AND(N69&gt;200,N69&lt;=1000),N69*3%,N69*5%))))</f>
        <v>41.1</v>
      </c>
      <c r="N88" s="53">
        <f ca="1">ROUND(M88,1)</f>
        <v>41.1</v>
      </c>
      <c r="O88" s="2759"/>
      <c r="P88" s="1914"/>
      <c r="Q88" s="1914"/>
      <c r="R88" s="1914"/>
      <c r="S88" s="1914"/>
      <c r="T88" s="1914"/>
      <c r="U88" s="1914"/>
      <c r="V88" s="1914"/>
      <c r="W88" s="1918"/>
      <c r="X88" s="1918"/>
      <c r="Y88" s="1918"/>
      <c r="Z88" s="1918"/>
    </row>
    <row r="89" spans="1:26" s="1267" customFormat="1" ht="14.25">
      <c r="A89" s="3424" t="s">
        <v>423</v>
      </c>
      <c r="B89" s="3425"/>
      <c r="C89" s="981"/>
      <c r="D89" s="981" t="s">
        <v>424</v>
      </c>
      <c r="E89" s="384" t="s">
        <v>433</v>
      </c>
      <c r="F89" s="385"/>
      <c r="G89" s="385"/>
      <c r="H89" s="386"/>
      <c r="I89" s="1269"/>
      <c r="J89" s="1919"/>
      <c r="K89" s="3470"/>
      <c r="L89" s="2766" t="s">
        <v>27</v>
      </c>
      <c r="M89" s="2757"/>
      <c r="N89" s="53">
        <f ca="1">ROUND(SUM(N83:N88),0)</f>
        <v>77</v>
      </c>
      <c r="O89" s="2767">
        <f ca="1">N89/N69</f>
        <v>3.7469586374695864E-2</v>
      </c>
      <c r="P89" s="1914"/>
      <c r="Q89" s="1914"/>
      <c r="R89" s="1914"/>
      <c r="S89" s="1914"/>
      <c r="T89" s="1914"/>
      <c r="U89" s="1914"/>
      <c r="V89" s="1914"/>
      <c r="W89" s="1918"/>
      <c r="X89" s="1918"/>
      <c r="Y89" s="1918"/>
      <c r="Z89" s="1918"/>
    </row>
    <row r="90" spans="1:26" s="1267" customFormat="1" ht="14.25">
      <c r="A90" s="374" t="s">
        <v>1814</v>
      </c>
      <c r="B90" s="375" t="s">
        <v>434</v>
      </c>
      <c r="C90" s="378">
        <f ca="1">ROUND(D63/(1+'数据-取费表'!C42),0)</f>
        <v>1957</v>
      </c>
      <c r="D90" s="371" t="s">
        <v>19</v>
      </c>
      <c r="E90" s="978"/>
      <c r="F90" s="977"/>
      <c r="G90" s="977"/>
      <c r="H90" s="387"/>
      <c r="I90" s="1269"/>
      <c r="J90" s="1919"/>
      <c r="K90" s="1914"/>
      <c r="L90" s="1914"/>
      <c r="M90" s="1914"/>
      <c r="N90" s="1914"/>
      <c r="O90" s="1914"/>
      <c r="P90" s="1914"/>
      <c r="Q90" s="1914"/>
      <c r="R90" s="1914"/>
      <c r="S90" s="1914"/>
      <c r="T90" s="1914"/>
      <c r="U90" s="1914"/>
      <c r="V90" s="1914"/>
      <c r="W90" s="1918"/>
      <c r="X90" s="1918"/>
      <c r="Y90" s="1918"/>
      <c r="Z90" s="1918"/>
    </row>
    <row r="91" spans="1:26" s="1267" customFormat="1" ht="14.25">
      <c r="A91" s="374" t="s">
        <v>1820</v>
      </c>
      <c r="B91" s="345" t="s">
        <v>435</v>
      </c>
      <c r="C91" s="378">
        <f ca="1">C92+C96</f>
        <v>10</v>
      </c>
      <c r="D91" s="371" t="s">
        <v>19</v>
      </c>
      <c r="E91" s="978"/>
      <c r="F91" s="977"/>
      <c r="G91" s="977"/>
      <c r="H91" s="387"/>
      <c r="I91" s="1269"/>
      <c r="J91" s="1919"/>
      <c r="K91" s="1914"/>
      <c r="L91" s="1914"/>
      <c r="M91" s="1914"/>
      <c r="N91" s="1914"/>
      <c r="O91" s="1914"/>
      <c r="P91" s="1914"/>
      <c r="Q91" s="1914"/>
      <c r="R91" s="1914"/>
      <c r="S91" s="1914"/>
      <c r="T91" s="1914"/>
      <c r="U91" s="1914"/>
      <c r="V91" s="1914"/>
      <c r="W91" s="1918"/>
      <c r="X91" s="1918"/>
      <c r="Y91" s="1918"/>
      <c r="Z91" s="1918"/>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9"/>
      <c r="K92" s="1914"/>
      <c r="L92" s="1914"/>
      <c r="M92" s="1914"/>
      <c r="N92" s="1914"/>
      <c r="O92" s="1914"/>
      <c r="P92" s="1914"/>
      <c r="Q92" s="1914"/>
      <c r="R92" s="1914"/>
      <c r="S92" s="1914"/>
      <c r="T92" s="1914"/>
      <c r="U92" s="1914"/>
      <c r="V92" s="1914"/>
      <c r="W92" s="1918"/>
      <c r="X92" s="1918"/>
      <c r="Y92" s="1918"/>
      <c r="Z92" s="1918"/>
    </row>
    <row r="93" spans="1:26" s="1267"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7" customFormat="1" ht="24.75" customHeight="1">
      <c r="A94" s="388" t="s">
        <v>1823</v>
      </c>
      <c r="B94" s="393" t="s">
        <v>440</v>
      </c>
      <c r="C94" s="371">
        <f>IF(F93="购房发票",ROUND(C93*H93*5%,0),0)</f>
        <v>0</v>
      </c>
      <c r="D94" s="394">
        <v>0.05</v>
      </c>
      <c r="E94" s="3406" t="s">
        <v>441</v>
      </c>
      <c r="F94" s="3405"/>
      <c r="G94" s="3405"/>
      <c r="H94" s="3448"/>
      <c r="I94" s="1269"/>
      <c r="J94" s="1919"/>
      <c r="K94" s="1914"/>
      <c r="L94" s="1914"/>
      <c r="M94" s="1914"/>
      <c r="N94" s="1914"/>
      <c r="O94" s="1914"/>
      <c r="P94" s="1914"/>
      <c r="Q94" s="1914"/>
      <c r="R94" s="1914"/>
      <c r="S94" s="1914"/>
      <c r="T94" s="1914"/>
      <c r="U94" s="1914"/>
      <c r="V94" s="1914"/>
      <c r="W94" s="1918"/>
      <c r="X94" s="1918"/>
      <c r="Y94" s="1918"/>
      <c r="Z94" s="1918"/>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19"/>
      <c r="K95" s="1914"/>
      <c r="L95" s="1914"/>
      <c r="M95" s="1914"/>
      <c r="N95" s="1914"/>
      <c r="O95" s="1914"/>
      <c r="P95" s="1914"/>
      <c r="Q95" s="1914"/>
      <c r="R95" s="1914"/>
      <c r="S95" s="1914"/>
      <c r="T95" s="1914"/>
      <c r="U95" s="1914"/>
      <c r="V95" s="1914"/>
      <c r="W95" s="1918"/>
      <c r="X95" s="1918"/>
      <c r="Y95" s="1918"/>
      <c r="Z95" s="1918"/>
    </row>
    <row r="96" spans="1:26" s="1267" customFormat="1" ht="24.75" customHeight="1">
      <c r="A96" s="388" t="s">
        <v>1825</v>
      </c>
      <c r="B96" s="369" t="s">
        <v>444</v>
      </c>
      <c r="C96" s="398">
        <f ca="1">ROUND(D63*D96/(1+'数据-取费表'!C42),0)</f>
        <v>10</v>
      </c>
      <c r="D96" s="399">
        <f>'数据-取费表'!B43</f>
        <v>5.000000000000001E-3</v>
      </c>
      <c r="E96" s="3440" t="s">
        <v>2410</v>
      </c>
      <c r="F96" s="3441"/>
      <c r="G96" s="3441"/>
      <c r="H96" s="3442"/>
      <c r="I96" s="1270"/>
      <c r="J96" s="1920"/>
      <c r="K96" s="1914"/>
      <c r="L96" s="1914"/>
      <c r="M96" s="1914"/>
      <c r="N96" s="1914"/>
      <c r="O96" s="1914"/>
      <c r="P96" s="1914"/>
      <c r="Q96" s="1914"/>
      <c r="R96" s="1914"/>
      <c r="S96" s="1914"/>
      <c r="T96" s="1914"/>
      <c r="U96" s="1914"/>
      <c r="V96" s="1914"/>
      <c r="W96" s="1918"/>
      <c r="X96" s="1918"/>
      <c r="Y96" s="1918"/>
      <c r="Z96" s="1918"/>
    </row>
    <row r="97" spans="1:26" s="1267" customFormat="1" ht="14.25">
      <c r="A97" s="1544" t="s">
        <v>1826</v>
      </c>
      <c r="B97" s="375" t="s">
        <v>445</v>
      </c>
      <c r="C97" s="378">
        <f ca="1">C90-C91</f>
        <v>1947</v>
      </c>
      <c r="D97" s="371" t="s">
        <v>19</v>
      </c>
      <c r="E97" s="978"/>
      <c r="F97" s="977"/>
      <c r="G97" s="977"/>
      <c r="H97" s="387"/>
      <c r="I97" s="1269"/>
      <c r="J97" s="1919"/>
      <c r="K97" s="1914"/>
      <c r="L97" s="1914"/>
      <c r="M97" s="1914"/>
      <c r="N97" s="1914"/>
      <c r="O97" s="1914"/>
      <c r="P97" s="1914"/>
      <c r="Q97" s="1914"/>
      <c r="R97" s="1914"/>
      <c r="S97" s="1914"/>
      <c r="T97" s="1914"/>
      <c r="U97" s="1914"/>
      <c r="V97" s="1914"/>
      <c r="W97" s="1918"/>
      <c r="X97" s="1918"/>
      <c r="Y97" s="1918"/>
      <c r="Z97" s="1918"/>
    </row>
    <row r="98" spans="1:26" s="1267" customFormat="1" ht="24">
      <c r="A98" s="1544" t="s">
        <v>1827</v>
      </c>
      <c r="B98" s="375" t="s">
        <v>446</v>
      </c>
      <c r="C98" s="400">
        <f ca="1">IF(C97&lt;=0,0,C97/C91)</f>
        <v>194.7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9"/>
      <c r="K98" s="1914"/>
      <c r="L98" s="1914"/>
      <c r="M98" s="1914"/>
      <c r="N98" s="1914"/>
      <c r="O98" s="1914"/>
      <c r="P98" s="1914"/>
      <c r="Q98" s="1914"/>
      <c r="R98" s="1914"/>
      <c r="S98" s="1914"/>
      <c r="T98" s="1914"/>
      <c r="U98" s="1914"/>
      <c r="V98" s="1914"/>
      <c r="W98" s="1918"/>
      <c r="X98" s="1918"/>
      <c r="Y98" s="1918"/>
      <c r="Z98" s="1918"/>
    </row>
    <row r="99" spans="1:26" s="1267" customFormat="1" ht="24.75" thickBot="1">
      <c r="A99" s="1545" t="s">
        <v>1828</v>
      </c>
      <c r="B99" s="380" t="s">
        <v>447</v>
      </c>
      <c r="C99" s="401">
        <f ca="1">ROUND(IF(C97&lt;=0,0,IF(C98&gt;=200%,C97*60%-C91*35%,IF(C98&gt;=100%,C97*50%-C91*15%,IF(C98&gt;=50%,C97*40%-C91*5%,IF(C98&lt;50%,C97*30%,0))))),0)</f>
        <v>1165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9"/>
      <c r="K99" s="1914"/>
      <c r="L99" s="1914"/>
      <c r="M99" s="1914"/>
      <c r="N99" s="1914"/>
      <c r="O99" s="1914"/>
      <c r="P99" s="1914"/>
      <c r="Q99" s="1914"/>
      <c r="R99" s="1914"/>
      <c r="S99" s="1914"/>
      <c r="T99" s="1914"/>
      <c r="U99" s="1914"/>
      <c r="V99" s="1914"/>
      <c r="W99" s="1918"/>
      <c r="X99" s="1918"/>
      <c r="Y99" s="1918"/>
      <c r="Z99" s="1918"/>
    </row>
    <row r="100" spans="1:26" s="1267" customFormat="1" ht="7.5" customHeight="1">
      <c r="A100" s="1271"/>
      <c r="B100" s="1272"/>
      <c r="C100" s="11"/>
      <c r="D100" s="11"/>
      <c r="E100" s="1272"/>
      <c r="F100" s="1272"/>
      <c r="G100" s="1272"/>
      <c r="H100" s="1273"/>
      <c r="I100" s="1270"/>
      <c r="J100" s="1920"/>
      <c r="K100" s="1914"/>
      <c r="L100" s="1914"/>
      <c r="M100" s="1914"/>
      <c r="N100" s="1914"/>
      <c r="O100" s="1914"/>
      <c r="P100" s="1914"/>
      <c r="Q100" s="1914"/>
      <c r="R100" s="1914"/>
      <c r="S100" s="1914"/>
      <c r="T100" s="1914"/>
      <c r="U100" s="1914"/>
      <c r="V100" s="1914"/>
      <c r="W100" s="1918"/>
      <c r="X100" s="1918"/>
      <c r="Y100" s="1918"/>
      <c r="Z100" s="1918"/>
    </row>
    <row r="101" spans="1:26" s="1267" customFormat="1" ht="15" thickBot="1">
      <c r="A101" s="3449" t="s">
        <v>448</v>
      </c>
      <c r="B101" s="3450"/>
      <c r="C101" s="3450"/>
      <c r="D101" s="3450"/>
      <c r="E101" s="3450"/>
      <c r="F101" s="3450"/>
      <c r="G101" s="3450"/>
      <c r="H101" s="3450"/>
      <c r="I101" s="11"/>
      <c r="J101" s="1914"/>
      <c r="K101" s="1914"/>
      <c r="L101" s="1914"/>
      <c r="M101" s="1914"/>
      <c r="N101" s="1914"/>
      <c r="O101" s="1914"/>
      <c r="P101" s="1914"/>
      <c r="Q101" s="1914"/>
      <c r="R101" s="1914"/>
      <c r="S101" s="1914"/>
      <c r="T101" s="1914"/>
      <c r="U101" s="1914"/>
      <c r="V101" s="1914"/>
      <c r="W101" s="1918"/>
      <c r="X101" s="1918"/>
      <c r="Y101" s="1918"/>
      <c r="Z101" s="1918"/>
    </row>
    <row r="102" spans="1:26" s="1267" customFormat="1" ht="14.25">
      <c r="A102" s="3424" t="s">
        <v>423</v>
      </c>
      <c r="B102" s="3425"/>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7" customFormat="1" ht="14.25">
      <c r="A103" s="374" t="s">
        <v>1814</v>
      </c>
      <c r="B103" s="375" t="s">
        <v>434</v>
      </c>
      <c r="C103" s="378">
        <f ca="1">ROUND(D63/(1+'数据-取费表'!C42),0)</f>
        <v>1957</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7" customFormat="1" ht="14.25">
      <c r="A104" s="374" t="s">
        <v>1820</v>
      </c>
      <c r="B104" s="345" t="s">
        <v>435</v>
      </c>
      <c r="C104" s="378">
        <f ca="1">IF(H106="仅含出让金",C105+C108+C109+C110+C111+C112,C105+C109+C110+C111+C112)</f>
        <v>10</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7" customFormat="1" ht="14.25">
      <c r="A105" s="388" t="s">
        <v>1821</v>
      </c>
      <c r="B105" s="369" t="s">
        <v>449</v>
      </c>
      <c r="C105" s="398">
        <f>C106+C107</f>
        <v>0</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7" customFormat="1" ht="14.25">
      <c r="A106" s="388" t="s">
        <v>1822</v>
      </c>
      <c r="B106" s="369" t="s">
        <v>450</v>
      </c>
      <c r="C106" s="409"/>
      <c r="D106" s="399"/>
      <c r="E106" s="410" t="s">
        <v>451</v>
      </c>
      <c r="F106" s="973"/>
      <c r="G106" s="411" t="s">
        <v>452</v>
      </c>
      <c r="H106" s="412"/>
      <c r="I106" s="11"/>
      <c r="J106" s="1914"/>
      <c r="K106" s="3124" t="s">
        <v>2959</v>
      </c>
      <c r="L106" s="1914"/>
      <c r="M106" s="1914"/>
      <c r="N106" s="1914"/>
      <c r="O106" s="1914"/>
      <c r="P106" s="1914"/>
      <c r="Q106" s="1914"/>
      <c r="R106" s="1914"/>
      <c r="S106" s="1914"/>
      <c r="T106" s="1914"/>
      <c r="U106" s="1914"/>
      <c r="V106" s="1914"/>
      <c r="W106" s="1918"/>
      <c r="X106" s="1918"/>
      <c r="Y106" s="1918"/>
      <c r="Z106" s="1918"/>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7" customFormat="1" ht="14.25">
      <c r="A108" s="388" t="s">
        <v>1825</v>
      </c>
      <c r="B108" s="369" t="s">
        <v>454</v>
      </c>
      <c r="C108" s="409"/>
      <c r="D108" s="399"/>
      <c r="E108" s="410" t="str">
        <f>IF(H106="-","土地取得成本中已包含该笔费用"," ")</f>
        <v xml:space="preserve"> </v>
      </c>
      <c r="F108" s="973"/>
      <c r="G108" s="3400" t="s">
        <v>2929</v>
      </c>
      <c r="H108" s="3401"/>
      <c r="I108" s="2856"/>
      <c r="J108" s="1914"/>
      <c r="K108" s="3124" t="s">
        <v>2960</v>
      </c>
      <c r="L108" s="1914"/>
      <c r="M108" s="1914"/>
      <c r="N108" s="1914"/>
      <c r="O108" s="1914"/>
      <c r="P108" s="1914"/>
      <c r="Q108" s="1914"/>
      <c r="R108" s="1914"/>
      <c r="S108" s="1914"/>
      <c r="T108" s="1914"/>
      <c r="U108" s="1914"/>
      <c r="V108" s="1914"/>
      <c r="W108" s="1918"/>
      <c r="X108" s="1918"/>
      <c r="Y108" s="1918"/>
      <c r="Z108" s="1918"/>
    </row>
    <row r="109" spans="1:26" s="1267" customFormat="1" ht="24" customHeight="1">
      <c r="A109" s="1546" t="s">
        <v>1829</v>
      </c>
      <c r="B109" s="369" t="s">
        <v>455</v>
      </c>
      <c r="C109" s="398">
        <f>IF(H109="——",IF(F1="现房",'剩余法-现房'!C18,0),I109)</f>
        <v>0</v>
      </c>
      <c r="D109" s="399"/>
      <c r="E109" s="3443" t="s">
        <v>456</v>
      </c>
      <c r="F109" s="3441"/>
      <c r="G109" s="3441"/>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7" customFormat="1" ht="25.5" customHeight="1">
      <c r="A110" s="1546" t="s">
        <v>1830</v>
      </c>
      <c r="B110" s="369" t="s">
        <v>457</v>
      </c>
      <c r="C110" s="398">
        <f>ROUND((C105+C108+C109)*D110,0)</f>
        <v>0</v>
      </c>
      <c r="D110" s="3155">
        <v>0</v>
      </c>
      <c r="E110" s="3443" t="s">
        <v>458</v>
      </c>
      <c r="F110" s="3441"/>
      <c r="G110" s="3441"/>
      <c r="H110" s="3442"/>
      <c r="I110" s="11"/>
      <c r="J110" s="1914"/>
      <c r="K110" s="3125" t="s">
        <v>2961</v>
      </c>
      <c r="L110" s="1914"/>
      <c r="M110" s="1914"/>
      <c r="N110" s="1914"/>
      <c r="O110" s="1914"/>
      <c r="P110" s="1914"/>
      <c r="Q110" s="1914"/>
      <c r="R110" s="1914"/>
      <c r="S110" s="1914"/>
      <c r="T110" s="1914"/>
      <c r="U110" s="1914"/>
      <c r="V110" s="1914"/>
      <c r="W110" s="1918"/>
      <c r="X110" s="1918"/>
      <c r="Y110" s="1918"/>
      <c r="Z110" s="1918"/>
    </row>
    <row r="111" spans="1:26" s="1267" customFormat="1" ht="25.5" customHeight="1">
      <c r="A111" s="1546" t="s">
        <v>1831</v>
      </c>
      <c r="B111" s="369" t="s">
        <v>444</v>
      </c>
      <c r="C111" s="398">
        <f ca="1">ROUND(D63*D111/(1+'数据-取费表'!C42),0)</f>
        <v>10</v>
      </c>
      <c r="D111" s="399">
        <f>'数据-取费表'!B43</f>
        <v>5.000000000000001E-3</v>
      </c>
      <c r="E111" s="3440" t="s">
        <v>2410</v>
      </c>
      <c r="F111" s="3441"/>
      <c r="G111" s="3441"/>
      <c r="H111" s="3442"/>
      <c r="I111" s="11"/>
      <c r="J111" s="1914"/>
      <c r="K111" s="1914"/>
      <c r="L111" s="1914"/>
      <c r="M111" s="1914"/>
      <c r="N111" s="1914"/>
      <c r="O111" s="1914"/>
      <c r="P111" s="1914"/>
      <c r="Q111" s="1914"/>
      <c r="R111" s="1914"/>
      <c r="S111" s="1914"/>
      <c r="T111" s="1914"/>
      <c r="U111" s="1914"/>
      <c r="V111" s="1914"/>
      <c r="W111" s="1918"/>
      <c r="X111" s="1918"/>
      <c r="Y111" s="1918"/>
      <c r="Z111" s="1918"/>
    </row>
    <row r="112" spans="1:26" s="1267" customFormat="1" ht="25.5" customHeight="1">
      <c r="A112" s="1546" t="s">
        <v>1832</v>
      </c>
      <c r="B112" s="369" t="s">
        <v>459</v>
      </c>
      <c r="C112" s="398">
        <f>ROUND(C108*D112,0)</f>
        <v>0</v>
      </c>
      <c r="D112" s="399">
        <v>0.2</v>
      </c>
      <c r="E112" s="3443" t="s">
        <v>2433</v>
      </c>
      <c r="F112" s="3441"/>
      <c r="G112" s="3441"/>
      <c r="H112" s="3442"/>
      <c r="I112" s="11"/>
      <c r="J112" s="1914"/>
      <c r="K112" s="1914"/>
      <c r="L112" s="1914"/>
      <c r="M112" s="1914"/>
      <c r="N112" s="1914"/>
      <c r="O112" s="1914"/>
      <c r="P112" s="1914"/>
      <c r="Q112" s="1914"/>
      <c r="R112" s="1914"/>
      <c r="S112" s="1914"/>
      <c r="T112" s="1914"/>
      <c r="U112" s="1914"/>
      <c r="V112" s="1914"/>
      <c r="W112" s="1918"/>
      <c r="X112" s="1918"/>
      <c r="Y112" s="1918"/>
      <c r="Z112" s="1918"/>
    </row>
    <row r="113" spans="1:26" s="1267" customFormat="1" ht="14.25">
      <c r="A113" s="1544" t="s">
        <v>1826</v>
      </c>
      <c r="B113" s="375" t="s">
        <v>445</v>
      </c>
      <c r="C113" s="378">
        <f ca="1">ROUND(C103-C104,0)</f>
        <v>1947</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7" customFormat="1" ht="24">
      <c r="A114" s="1544" t="s">
        <v>1827</v>
      </c>
      <c r="B114" s="375" t="s">
        <v>446</v>
      </c>
      <c r="C114" s="400">
        <f ca="1">IF(C113&lt;=0,0,C113/C104)</f>
        <v>194.7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7" customFormat="1" ht="24.75" thickBot="1">
      <c r="A115" s="1545" t="s">
        <v>1828</v>
      </c>
      <c r="B115" s="380" t="s">
        <v>447</v>
      </c>
      <c r="C115" s="401">
        <f ca="1">ROUND(IF(C113&lt;=0,0,IF(C114&gt;=200%,C113*60%-C104*35%,IF(C114&gt;=100%,C113*50%-C104*15%,IF(C114&gt;=50%,C113*40%-C104*5%,IF(C114&lt;50%,C113*30%,0))))),0)</f>
        <v>1165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297" t="str">
        <f>项目基本情况!B1</f>
        <v>北京市平谷区金海湖镇PG06-0100-6020、6021、6024地块3宗住宅、地下仓储、地下车库用地及PG06-0100-6019地块1宗商业、地下车库用地出让国有建设用地使用权抵押价格预评估</v>
      </c>
      <c r="C37" s="3297"/>
      <c r="D37" s="3297"/>
      <c r="E37" s="3297"/>
      <c r="F37" s="3297"/>
      <c r="G37" s="3297"/>
      <c r="H37" s="3297"/>
      <c r="I37" s="3297"/>
    </row>
    <row r="38" spans="1:9">
      <c r="A38" s="1583"/>
      <c r="B38" s="1583"/>
    </row>
    <row r="39" spans="1:9">
      <c r="A39" s="1581" t="s">
        <v>1892</v>
      </c>
      <c r="B39" s="1581" t="s">
        <v>2032</v>
      </c>
    </row>
    <row r="40" spans="1:9">
      <c r="A40" s="1581"/>
      <c r="B40" s="1581" t="str">
        <f>项目基本情况!B5</f>
        <v>北京金谷创展置业有限责任公司</v>
      </c>
    </row>
    <row r="41" spans="1:9">
      <c r="A41" s="1581"/>
      <c r="B41" s="1581"/>
    </row>
    <row r="42" spans="1:9">
      <c r="A42" s="1581" t="s">
        <v>1892</v>
      </c>
      <c r="B42" s="1581" t="s">
        <v>2033</v>
      </c>
    </row>
    <row r="43" spans="1:9">
      <c r="A43" s="1581"/>
      <c r="B43" s="1581" t="s">
        <v>1894</v>
      </c>
    </row>
    <row r="44" spans="1:9">
      <c r="A44" s="1581"/>
      <c r="B44" s="1581"/>
    </row>
    <row r="45" spans="1:9">
      <c r="A45" s="1581" t="s">
        <v>1892</v>
      </c>
      <c r="B45" s="1581" t="s">
        <v>2031</v>
      </c>
    </row>
    <row r="46" spans="1:9" s="1581" customFormat="1" ht="12.75">
      <c r="B46" s="1581" t="str">
        <f>项目基本情况!K4</f>
        <v>吴薇、崔锴</v>
      </c>
    </row>
    <row r="47" spans="1:9">
      <c r="A47" s="1581"/>
      <c r="B47" s="1581"/>
    </row>
    <row r="48" spans="1:9">
      <c r="A48" s="1581" t="s">
        <v>1892</v>
      </c>
      <c r="B48" s="1581" t="s">
        <v>2034</v>
      </c>
    </row>
    <row r="49" spans="2:2">
      <c r="B49" s="1581" t="str">
        <f>"康正预评字"&amp;项目基本情况!B2&amp;"号"</f>
        <v>康正预评字2020-1-0527-F01DYGJ1号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Normal="60" zoomScaleSheetLayoutView="100" workbookViewId="0">
      <selection activeCell="G22" sqref="G22"/>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2408</v>
      </c>
      <c r="D1" s="1459">
        <f>SUM(D29:D30,D33:D39)</f>
        <v>10601.94</v>
      </c>
      <c r="E1" s="1353" t="s">
        <v>2409</v>
      </c>
      <c r="F1" s="2305">
        <f>'数据-汇总表'!D3</f>
        <v>9817.3700000000008</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2717</v>
      </c>
      <c r="S1" s="2651" t="s">
        <v>2718</v>
      </c>
      <c r="T1" s="2651" t="s">
        <v>2739</v>
      </c>
      <c r="U1" s="2651" t="s">
        <v>2740</v>
      </c>
      <c r="V1" s="2651" t="s">
        <v>2741</v>
      </c>
      <c r="W1" s="2068"/>
      <c r="X1" s="2068"/>
      <c r="Y1" s="2068"/>
      <c r="Z1" s="2068"/>
      <c r="AA1" s="2068"/>
      <c r="AB1" s="2068"/>
      <c r="AC1" s="2069"/>
    </row>
    <row r="2" spans="1:39" ht="15.75">
      <c r="A2" s="1353" t="s">
        <v>911</v>
      </c>
      <c r="B2" s="1024">
        <f ca="1">C26</f>
        <v>2228</v>
      </c>
      <c r="C2" s="1354" t="s">
        <v>912</v>
      </c>
      <c r="D2" s="1355" t="s">
        <v>913</v>
      </c>
      <c r="E2" s="1356" t="s">
        <v>2982</v>
      </c>
      <c r="F2" s="1355" t="s">
        <v>915</v>
      </c>
      <c r="G2" s="1579" t="str">
        <f>IF(E2="商业",项目基本情况!B43,IF(E2="办公",项目基本情况!C43,IF(E2="住宅",项目基本情况!D43,项目基本情况!E43)))</f>
        <v>十一级</v>
      </c>
      <c r="H2" s="1355" t="s">
        <v>917</v>
      </c>
      <c r="I2" s="1580" t="str">
        <f>IF(E2="商业",项目基本情况!B44,IF(E2="办公",项目基本情况!C44,IF(E2="住宅",项目基本情况!D44,项目基本情况!E44)))</f>
        <v>Ⅺ-平4</v>
      </c>
      <c r="J2" s="1357"/>
      <c r="K2" s="3112"/>
      <c r="L2" s="1797" t="s">
        <v>2225</v>
      </c>
      <c r="M2" s="1798">
        <f>SUMPRODUCT((区片价!B10:B28=I2)*(区片价!C3:F3=E2)*(区片价!C10:F28))</f>
        <v>0</v>
      </c>
      <c r="N2" s="1799">
        <f>SUMPRODUCT((因素修正幅度!B10:B28=I2)*(因素修正幅度!C3:F3=E2)*(因素修正幅度!C10:F28))</f>
        <v>0</v>
      </c>
      <c r="O2" s="3112"/>
      <c r="P2" s="2068"/>
      <c r="Q2" s="2068"/>
      <c r="R2" s="2652">
        <v>1</v>
      </c>
      <c r="S2" s="2652">
        <f>ROUND(IF(G3&gt;1,IF(R2&lt;7,SUMPRODUCT((B93:B98=R2)*(C92:N92=G2)*(C93:N98)),SUMIF(C92:N92,G2,C100:N100)),IF(R2&lt;7,SUMPRODUCT((B102:B107=R2)*(C92:N92=G2)*(C102:N107)),SUMIF(C92:N92,G2,C109:N109))),4)</f>
        <v>1.9419999999999999</v>
      </c>
      <c r="T2" s="2652">
        <f ca="1">ROUND($C$5*$C$18*$C$19*$C$20*S2*$C$24,0)</f>
        <v>3121</v>
      </c>
      <c r="U2" s="2641"/>
      <c r="V2" s="2652">
        <f ca="1">ROUND(T2*U2/10000,0)</f>
        <v>0</v>
      </c>
      <c r="W2" s="2068"/>
      <c r="X2" s="2068"/>
      <c r="Y2" s="2068"/>
      <c r="Z2" s="2068"/>
      <c r="AA2" s="2068"/>
      <c r="AB2" s="2068"/>
      <c r="AC2" s="2069"/>
    </row>
    <row r="3" spans="1:39" ht="15.75">
      <c r="A3" s="1358" t="s">
        <v>1678</v>
      </c>
      <c r="B3" s="1024">
        <f ca="1">ROUND(B2*10000/D1,0)</f>
        <v>2102</v>
      </c>
      <c r="C3" s="1354" t="s">
        <v>918</v>
      </c>
      <c r="D3" s="1355" t="s">
        <v>919</v>
      </c>
      <c r="E3" s="1359" t="s">
        <v>3131</v>
      </c>
      <c r="F3" s="1360" t="s">
        <v>3171</v>
      </c>
      <c r="G3" s="1025">
        <f>IF(F3="宗地容积率",'数据-汇总表'!I4,IF(F3="估价对象容积率",'数据-汇总表'!I6,'数据-汇总表'!I7))</f>
        <v>1</v>
      </c>
      <c r="H3" s="1361" t="s">
        <v>920</v>
      </c>
      <c r="I3" s="1026"/>
      <c r="J3" s="1357" t="s">
        <v>921</v>
      </c>
      <c r="K3" s="3112"/>
      <c r="L3" s="1797" t="s">
        <v>2226</v>
      </c>
      <c r="M3" s="1798">
        <f>SUMPRODUCT((区片价!B29:B48=I2)*(区片价!C3:F3=E2)*(区片价!C29:F48))</f>
        <v>0</v>
      </c>
      <c r="N3" s="1799">
        <f>SUMPRODUCT((因素修正幅度!B29:B48=I2)*(因素修正幅度!C3:F3=E2)*(因素修正幅度!C29:F48))</f>
        <v>0</v>
      </c>
      <c r="O3" s="3112"/>
      <c r="P3" s="2068"/>
      <c r="Q3" s="2068"/>
      <c r="R3" s="2652">
        <v>2</v>
      </c>
      <c r="S3" s="2652">
        <f>ROUND(IF(G3&gt;1,IF(R3&lt;7,SUMPRODUCT((B93:B98=R3)*(C92:N92=G2)*(C93:N98)),SUMIF(C92:N92,G2,C100:N100)),IF(R3&lt;7,SUMPRODUCT((B102:B107=R3)*(C92:N92=G2)*(C102:N107)),SUMIF(C92:N92,G2,C109:N109))),4)</f>
        <v>1.2799</v>
      </c>
      <c r="T3" s="2652">
        <f t="shared" ref="T3:T16" ca="1" si="0">ROUND($C$5*$C$18*$C$19*$C$20*S3*$C$24,0)</f>
        <v>2057</v>
      </c>
      <c r="U3" s="2641"/>
      <c r="V3" s="2652">
        <f t="shared" ref="V3:V16" ca="1" si="1">ROUND(T3*U3/10000,0)</f>
        <v>0</v>
      </c>
      <c r="W3" s="2068"/>
      <c r="X3" s="2068"/>
      <c r="Y3" s="2068"/>
      <c r="Z3" s="2068"/>
      <c r="AA3" s="2068"/>
      <c r="AB3" s="2068"/>
      <c r="AC3" s="2069"/>
    </row>
    <row r="4" spans="1:39" ht="28.5">
      <c r="A4" s="1803" t="s">
        <v>2265</v>
      </c>
      <c r="B4" s="2306">
        <f ca="1">ROUND(B2*10000/F1,0)</f>
        <v>2269</v>
      </c>
      <c r="C4" s="1806" t="s">
        <v>2240</v>
      </c>
      <c r="D4" s="1806">
        <f ca="1">ROUND(B2/(F1/666.67),0)</f>
        <v>151</v>
      </c>
      <c r="E4" s="1806" t="s">
        <v>2241</v>
      </c>
      <c r="F4" s="1804"/>
      <c r="G4" s="1804"/>
      <c r="H4" s="1804"/>
      <c r="I4" s="1804"/>
      <c r="J4" s="1805"/>
      <c r="K4" s="3113"/>
      <c r="L4" s="1797" t="s">
        <v>2227</v>
      </c>
      <c r="M4" s="1798">
        <f>SUMPRODUCT((区片价!B49:B75=I2)*(区片价!C3:F3=E2)*(区片价!C49:F75))</f>
        <v>0</v>
      </c>
      <c r="N4" s="1799">
        <f>SUMPRODUCT((因素修正幅度!B49:B75=I2)*(因素修正幅度!C3:F3=E2)*(因素修正幅度!C49:F75))</f>
        <v>0</v>
      </c>
      <c r="O4" s="3113"/>
      <c r="P4" s="2068"/>
      <c r="Q4" s="2068"/>
      <c r="R4" s="2652">
        <v>3</v>
      </c>
      <c r="S4" s="2652">
        <f>ROUND(IF(G3&gt;1,IF(R4&lt;7,SUMPRODUCT((B93:B98=R4)*(C92:N92=G2)*(C93:N98)),SUMIF(C92:N92,G2,C100:N100)),IF(R4&lt;7,SUMPRODUCT((B102:B107=R4)*(C92:N92=G2)*(C102:N107)),SUMIF(C92:N92,G2,C109:N109))),4)</f>
        <v>1.0072000000000001</v>
      </c>
      <c r="T4" s="2652">
        <f t="shared" ca="1" si="0"/>
        <v>1619</v>
      </c>
      <c r="U4" s="2641"/>
      <c r="V4" s="2652">
        <f t="shared" ca="1" si="1"/>
        <v>0</v>
      </c>
      <c r="W4" s="2068"/>
      <c r="X4" s="2068"/>
      <c r="Y4" s="2068"/>
      <c r="Z4" s="2068"/>
      <c r="AA4" s="2068"/>
      <c r="AB4" s="2068"/>
      <c r="AC4" s="2069"/>
    </row>
    <row r="5" spans="1:39" s="1368" customFormat="1" ht="15.75" thickBot="1">
      <c r="A5" s="1565" t="s">
        <v>1814</v>
      </c>
      <c r="B5" s="1362" t="s">
        <v>922</v>
      </c>
      <c r="C5" s="1027">
        <f>ROUND(IF(E2="商业",C6*C7+C16,(IF(E2="住宅",C6*C12+C16,C6+C16))),0)</f>
        <v>1242</v>
      </c>
      <c r="D5" s="2790">
        <f>ROUND(C6+C16,0)</f>
        <v>1242</v>
      </c>
      <c r="E5" s="2790"/>
      <c r="F5" s="1363"/>
      <c r="G5" s="1364"/>
      <c r="H5" s="1364"/>
      <c r="I5" s="1364"/>
      <c r="J5" s="1365"/>
      <c r="K5" s="3114"/>
      <c r="L5" s="1797" t="s">
        <v>2228</v>
      </c>
      <c r="M5" s="1798">
        <f>SUMPRODUCT((区片价!B76:B109=I2)*(区片价!C3:F3=E2)*(区片价!C76:F109))</f>
        <v>0</v>
      </c>
      <c r="N5" s="1799">
        <f>SUMPRODUCT((因素修正幅度!B76:B109=I2)*(因素修正幅度!C3:F3=E2)*(因素修正幅度!C76:F109))</f>
        <v>0</v>
      </c>
      <c r="O5" s="3114"/>
      <c r="P5" s="3117"/>
      <c r="Q5" s="2068"/>
      <c r="R5" s="2652">
        <v>4</v>
      </c>
      <c r="S5" s="2652">
        <f>ROUND(IF(G3&gt;1,IF(R5&lt;7,SUMPRODUCT((B93:B98=R5)*(C92:N92=G2)*(C93:N98)),SUMIF(C92:N92,G2,C100:N100)),IF(R5&lt;7,SUMPRODUCT((B102:B107=R5)*(C92:N92=G2)*(C102:N107)),SUMIF(C92:N92,G2,C109:N109))),4)</f>
        <v>0.75249999999999995</v>
      </c>
      <c r="T5" s="2652">
        <f t="shared" ca="1" si="0"/>
        <v>1209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8">
        <f>SUMIF(L1:L12,基准地价!G2,M1:M12)</f>
        <v>1260</v>
      </c>
      <c r="D6" s="1370" t="s">
        <v>1686</v>
      </c>
      <c r="E6" s="1371"/>
      <c r="F6" s="1371"/>
      <c r="G6" s="1372"/>
      <c r="H6" s="1372"/>
      <c r="I6" s="1372"/>
      <c r="J6" s="1373"/>
      <c r="K6" s="3115"/>
      <c r="L6" s="1797" t="s">
        <v>2229</v>
      </c>
      <c r="M6" s="1798">
        <f>SUMPRODUCT((区片价!B110:B157=I2)*(区片价!C3:F3=E2)*(区片价!C110:F157))</f>
        <v>0</v>
      </c>
      <c r="N6" s="1799">
        <f>SUMPRODUCT((因素修正幅度!B110:B157=I2)*(因素修正幅度!C3:F3=E2)*(因素修正幅度!C110:F157))</f>
        <v>0</v>
      </c>
      <c r="O6" s="3115"/>
      <c r="P6" s="3118"/>
      <c r="Q6" s="2068"/>
      <c r="R6" s="2652">
        <v>5</v>
      </c>
      <c r="S6" s="2652">
        <f>ROUND(IF(G3&gt;1,IF(R6&lt;7,SUMPRODUCT((B93:B98=R6)*(C92:N92=G2)*(C93:N98)),SUMIF(C92:N92,G2,C100:N100)),IF(R6&lt;7,SUMPRODUCT((B102:B107=R6)*(C92:N92=G2)*(C102:N107)),SUMIF(C92:N92,G2,C109:N109))),4)</f>
        <v>0.56589999999999996</v>
      </c>
      <c r="T6" s="2652">
        <f t="shared" ca="1" si="0"/>
        <v>909</v>
      </c>
      <c r="U6" s="2641"/>
      <c r="V6" s="2652">
        <f t="shared" ca="1" si="1"/>
        <v>0</v>
      </c>
      <c r="W6" s="2068"/>
      <c r="X6" s="2068"/>
      <c r="Y6" s="2068"/>
      <c r="Z6" s="2068"/>
      <c r="AA6" s="2068"/>
      <c r="AB6" s="2068"/>
      <c r="AC6" s="2070"/>
      <c r="AD6" s="1366"/>
      <c r="AE6" s="1366"/>
      <c r="AF6" s="1366"/>
      <c r="AG6" s="1366"/>
      <c r="AH6" s="1366"/>
      <c r="AI6" s="1366"/>
      <c r="AJ6" s="1367"/>
    </row>
    <row r="7" spans="1:39" ht="24">
      <c r="A7" s="3496" t="str">
        <f>IF(E2="商业",IF(C8="不临58条商业街","",2),"")</f>
        <v/>
      </c>
      <c r="B7" s="1374" t="s">
        <v>923</v>
      </c>
      <c r="C7" s="1029">
        <f>IF(C8="不临58条商业街",1,ROUND(1+(1.6*E8+1.2*E9+0.8*E10+0.4*E11)*C9,4))</f>
        <v>1</v>
      </c>
      <c r="D7" s="1375" t="s">
        <v>924</v>
      </c>
      <c r="E7" s="1030"/>
      <c r="F7" s="1376"/>
      <c r="G7" s="1377"/>
      <c r="H7" s="1377"/>
      <c r="I7" s="1377"/>
      <c r="J7" s="1378"/>
      <c r="K7" s="3115"/>
      <c r="L7" s="1797" t="s">
        <v>2230</v>
      </c>
      <c r="M7" s="1798">
        <f>SUMPRODUCT((区片价!B158:B205=I2)*(区片价!C3:F3=E2)*(区片价!C158:F205))</f>
        <v>0</v>
      </c>
      <c r="N7" s="1799">
        <f>SUMPRODUCT((因素修正幅度!B158:B205=I2)*(因素修正幅度!C3:F3=E2)*(因素修正幅度!C158:F205))</f>
        <v>0</v>
      </c>
      <c r="O7" s="3115"/>
      <c r="P7" s="3118"/>
      <c r="Q7" s="2068"/>
      <c r="R7" s="2652">
        <v>6</v>
      </c>
      <c r="S7" s="2652">
        <f>ROUND(IF(G3&gt;1,IF(R7&lt;7,SUMPRODUCT((B93:B98=R7)*(C92:N92=G2)*(C93:N98)),SUMIF(C92:N92,G2,C100:N100)),IF(R7&lt;7,SUMPRODUCT((B102:B107=R7)*(C92:N92=G2)*(C102:N107)),SUMIF(C92:N92,G2,C109:N109))),4)</f>
        <v>0.45250000000000001</v>
      </c>
      <c r="T7" s="2652">
        <f t="shared" ca="1" si="0"/>
        <v>727</v>
      </c>
      <c r="U7" s="2641"/>
      <c r="V7" s="2652">
        <f t="shared" ca="1" si="1"/>
        <v>0</v>
      </c>
      <c r="W7" s="2650" t="s">
        <v>2720</v>
      </c>
      <c r="X7" s="2642" t="str">
        <f>G2</f>
        <v>十一级</v>
      </c>
      <c r="Y7" s="2642" t="s">
        <v>2721</v>
      </c>
      <c r="Z7" s="2643">
        <f>G3</f>
        <v>1</v>
      </c>
      <c r="AA7" s="2071"/>
      <c r="AB7" s="2071"/>
      <c r="AC7" s="2072"/>
      <c r="AD7" s="2644"/>
      <c r="AE7" s="2644"/>
      <c r="AF7" s="2644"/>
      <c r="AG7" s="2644"/>
      <c r="AH7" s="2644"/>
      <c r="AI7" s="2644"/>
      <c r="AJ7" s="2645"/>
    </row>
    <row r="8" spans="1:39" ht="25.5">
      <c r="A8" s="3497"/>
      <c r="B8" s="1361" t="s">
        <v>925</v>
      </c>
      <c r="C8" s="1467" t="s">
        <v>3132</v>
      </c>
      <c r="D8" s="1031" t="s">
        <v>926</v>
      </c>
      <c r="E8" s="1032" t="e">
        <f>ROUND(C11/E7,4)</f>
        <v>#DIV/0!</v>
      </c>
      <c r="F8" s="1379" t="s">
        <v>927</v>
      </c>
      <c r="G8" s="1380"/>
      <c r="H8" s="1380"/>
      <c r="I8" s="1380"/>
      <c r="J8" s="1381"/>
      <c r="K8" s="3115"/>
      <c r="L8" s="1797" t="s">
        <v>2231</v>
      </c>
      <c r="M8" s="1798">
        <f>SUMPRODUCT((区片价!B206:B244=I2)*(区片价!C3:F3=E2)*(区片价!C206:F244))</f>
        <v>0</v>
      </c>
      <c r="N8" s="1799">
        <f>SUMPRODUCT((因素修正幅度!B206:B244=I2)*(因素修正幅度!C3:F3=E2)*(因素修正幅度!C206:F244))</f>
        <v>0</v>
      </c>
      <c r="O8" s="3115"/>
      <c r="P8" s="2068"/>
      <c r="Q8" s="2068"/>
      <c r="R8" s="2652">
        <v>7</v>
      </c>
      <c r="S8" s="2641"/>
      <c r="T8" s="2652">
        <f t="shared" ca="1" si="0"/>
        <v>0</v>
      </c>
      <c r="U8" s="2641"/>
      <c r="V8" s="2652">
        <f t="shared" ca="1" si="1"/>
        <v>0</v>
      </c>
      <c r="W8" s="3483" t="s">
        <v>2738</v>
      </c>
      <c r="X8" s="3484"/>
      <c r="Y8" s="1761" t="s">
        <v>2722</v>
      </c>
      <c r="Z8" s="1761" t="s">
        <v>2723</v>
      </c>
      <c r="AA8" s="1761" t="s">
        <v>2724</v>
      </c>
      <c r="AB8" s="1761" t="s">
        <v>2725</v>
      </c>
      <c r="AC8" s="1761" t="s">
        <v>2726</v>
      </c>
      <c r="AD8" s="1761" t="s">
        <v>2727</v>
      </c>
      <c r="AE8" s="1761" t="s">
        <v>2728</v>
      </c>
      <c r="AF8" s="1761" t="s">
        <v>2729</v>
      </c>
      <c r="AG8" s="1761" t="s">
        <v>2730</v>
      </c>
      <c r="AH8" s="1761" t="s">
        <v>2731</v>
      </c>
      <c r="AI8" s="1761" t="s">
        <v>2732</v>
      </c>
      <c r="AJ8" s="1761" t="s">
        <v>2733</v>
      </c>
    </row>
    <row r="9" spans="1:39" ht="15">
      <c r="A9" s="3497"/>
      <c r="B9" s="1361" t="s">
        <v>928</v>
      </c>
      <c r="C9" s="1033">
        <f>SUMIF(修正!C59:C119,C8,修正!E59:E119)</f>
        <v>0</v>
      </c>
      <c r="D9" s="1034" t="s">
        <v>929</v>
      </c>
      <c r="E9" s="1034" t="e">
        <f>ROUND(C11/E7,4)</f>
        <v>#DIV/0!</v>
      </c>
      <c r="F9" s="1379" t="s">
        <v>930</v>
      </c>
      <c r="G9" s="1380"/>
      <c r="H9" s="1380"/>
      <c r="I9" s="1380"/>
      <c r="J9" s="1381"/>
      <c r="K9" s="3115"/>
      <c r="L9" s="1797" t="s">
        <v>2232</v>
      </c>
      <c r="M9" s="1798">
        <f>SUMPRODUCT((区片价!B245:B289=I2)*(区片价!C3:F3=E2)*(区片价!C245:F289))</f>
        <v>0</v>
      </c>
      <c r="N9" s="1799">
        <f>SUMPRODUCT((因素修正幅度!B245:B289=I2)*(因素修正幅度!C3:F3=E2)*(因素修正幅度!C245:F289))</f>
        <v>0</v>
      </c>
      <c r="O9" s="3115"/>
      <c r="P9" s="2068"/>
      <c r="Q9" s="2068"/>
      <c r="R9" s="2652">
        <v>8</v>
      </c>
      <c r="S9" s="2641"/>
      <c r="T9" s="2652">
        <f t="shared" ca="1" si="0"/>
        <v>0</v>
      </c>
      <c r="U9" s="2641"/>
      <c r="V9" s="2652">
        <f t="shared" ca="1" si="1"/>
        <v>0</v>
      </c>
      <c r="W9" s="3482" t="s">
        <v>2734</v>
      </c>
      <c r="X9" s="2646" t="s">
        <v>2735</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497"/>
      <c r="B10" s="1361" t="s">
        <v>931</v>
      </c>
      <c r="C10" s="1034">
        <f>SUMIF(修正!C59:C119,C8,修正!F59:F119)</f>
        <v>0</v>
      </c>
      <c r="D10" s="1034" t="s">
        <v>932</v>
      </c>
      <c r="E10" s="1034" t="e">
        <f>ROUND(C11/E7,4)</f>
        <v>#DIV/0!</v>
      </c>
      <c r="F10" s="1379" t="s">
        <v>933</v>
      </c>
      <c r="G10" s="1380"/>
      <c r="H10" s="1380"/>
      <c r="I10" s="1380"/>
      <c r="J10" s="1381"/>
      <c r="K10" s="3115"/>
      <c r="L10" s="1797" t="s">
        <v>2233</v>
      </c>
      <c r="M10" s="1798">
        <f>SUMPRODUCT((区片价!B290:B316=I2)*(区片价!C3:F3=E2)*(区片价!C290:F316))</f>
        <v>0</v>
      </c>
      <c r="N10" s="1799">
        <f>SUMPRODUCT((因素修正幅度!B290:B316=I2)*(因素修正幅度!C3:F3=E2)*(因素修正幅度!C290:F316))</f>
        <v>0</v>
      </c>
      <c r="O10" s="3115"/>
      <c r="P10" s="2068"/>
      <c r="Q10" s="2068"/>
      <c r="R10" s="2652">
        <v>9</v>
      </c>
      <c r="S10" s="2641"/>
      <c r="T10" s="2652">
        <f t="shared" ca="1" si="0"/>
        <v>0</v>
      </c>
      <c r="U10" s="2641"/>
      <c r="V10" s="2652">
        <f t="shared" ca="1" si="1"/>
        <v>0</v>
      </c>
      <c r="W10" s="348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497"/>
      <c r="B11" s="1382" t="s">
        <v>934</v>
      </c>
      <c r="C11" s="1035">
        <f>C10/4</f>
        <v>0</v>
      </c>
      <c r="D11" s="1035" t="s">
        <v>935</v>
      </c>
      <c r="E11" s="1035" t="e">
        <f>ROUND(C11/E7,4)</f>
        <v>#DIV/0!</v>
      </c>
      <c r="F11" s="1383" t="s">
        <v>936</v>
      </c>
      <c r="G11" s="1384"/>
      <c r="H11" s="1384"/>
      <c r="I11" s="1384"/>
      <c r="J11" s="1385"/>
      <c r="K11" s="3115"/>
      <c r="L11" s="1797" t="s">
        <v>2234</v>
      </c>
      <c r="M11" s="1798">
        <f>SUMPRODUCT((区片价!B317:B337=I2)*(区片价!C3:F3=E2)*(区片价!C317:F337))</f>
        <v>1260</v>
      </c>
      <c r="N11" s="1799">
        <f>SUMPRODUCT((因素修正幅度!B317:B337=I2)*(因素修正幅度!C3:F3=E2)*(因素修正幅度!C317:F337))</f>
        <v>0.15</v>
      </c>
      <c r="O11" s="3115"/>
      <c r="P11" s="2068"/>
      <c r="Q11" s="2068"/>
      <c r="R11" s="2652">
        <v>10</v>
      </c>
      <c r="S11" s="2641"/>
      <c r="T11" s="2652">
        <f t="shared" ca="1" si="0"/>
        <v>0</v>
      </c>
      <c r="U11" s="2641"/>
      <c r="V11" s="2652">
        <f t="shared" ca="1" si="1"/>
        <v>0</v>
      </c>
      <c r="W11" s="3482" t="s">
        <v>2736</v>
      </c>
      <c r="X11" s="1034" t="s">
        <v>2721</v>
      </c>
      <c r="Y11" s="1580">
        <f>$G$3</f>
        <v>1</v>
      </c>
      <c r="Z11" s="1580">
        <f t="shared" ref="Z11:AJ11" si="3">$G$3</f>
        <v>1</v>
      </c>
      <c r="AA11" s="1580">
        <f t="shared" si="3"/>
        <v>1</v>
      </c>
      <c r="AB11" s="1580">
        <f t="shared" si="3"/>
        <v>1</v>
      </c>
      <c r="AC11" s="1580">
        <f t="shared" si="3"/>
        <v>1</v>
      </c>
      <c r="AD11" s="1580">
        <f t="shared" si="3"/>
        <v>1</v>
      </c>
      <c r="AE11" s="1580">
        <f t="shared" si="3"/>
        <v>1</v>
      </c>
      <c r="AF11" s="1580">
        <f t="shared" si="3"/>
        <v>1</v>
      </c>
      <c r="AG11" s="1580">
        <f t="shared" si="3"/>
        <v>1</v>
      </c>
      <c r="AH11" s="1580">
        <f t="shared" si="3"/>
        <v>1</v>
      </c>
      <c r="AI11" s="1580">
        <f t="shared" si="3"/>
        <v>1</v>
      </c>
      <c r="AJ11" s="1580">
        <f t="shared" si="3"/>
        <v>1</v>
      </c>
    </row>
    <row r="12" spans="1:39" ht="25.5" thickBot="1">
      <c r="A12" s="3496" t="s">
        <v>1862</v>
      </c>
      <c r="B12" s="1386" t="s">
        <v>937</v>
      </c>
      <c r="C12" s="1029">
        <f>ROUND(C15*D15*E15*F15*G15*H15*I15*J15,4)</f>
        <v>1</v>
      </c>
      <c r="D12" s="1387" t="s">
        <v>938</v>
      </c>
      <c r="E12" s="1388"/>
      <c r="F12" s="1388"/>
      <c r="G12" s="1389"/>
      <c r="H12" s="1389"/>
      <c r="I12" s="1389"/>
      <c r="J12" s="1390"/>
      <c r="K12" s="3115"/>
      <c r="L12" s="1800" t="s">
        <v>2235</v>
      </c>
      <c r="M12" s="1801">
        <f>SUMPRODUCT((区片价!B338:B344=I2)*(区片价!C3:F3=E2)*(区片价!C338:F344))</f>
        <v>0</v>
      </c>
      <c r="N12" s="1802">
        <f>SUMPRODUCT((因素修正幅度!B338:B344=I2)*(因素修正幅度!C3:F3=E2)*(因素修正幅度!C338:F344))</f>
        <v>0</v>
      </c>
      <c r="O12" s="3115"/>
      <c r="P12" s="2068"/>
      <c r="Q12" s="2068"/>
      <c r="R12" s="2652">
        <v>11</v>
      </c>
      <c r="S12" s="2641"/>
      <c r="T12" s="2652">
        <f t="shared" ca="1" si="0"/>
        <v>0</v>
      </c>
      <c r="U12" s="2641"/>
      <c r="V12" s="2652">
        <f t="shared" ca="1" si="1"/>
        <v>0</v>
      </c>
      <c r="W12" s="3482"/>
      <c r="X12" s="2649" t="s">
        <v>2737</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498"/>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8"/>
      <c r="Q13" s="2068"/>
      <c r="R13" s="2652">
        <v>12</v>
      </c>
      <c r="S13" s="2641"/>
      <c r="T13" s="2652">
        <f t="shared" ca="1" si="0"/>
        <v>0</v>
      </c>
      <c r="U13" s="2641"/>
      <c r="V13" s="2652">
        <f t="shared" ca="1" si="1"/>
        <v>0</v>
      </c>
      <c r="W13" s="3482"/>
      <c r="X13" s="2649"/>
      <c r="Y13" s="2648">
        <f>(-0.163*(Y12^2)-0.59*Y12+7617)*(10^(-4))/Y11</f>
        <v>0.76170000000000004</v>
      </c>
      <c r="Z13" s="2648">
        <f t="shared" ref="Z13:AJ13" si="5">(-0.163*(Z12^2)-0.59*Z12+7617)*(10^(-4))/Z11</f>
        <v>0.76170000000000004</v>
      </c>
      <c r="AA13" s="2648">
        <f t="shared" si="5"/>
        <v>0.76170000000000004</v>
      </c>
      <c r="AB13" s="2648">
        <f t="shared" si="5"/>
        <v>0.76170000000000004</v>
      </c>
      <c r="AC13" s="2648">
        <f t="shared" si="5"/>
        <v>0.76170000000000004</v>
      </c>
      <c r="AD13" s="2648">
        <f t="shared" si="5"/>
        <v>0.76170000000000004</v>
      </c>
      <c r="AE13" s="2648">
        <f t="shared" si="5"/>
        <v>0.76170000000000004</v>
      </c>
      <c r="AF13" s="2648">
        <f t="shared" si="5"/>
        <v>0.76170000000000004</v>
      </c>
      <c r="AG13" s="2648">
        <f t="shared" si="5"/>
        <v>0.76170000000000004</v>
      </c>
      <c r="AH13" s="2648">
        <f t="shared" si="5"/>
        <v>0.76170000000000004</v>
      </c>
      <c r="AI13" s="2648">
        <f t="shared" si="5"/>
        <v>0.76170000000000004</v>
      </c>
      <c r="AJ13" s="2648">
        <f t="shared" si="5"/>
        <v>0.76170000000000004</v>
      </c>
    </row>
    <row r="14" spans="1:39" ht="12.75" customHeight="1">
      <c r="A14" s="3498"/>
      <c r="B14" s="1398"/>
      <c r="C14" s="1399"/>
      <c r="D14" s="1400"/>
      <c r="E14" s="1400"/>
      <c r="F14" s="1401"/>
      <c r="G14" s="1402" t="s">
        <v>940</v>
      </c>
      <c r="H14" s="1403"/>
      <c r="I14" s="1404"/>
      <c r="J14" s="1405"/>
      <c r="K14" s="3116"/>
      <c r="L14" s="3116"/>
      <c r="M14" s="3116"/>
      <c r="N14" s="3116"/>
      <c r="O14" s="3116"/>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499"/>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496" t="s">
        <v>1829</v>
      </c>
      <c r="B16" s="1374" t="s">
        <v>941</v>
      </c>
      <c r="C16" s="1038">
        <f>ROUND(IF(F17="与级别开发程度一致",0,(G17-E17)/C17),0)</f>
        <v>-18</v>
      </c>
      <c r="D16" s="3490" t="s">
        <v>945</v>
      </c>
      <c r="E16" s="3491"/>
      <c r="F16" s="3490" t="s">
        <v>942</v>
      </c>
      <c r="G16" s="3491"/>
      <c r="H16" s="1406" t="s">
        <v>2992</v>
      </c>
      <c r="I16" s="1406" t="s">
        <v>2993</v>
      </c>
      <c r="J16" s="1406" t="s">
        <v>2995</v>
      </c>
      <c r="K16" s="1406" t="s">
        <v>2990</v>
      </c>
      <c r="L16" s="1406"/>
      <c r="M16" s="1406"/>
      <c r="N16" s="1406"/>
      <c r="O16" s="2850"/>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00"/>
      <c r="B17" s="2851" t="s">
        <v>944</v>
      </c>
      <c r="C17" s="2852">
        <f>SUMPRODUCT((修正!A2:A5=E2)*(修正!B1:M1=G2)*(修正!B2:M5))</f>
        <v>2</v>
      </c>
      <c r="D17" s="2853" t="str">
        <f>IF(OR(G2="八级",G2="九级",G2="十级",G2="十一级",G2="十二级"),"五通一平","七通一平")</f>
        <v>五通一平</v>
      </c>
      <c r="E17" s="2843">
        <f>SUMPRODUCT((修正!B1:M1=G2)*(修正!B15:M15))</f>
        <v>155</v>
      </c>
      <c r="F17" s="2844" t="s">
        <v>3133</v>
      </c>
      <c r="G17" s="2843">
        <f>SUM(H17:O17)</f>
        <v>120</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10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6" t="s">
        <v>946</v>
      </c>
      <c r="C18" s="2847">
        <f>SUMIF(修正!C18:C39,E3,修正!E18:E39)</f>
        <v>1</v>
      </c>
      <c r="D18" s="2848"/>
      <c r="E18" s="2849"/>
      <c r="F18" s="2832"/>
      <c r="G18" s="2831"/>
      <c r="H18" s="2831"/>
      <c r="I18" s="2831"/>
      <c r="J18" s="2839"/>
      <c r="K18" s="3114"/>
      <c r="L18" s="2831"/>
      <c r="M18" s="2831"/>
      <c r="N18" s="2831"/>
      <c r="O18" s="2831"/>
      <c r="P18" s="3119"/>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ROUND(IF(H19="按公示增长率计算",SUMPRODUCT((地价!A3:A33=YEAR(G19)&amp;"-"&amp;ROUNDUP(MONTH(G19)/3,0))*(地价!X2:AB2=E2)*(地价!X3:AB33)),IF(H19="地价指数",M20/M19,(1+I19)^O19)),4)</f>
        <v>1.3420000000000001</v>
      </c>
      <c r="D19" s="1413" t="s">
        <v>948</v>
      </c>
      <c r="E19" s="1040">
        <v>41640</v>
      </c>
      <c r="F19" s="1413" t="s">
        <v>949</v>
      </c>
      <c r="G19" s="1041">
        <f>'数据-取费表'!B2</f>
        <v>44266</v>
      </c>
      <c r="H19" s="1414" t="s">
        <v>2922</v>
      </c>
      <c r="I19" s="2501" t="str">
        <f>IF(H19="季度增幅（自定义）",SUMIF(N21:N24,E2,O21:O24),"")</f>
        <v/>
      </c>
      <c r="J19" s="1410"/>
      <c r="K19" s="3114"/>
      <c r="L19" s="2751" t="s">
        <v>2796</v>
      </c>
      <c r="M19" s="2752">
        <f>ROUND(SUMIF(地价!B2:F2,E2,地价!B33:F33),0)</f>
        <v>258</v>
      </c>
      <c r="N19" s="2503" t="s">
        <v>1667</v>
      </c>
      <c r="O19" s="2502">
        <f>ROUNDDOWN(DATEDIF(E19,G19,"M")/3,0)</f>
        <v>28</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f ca="1">ROUND(POWER(1+G20,J20-I20)*(POWER(1+G20,I20)-1)/(POWER(1+G20,J20)-1),4)</f>
        <v>0.98560000000000003</v>
      </c>
      <c r="D20" s="2498" t="s">
        <v>963</v>
      </c>
      <c r="E20" s="2780">
        <f ca="1">存贷款利率!I4/100</f>
        <v>4.3499999999999997E-2</v>
      </c>
      <c r="F20" s="2498" t="s">
        <v>964</v>
      </c>
      <c r="G20" s="2499">
        <f ca="1">SUMIF(M26:P26,E2,M28:P28)</f>
        <v>5.3999999999999999E-2</v>
      </c>
      <c r="H20" s="2498" t="s">
        <v>965</v>
      </c>
      <c r="I20" s="2494">
        <f>SUMIF('数据-取费表'!C6:C15,E2,'数据-取费表'!F6:F15)/COUNTIF('数据-取费表'!C6:C15,E2)</f>
        <v>38.119999999999997</v>
      </c>
      <c r="J20" s="2500">
        <f>IF(E2="住宅",70,IF(E2="商业",40,50))</f>
        <v>40</v>
      </c>
      <c r="K20" s="2841"/>
      <c r="L20" s="2753" t="s">
        <v>2797</v>
      </c>
      <c r="M20" s="2834">
        <f>ROUND(SUMPRODUCT((地价!A4:A33=YEAR(G19)&amp;"-"&amp;ROUNDUP(MONTH(G19)/3,0))*(地价!B2:F2=E2)*(地价!B4:F33)),0)</f>
        <v>346</v>
      </c>
      <c r="N20" s="2506" t="s">
        <v>2601</v>
      </c>
      <c r="O20" s="2504" t="s">
        <v>2600</v>
      </c>
      <c r="P20" s="2505" t="s">
        <v>2606</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2958</v>
      </c>
      <c r="C21" s="1140">
        <f>IF(B21="容积率修正",IF(G3&lt;=10,D22,J22),C23)</f>
        <v>1.4097</v>
      </c>
      <c r="D21" s="1420"/>
      <c r="E21" s="1420"/>
      <c r="F21" s="1420"/>
      <c r="G21" s="1420"/>
      <c r="H21" s="1420"/>
      <c r="I21" s="1420"/>
      <c r="J21" s="1421"/>
      <c r="K21" s="3114"/>
      <c r="L21" s="1420"/>
      <c r="M21" s="1420"/>
      <c r="N21" s="1417" t="s">
        <v>966</v>
      </c>
      <c r="O21" s="1480"/>
      <c r="P21" s="2493">
        <f>SUMPRODUCT((地价!A3:A33=YEAR(G19)&amp;"-"&amp;ROUNDUP(MONTH(G19)/3,0))*(地价!AD2:AH2=N21)*(地价!AD3:AH33))</f>
        <v>1.0999999999999999E-2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2" t="s">
        <v>1693</v>
      </c>
      <c r="D22" s="1042">
        <f>IF(E22=G22,F22,IF(G3&lt;=10,ROUND(F22+(H22-F22)*(G3-E22)/(G22-E22),4),"——"))</f>
        <v>1.4097</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42" t="s">
        <v>968</v>
      </c>
      <c r="J22" s="1042" t="str">
        <f>IF(G3&gt;10,D113,"——")</f>
        <v>——</v>
      </c>
      <c r="K22" s="3120"/>
      <c r="L22" s="1420"/>
      <c r="M22" s="1420"/>
      <c r="N22" s="1417" t="s">
        <v>969</v>
      </c>
      <c r="O22" s="1480"/>
      <c r="P22" s="2493">
        <f>SUMPRODUCT((地价!A3:A33=YEAR(G19)&amp;"-"&amp;ROUNDUP(MONTH(G19)/3,0))*(地价!AD2:AH2=N22)*(地价!AD3:AH33))</f>
        <v>1.0999999999999999E-2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121"/>
      <c r="L23" s="1348"/>
      <c r="M23" s="1348"/>
      <c r="N23" s="1417" t="s">
        <v>914</v>
      </c>
      <c r="O23" s="1480">
        <v>5.0000000000000001E-3</v>
      </c>
      <c r="P23" s="2493">
        <f>SUMPRODUCT((地价!A3:A33=YEAR(G19)&amp;"-"&amp;ROUNDUP(MONTH(G19)/3,0))*(地价!AD2:AH2=N23)*(地价!AD3:AH33))</f>
        <v>1.8499999999999999E-2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0.97829999999999995</v>
      </c>
      <c r="D24" s="1473"/>
      <c r="E24" s="1474"/>
      <c r="F24" s="1474"/>
      <c r="G24" s="1474"/>
      <c r="H24" s="1474"/>
      <c r="I24" s="1474"/>
      <c r="J24" s="1474"/>
      <c r="K24" s="3121"/>
      <c r="L24" s="1420"/>
      <c r="M24" s="1420"/>
      <c r="N24" s="1417" t="s">
        <v>972</v>
      </c>
      <c r="O24" s="2833"/>
      <c r="P24" s="2493">
        <f>SUMPRODUCT((地价!A3:A33=YEAR(G19)&amp;"-"&amp;ROUNDUP(MONTH(G19)/3,0))*(地价!AD2:AH2=N24)*(地价!AD3:AH33))</f>
        <v>1.1900000000000001E-2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115"/>
      <c r="L25" s="2074"/>
      <c r="M25" s="2074"/>
      <c r="N25" s="2835" t="s">
        <v>2604</v>
      </c>
      <c r="O25" s="2836"/>
      <c r="P25" s="2300">
        <f>SUMPRODUCT((地价!A3:A33=YEAR(G19)&amp;"-"&amp;ROUNDUP(MONTH(G19)/3,0))*(地价!AD2:AH2=N25)*(地价!AD3:AH33))</f>
        <v>1.6799999999999999E-2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2899">
        <f ca="1">IF(B21="容积率修正",E29+SUM(E33:E39),SUM(V2:V16)+SUM(E33:E39))</f>
        <v>2228</v>
      </c>
      <c r="D26" s="1428"/>
      <c r="E26" s="1403"/>
      <c r="F26" s="1429"/>
      <c r="G26" s="1403"/>
      <c r="H26" s="1403"/>
      <c r="I26" s="1403"/>
      <c r="J26" s="1430"/>
      <c r="K26" s="3115"/>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5</v>
      </c>
      <c r="D27" s="1432"/>
      <c r="E27" s="1433"/>
      <c r="F27" s="1434"/>
      <c r="G27" s="1433"/>
      <c r="H27" s="1433"/>
      <c r="I27" s="1433"/>
      <c r="J27" s="1435"/>
      <c r="K27" s="3115"/>
      <c r="L27" s="1407" t="s">
        <v>978</v>
      </c>
      <c r="M27" s="1033">
        <v>0.25</v>
      </c>
      <c r="N27" s="1033">
        <v>0.2</v>
      </c>
      <c r="O27" s="1033">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115"/>
      <c r="L28" s="1408" t="s">
        <v>964</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5">
        <f ca="1">ROUND(C5*C18*C19*C20*C21*C24,0)</f>
        <v>2266</v>
      </c>
      <c r="D29" s="1442">
        <f>'数据-汇总表'!F19</f>
        <v>9740.7800000000007</v>
      </c>
      <c r="E29" s="1761">
        <f ca="1">ROUND(C29*D29/10000,0)</f>
        <v>2207</v>
      </c>
      <c r="F29" s="1443" t="s">
        <v>1692</v>
      </c>
      <c r="G29" s="1444"/>
      <c r="H29" s="1444"/>
      <c r="I29" s="1444"/>
      <c r="J29" s="1445"/>
      <c r="K29" s="3122"/>
      <c r="L29" s="3122"/>
      <c r="M29" s="3122"/>
      <c r="N29" s="3122"/>
      <c r="O29" s="3122"/>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7">
        <f ca="1">ROUND(IF(E2="工业",C29*M39,C29*M38),0)</f>
        <v>567</v>
      </c>
      <c r="D30" s="1448"/>
      <c r="E30" s="1761">
        <f ca="1">ROUND(C30*D30/10000,0)</f>
        <v>0</v>
      </c>
      <c r="F30" s="1449" t="s">
        <v>986</v>
      </c>
      <c r="G30" s="1450"/>
      <c r="H30" s="1450"/>
      <c r="I30" s="1450"/>
      <c r="J30" s="1451"/>
      <c r="K30" s="3115"/>
      <c r="L30" s="3115"/>
      <c r="M30" s="3115"/>
      <c r="N30" s="3115"/>
      <c r="O30" s="3115"/>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115"/>
      <c r="L31" s="3115"/>
      <c r="M31" s="3115"/>
      <c r="N31" s="3115"/>
      <c r="O31" s="3115"/>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123"/>
      <c r="L32" s="3123"/>
      <c r="M32" s="3123"/>
      <c r="N32" s="3123"/>
      <c r="O32" s="3123"/>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492"/>
      <c r="B33" s="1462" t="s">
        <v>990</v>
      </c>
      <c r="C33" s="1045">
        <f ca="1">ROUND(D5*C19*C20*C24*F33,0)</f>
        <v>964</v>
      </c>
      <c r="D33" s="1475"/>
      <c r="E33" s="1034">
        <f ca="1">ROUND(C33*D33/10000,0)</f>
        <v>0</v>
      </c>
      <c r="F33" s="1034">
        <f>SUMIF(修正!A45:A56,G2,修正!B45:B56)</f>
        <v>0.6</v>
      </c>
      <c r="G33" s="1034">
        <f t="shared" ref="G33" ca="1" si="6">ROUND(IF(E2="工业",C33*$M$39,C33*$M$38),0)</f>
        <v>241</v>
      </c>
      <c r="H33" s="1034">
        <f>D33</f>
        <v>0</v>
      </c>
      <c r="I33" s="1034">
        <f ca="1">ROUND(G33*H33/10000,0)</f>
        <v>0</v>
      </c>
      <c r="J33" s="3492" t="s">
        <v>2962</v>
      </c>
      <c r="K33" s="2840"/>
      <c r="L33" s="2840"/>
      <c r="M33" s="2840"/>
      <c r="N33" s="2840"/>
      <c r="O33" s="2840"/>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493"/>
      <c r="B34" s="1392" t="s">
        <v>991</v>
      </c>
      <c r="C34" s="1045">
        <f ca="1">ROUND(D5*C19*C20*C24*F34,0)</f>
        <v>482</v>
      </c>
      <c r="D34" s="1475"/>
      <c r="E34" s="1034">
        <f t="shared" ref="E34:E39" ca="1" si="7">ROUND(C34*D34/10000,0)</f>
        <v>0</v>
      </c>
      <c r="F34" s="1034">
        <f>SUMIF(修正!A45:A56,G2,修正!C45:C56)</f>
        <v>0.3</v>
      </c>
      <c r="G34" s="1034">
        <f ca="1">ROUND(IF(E2="工业",C34*$M$39,C34*$M$38),0)</f>
        <v>121</v>
      </c>
      <c r="H34" s="1034">
        <f t="shared" ref="H34:H39" si="8">D34</f>
        <v>0</v>
      </c>
      <c r="I34" s="1034">
        <f t="shared" ref="I34:I39" ca="1" si="9">ROUND(G34*H34/10000,0)</f>
        <v>0</v>
      </c>
      <c r="J34" s="3493"/>
      <c r="K34" s="2840"/>
      <c r="L34" s="2840"/>
      <c r="M34" s="2840"/>
      <c r="N34" s="2840"/>
      <c r="O34" s="2840"/>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493"/>
      <c r="B35" s="1392" t="s">
        <v>992</v>
      </c>
      <c r="C35" s="1045">
        <f ca="1">ROUND(D5*C19*C20*C24*F35,0)</f>
        <v>321</v>
      </c>
      <c r="D35" s="1475"/>
      <c r="E35" s="1034">
        <f t="shared" ca="1" si="7"/>
        <v>0</v>
      </c>
      <c r="F35" s="1034">
        <f>SUMIF(修正!A45:A56,G2,修正!D45:D56)</f>
        <v>0.2</v>
      </c>
      <c r="G35" s="1034">
        <f ca="1">ROUND(IF(E2="工业",C35*$M$39,C35*$M$38),0)</f>
        <v>80</v>
      </c>
      <c r="H35" s="1034">
        <f t="shared" si="8"/>
        <v>0</v>
      </c>
      <c r="I35" s="1034">
        <f t="shared" ca="1" si="9"/>
        <v>0</v>
      </c>
      <c r="J35" s="3493"/>
      <c r="K35" s="2840"/>
      <c r="L35" s="2840"/>
      <c r="M35" s="2840"/>
      <c r="N35" s="2840"/>
      <c r="O35" s="2840"/>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494"/>
      <c r="B36" s="1392" t="s">
        <v>993</v>
      </c>
      <c r="C36" s="1045">
        <f ca="1">ROUND(D5*C19*C20*C24*F36,0)</f>
        <v>321</v>
      </c>
      <c r="D36" s="1475"/>
      <c r="E36" s="1034">
        <f t="shared" ca="1" si="7"/>
        <v>0</v>
      </c>
      <c r="F36" s="1034">
        <f>SUMIF(修正!A45:A56,G2,修正!E45:E56)</f>
        <v>0.2</v>
      </c>
      <c r="G36" s="1034">
        <f ca="1">ROUND(IF(E2="工业",C36*$M$39,C36*$M$38),0)</f>
        <v>80</v>
      </c>
      <c r="H36" s="1034">
        <f t="shared" si="8"/>
        <v>0</v>
      </c>
      <c r="I36" s="1034">
        <f t="shared" ca="1" si="9"/>
        <v>0</v>
      </c>
      <c r="J36" s="3494"/>
      <c r="K36" s="2840"/>
      <c r="L36" s="2840"/>
      <c r="M36" s="2840"/>
      <c r="N36" s="2840"/>
      <c r="O36" s="2840"/>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4">
        <f ca="1">ROUND(D5*C19*C20*C24*F37,0)</f>
        <v>321</v>
      </c>
      <c r="D37" s="1475"/>
      <c r="E37" s="1034">
        <f t="shared" ca="1" si="7"/>
        <v>0</v>
      </c>
      <c r="F37" s="1045">
        <f>SUMIF(修正!A45:A56,G2,修正!F45:F56)</f>
        <v>0.2</v>
      </c>
      <c r="G37" s="1034">
        <f ca="1">ROUND(IF(E2="工业",C37*$M$39,C37*$M$38),0)</f>
        <v>80</v>
      </c>
      <c r="H37" s="1034">
        <f t="shared" si="8"/>
        <v>0</v>
      </c>
      <c r="I37" s="1034">
        <f t="shared" ca="1" si="9"/>
        <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4">
        <f ca="1">ROUND(D5*C19*C41*C24*F38,0)</f>
        <v>324</v>
      </c>
      <c r="D38" s="1475"/>
      <c r="E38" s="1034">
        <f t="shared" ca="1" si="7"/>
        <v>0</v>
      </c>
      <c r="F38" s="1045">
        <f>SUMIF(修正!A45:A56,G2,修正!G45:G56)</f>
        <v>0.2</v>
      </c>
      <c r="G38" s="1034">
        <f ca="1">ROUND(IF(E2="工业",C38*$M$39,C38*$M$38),0)</f>
        <v>81</v>
      </c>
      <c r="H38" s="1034">
        <f t="shared" si="8"/>
        <v>0</v>
      </c>
      <c r="I38" s="1034">
        <f t="shared" ca="1" si="9"/>
        <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7">
        <f ca="1">ROUND(D5*C19*C41*C24*F39,0)</f>
        <v>243</v>
      </c>
      <c r="D39" s="1476">
        <f>'数据-汇总表'!G20</f>
        <v>861.16</v>
      </c>
      <c r="E39" s="1037">
        <f t="shared" ca="1" si="7"/>
        <v>21</v>
      </c>
      <c r="F39" s="1047">
        <f>SUMIF(修正!A45:A56,G2,修正!H45:H56)</f>
        <v>0.15</v>
      </c>
      <c r="G39" s="1037">
        <f ca="1">ROUND(IF(E2="工业",C39*$M$39,C39*$M$38),0)</f>
        <v>61</v>
      </c>
      <c r="H39" s="1037">
        <f t="shared" si="8"/>
        <v>861.16</v>
      </c>
      <c r="I39" s="1037">
        <f t="shared" ca="1" si="9"/>
        <v>5</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0" t="s">
        <v>2916</v>
      </c>
      <c r="C41" s="827">
        <f ca="1">ROUND(POWER(1+E41,H41-G41)*(POWER(1+E41,G41)-1)/(POWER(1+E41,H41)-1),4)</f>
        <v>0.99199999999999999</v>
      </c>
      <c r="D41" s="371" t="s">
        <v>2914</v>
      </c>
      <c r="E41" s="2829">
        <f ca="1">G20</f>
        <v>5.3999999999999999E-2</v>
      </c>
      <c r="F41" s="371" t="s">
        <v>2915</v>
      </c>
      <c r="G41" s="389">
        <f>'数据-取费表'!F7</f>
        <v>48.13</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0.97829999999999995</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9" t="s">
        <v>999</v>
      </c>
      <c r="B46" s="2261" t="s">
        <v>1000</v>
      </c>
      <c r="C46" s="2283" t="s">
        <v>1001</v>
      </c>
      <c r="D46" s="2284" t="s">
        <v>1002</v>
      </c>
      <c r="E46" s="2285" t="s">
        <v>1004</v>
      </c>
      <c r="F46" s="2286" t="s">
        <v>2236</v>
      </c>
      <c r="G46" s="2284" t="s">
        <v>1005</v>
      </c>
      <c r="H46" s="2267" t="s">
        <v>2400</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24">
      <c r="A47" s="1049" t="s">
        <v>1011</v>
      </c>
      <c r="B47" s="2264" t="str">
        <f>估价对象房地状况!C16</f>
        <v>较差</v>
      </c>
      <c r="C47" s="1036" t="s">
        <v>3123</v>
      </c>
      <c r="D47" s="2270">
        <f t="shared" ref="D47:D55" si="10">SUMIF($J$46:$N$46,C47,J47:N47)</f>
        <v>-2.47E-2</v>
      </c>
      <c r="E47" s="2289">
        <f>ROUND(SUM(D47:D55),4)</f>
        <v>-2.1700000000000001E-2</v>
      </c>
      <c r="F47" s="2290">
        <f>IF(E2="商业",SUMIF(L1:L12,G2,N1:N12),"——")</f>
        <v>0.15</v>
      </c>
      <c r="G47" s="2268">
        <v>2.47E-2</v>
      </c>
      <c r="H47" s="2313">
        <f t="shared" ref="H47:H55" si="11">IFERROR(ROUNDDOWN(($F$47*I47/2),4),"——")</f>
        <v>2.47E-2</v>
      </c>
      <c r="I47" s="2288">
        <v>0.33</v>
      </c>
      <c r="J47" s="2291">
        <f t="shared" ref="J47:J55" si="12">K47+$G47</f>
        <v>4.9399999999999999E-2</v>
      </c>
      <c r="K47" s="2291">
        <f t="shared" ref="K47:K55" si="13">$L47+$G47</f>
        <v>2.47E-2</v>
      </c>
      <c r="L47" s="2291">
        <v>0</v>
      </c>
      <c r="M47" s="2291">
        <f t="shared" ref="M47:N55" si="14">L47-$G47</f>
        <v>-2.47E-2</v>
      </c>
      <c r="N47" s="2291">
        <f t="shared" si="14"/>
        <v>-4.9399999999999999E-2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14.25">
      <c r="A48" s="1049" t="s">
        <v>1012</v>
      </c>
      <c r="B48" s="2261" t="str">
        <f>估价对象房地状况!C18</f>
        <v>较差</v>
      </c>
      <c r="C48" s="1036" t="s">
        <v>3123</v>
      </c>
      <c r="D48" s="2270">
        <f t="shared" si="10"/>
        <v>-1.8700000000000001E-2</v>
      </c>
      <c r="E48" s="2292"/>
      <c r="F48" s="2290"/>
      <c r="G48" s="2268">
        <v>1.8700000000000001E-2</v>
      </c>
      <c r="H48" s="2313">
        <f t="shared" si="11"/>
        <v>1.8700000000000001E-2</v>
      </c>
      <c r="I48" s="2288">
        <v>0.25</v>
      </c>
      <c r="J48" s="2291">
        <f t="shared" si="12"/>
        <v>3.7400000000000003E-2</v>
      </c>
      <c r="K48" s="2291">
        <f t="shared" si="13"/>
        <v>1.8700000000000001E-2</v>
      </c>
      <c r="L48" s="2291">
        <v>0</v>
      </c>
      <c r="M48" s="2291">
        <f t="shared" si="14"/>
        <v>-1.8700000000000001E-2</v>
      </c>
      <c r="N48" s="2291">
        <f t="shared" si="14"/>
        <v>-3.7400000000000003E-2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9" t="s">
        <v>1013</v>
      </c>
      <c r="B49" s="2261" t="str">
        <f>估价对象房地状况!C19</f>
        <v>一般</v>
      </c>
      <c r="C49" s="1036" t="s">
        <v>3129</v>
      </c>
      <c r="D49" s="2270">
        <f t="shared" si="10"/>
        <v>0</v>
      </c>
      <c r="E49" s="2292"/>
      <c r="F49" s="2290"/>
      <c r="G49" s="2268">
        <v>3.7000000000000002E-3</v>
      </c>
      <c r="H49" s="2313">
        <f t="shared" si="11"/>
        <v>3.7000000000000002E-3</v>
      </c>
      <c r="I49" s="2288">
        <v>0.05</v>
      </c>
      <c r="J49" s="2291">
        <f t="shared" si="12"/>
        <v>7.4000000000000003E-3</v>
      </c>
      <c r="K49" s="2291">
        <f t="shared" si="13"/>
        <v>3.7000000000000002E-3</v>
      </c>
      <c r="L49" s="2291">
        <v>0</v>
      </c>
      <c r="M49" s="2291">
        <f t="shared" si="14"/>
        <v>-3.7000000000000002E-3</v>
      </c>
      <c r="N49" s="2291">
        <f t="shared" si="14"/>
        <v>-7.4000000000000003E-3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9" t="s">
        <v>1014</v>
      </c>
      <c r="B50" s="2782" t="s">
        <v>2876</v>
      </c>
      <c r="C50" s="1036" t="s">
        <v>3127</v>
      </c>
      <c r="D50" s="2270">
        <f t="shared" si="10"/>
        <v>3.7000000000000002E-3</v>
      </c>
      <c r="E50" s="2292"/>
      <c r="F50" s="2290"/>
      <c r="G50" s="2268">
        <v>3.7000000000000002E-3</v>
      </c>
      <c r="H50" s="2313">
        <f t="shared" si="11"/>
        <v>3.7000000000000002E-3</v>
      </c>
      <c r="I50" s="2288">
        <v>0.05</v>
      </c>
      <c r="J50" s="2291">
        <f t="shared" si="12"/>
        <v>7.4000000000000003E-3</v>
      </c>
      <c r="K50" s="2291">
        <f t="shared" si="13"/>
        <v>3.7000000000000002E-3</v>
      </c>
      <c r="L50" s="2291">
        <v>0</v>
      </c>
      <c r="M50" s="2291">
        <f t="shared" si="14"/>
        <v>-3.7000000000000002E-3</v>
      </c>
      <c r="N50" s="2291">
        <f t="shared" si="14"/>
        <v>-7.4000000000000003E-3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9" t="s">
        <v>1015</v>
      </c>
      <c r="B51" s="2261">
        <f>估价对象房地状况!C24</f>
        <v>0</v>
      </c>
      <c r="C51" s="1036" t="s">
        <v>3129</v>
      </c>
      <c r="D51" s="2270">
        <f t="shared" si="10"/>
        <v>0</v>
      </c>
      <c r="E51" s="2292"/>
      <c r="F51" s="2290"/>
      <c r="G51" s="2268">
        <v>6.0000000000000001E-3</v>
      </c>
      <c r="H51" s="2313">
        <f t="shared" si="11"/>
        <v>6.0000000000000001E-3</v>
      </c>
      <c r="I51" s="2288">
        <v>0.08</v>
      </c>
      <c r="J51" s="2291">
        <f t="shared" si="12"/>
        <v>1.2E-2</v>
      </c>
      <c r="K51" s="2291">
        <f t="shared" si="13"/>
        <v>6.0000000000000001E-3</v>
      </c>
      <c r="L51" s="2291">
        <v>0</v>
      </c>
      <c r="M51" s="2291">
        <f t="shared" si="14"/>
        <v>-6.0000000000000001E-3</v>
      </c>
      <c r="N51" s="2291">
        <f t="shared" si="14"/>
        <v>-1.2E-2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9" t="s">
        <v>1016</v>
      </c>
      <c r="B52" s="2781" t="s">
        <v>2875</v>
      </c>
      <c r="C52" s="1036" t="s">
        <v>3127</v>
      </c>
      <c r="D52" s="2270">
        <f t="shared" si="10"/>
        <v>2.2000000000000001E-3</v>
      </c>
      <c r="E52" s="2292"/>
      <c r="F52" s="2290"/>
      <c r="G52" s="2268">
        <v>2.2000000000000001E-3</v>
      </c>
      <c r="H52" s="2313">
        <f t="shared" si="11"/>
        <v>2.2000000000000001E-3</v>
      </c>
      <c r="I52" s="2288">
        <v>0.03</v>
      </c>
      <c r="J52" s="2291">
        <f t="shared" si="12"/>
        <v>4.4000000000000003E-3</v>
      </c>
      <c r="K52" s="2291">
        <f t="shared" si="13"/>
        <v>2.2000000000000001E-3</v>
      </c>
      <c r="L52" s="2291">
        <v>0</v>
      </c>
      <c r="M52" s="2291">
        <f t="shared" si="14"/>
        <v>-2.2000000000000001E-3</v>
      </c>
      <c r="N52" s="2291">
        <f t="shared" si="14"/>
        <v>-4.4000000000000003E-3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较差</v>
      </c>
      <c r="C53" s="1036" t="s">
        <v>3123</v>
      </c>
      <c r="D53" s="2270">
        <f t="shared" si="10"/>
        <v>-3.7000000000000002E-3</v>
      </c>
      <c r="E53" s="2292"/>
      <c r="F53" s="2290"/>
      <c r="G53" s="2268">
        <v>3.7000000000000002E-3</v>
      </c>
      <c r="H53" s="2313">
        <f t="shared" si="11"/>
        <v>3.7000000000000002E-3</v>
      </c>
      <c r="I53" s="2288">
        <v>0.05</v>
      </c>
      <c r="J53" s="2291">
        <f t="shared" si="12"/>
        <v>7.4000000000000003E-3</v>
      </c>
      <c r="K53" s="2291">
        <f t="shared" si="13"/>
        <v>3.7000000000000002E-3</v>
      </c>
      <c r="L53" s="2291">
        <v>0</v>
      </c>
      <c r="M53" s="2291">
        <f t="shared" si="14"/>
        <v>-3.7000000000000002E-3</v>
      </c>
      <c r="N53" s="2291">
        <f t="shared" si="14"/>
        <v>-7.4000000000000003E-3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七通</v>
      </c>
      <c r="C54" s="1036" t="s">
        <v>3134</v>
      </c>
      <c r="D54" s="2270">
        <f t="shared" si="10"/>
        <v>1.4999999999999999E-2</v>
      </c>
      <c r="E54" s="2292"/>
      <c r="F54" s="2290"/>
      <c r="G54" s="2268">
        <v>7.4999999999999997E-3</v>
      </c>
      <c r="H54" s="2313">
        <f t="shared" si="11"/>
        <v>7.4999999999999997E-3</v>
      </c>
      <c r="I54" s="2288">
        <v>0.1</v>
      </c>
      <c r="J54" s="2291">
        <f t="shared" si="12"/>
        <v>1.4999999999999999E-2</v>
      </c>
      <c r="K54" s="2291">
        <f t="shared" si="13"/>
        <v>7.4999999999999997E-3</v>
      </c>
      <c r="L54" s="2291">
        <v>0</v>
      </c>
      <c r="M54" s="2291">
        <f t="shared" si="14"/>
        <v>-7.4999999999999997E-3</v>
      </c>
      <c r="N54" s="2291">
        <f t="shared" si="14"/>
        <v>-1.4999999999999999E-2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较好</v>
      </c>
      <c r="C55" s="1036" t="s">
        <v>3127</v>
      </c>
      <c r="D55" s="2270">
        <f t="shared" si="10"/>
        <v>4.4999999999999997E-3</v>
      </c>
      <c r="E55" s="2296"/>
      <c r="F55" s="2290"/>
      <c r="G55" s="2268">
        <v>4.4999999999999997E-3</v>
      </c>
      <c r="H55" s="2313">
        <f t="shared" si="11"/>
        <v>4.4999999999999997E-3</v>
      </c>
      <c r="I55" s="2295">
        <v>0.06</v>
      </c>
      <c r="J55" s="2291">
        <f t="shared" si="12"/>
        <v>8.9999999999999993E-3</v>
      </c>
      <c r="K55" s="2291">
        <f t="shared" si="13"/>
        <v>4.4999999999999997E-3</v>
      </c>
      <c r="L55" s="2291">
        <v>0</v>
      </c>
      <c r="M55" s="2291">
        <f t="shared" si="14"/>
        <v>-4.4999999999999997E-3</v>
      </c>
      <c r="N55" s="2291">
        <f t="shared" si="14"/>
        <v>-8.9999999999999993E-3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9" t="s">
        <v>999</v>
      </c>
      <c r="B57" s="2261"/>
      <c r="C57" s="2283" t="s">
        <v>1001</v>
      </c>
      <c r="D57" s="2284" t="s">
        <v>1002</v>
      </c>
      <c r="E57" s="2285" t="s">
        <v>1004</v>
      </c>
      <c r="F57" s="2286" t="s">
        <v>2237</v>
      </c>
      <c r="G57" s="2284" t="s">
        <v>1005</v>
      </c>
      <c r="H57" s="2267" t="s">
        <v>2400</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24">
      <c r="A58" s="1049" t="s">
        <v>1021</v>
      </c>
      <c r="B58" s="2264" t="str">
        <f>估价对象房地状况!C17</f>
        <v xml:space="preserve"> </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14.25">
      <c r="A59" s="1049" t="s">
        <v>1012</v>
      </c>
      <c r="B59" s="2261" t="str">
        <f>估价对象房地状况!C18</f>
        <v>较差</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9" t="s">
        <v>1013</v>
      </c>
      <c r="B60" s="2261" t="str">
        <f>估价对象房地状况!C19</f>
        <v>一般</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9" t="s">
        <v>1014</v>
      </c>
      <c r="B61" s="2782" t="s">
        <v>2877</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9" t="s">
        <v>1016</v>
      </c>
      <c r="B63" s="2781" t="s">
        <v>2875</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9" t="s">
        <v>1017</v>
      </c>
      <c r="B64" s="2262" t="str">
        <f>估价对象房地状况!C21</f>
        <v>较差</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9" t="s">
        <v>1018</v>
      </c>
      <c r="B65" s="2262" t="str">
        <f>估价对象房地状况!C22</f>
        <v>七通</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较好</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9" t="s">
        <v>999</v>
      </c>
      <c r="B68" s="2261"/>
      <c r="C68" s="2283" t="s">
        <v>1001</v>
      </c>
      <c r="D68" s="2284" t="s">
        <v>1002</v>
      </c>
      <c r="E68" s="2285" t="s">
        <v>1004</v>
      </c>
      <c r="F68" s="2286" t="s">
        <v>2238</v>
      </c>
      <c r="G68" s="2284" t="s">
        <v>1005</v>
      </c>
      <c r="H68" s="2267" t="s">
        <v>2400</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24">
      <c r="A69" s="1049" t="s">
        <v>1023</v>
      </c>
      <c r="B69" s="2264" t="str">
        <f>估价对象房地状况!C15</f>
        <v>较差</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14.25">
      <c r="A70" s="1049" t="s">
        <v>1024</v>
      </c>
      <c r="B70" s="2261" t="str">
        <f>估价对象房地状况!C18</f>
        <v>较差</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9" t="s">
        <v>1013</v>
      </c>
      <c r="B71" s="2261" t="str">
        <f>估价对象房地状况!C19</f>
        <v>一般</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9" t="s">
        <v>1025</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9" t="s">
        <v>1017</v>
      </c>
      <c r="B73" s="2262" t="str">
        <f>估价对象房地状况!C21</f>
        <v>较差</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9" t="s">
        <v>1018</v>
      </c>
      <c r="B74" s="2262" t="str">
        <f>估价对象房地状况!C22</f>
        <v>七通</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9" t="s">
        <v>1016</v>
      </c>
      <c r="B75" s="2781" t="s">
        <v>2875</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9" t="s">
        <v>1019</v>
      </c>
      <c r="B76" s="2264" t="str">
        <f>估价对象房地状况!C20</f>
        <v>较好</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8"/>
      <c r="K78" s="1048"/>
      <c r="L78" s="1048"/>
      <c r="M78" s="1048"/>
      <c r="N78" s="1048"/>
      <c r="AC78" s="1352"/>
      <c r="AD78" s="1351"/>
      <c r="AJ78" s="1350"/>
      <c r="AN78" s="1351"/>
    </row>
    <row r="79" spans="1:40" ht="24">
      <c r="A79" s="1049" t="s">
        <v>999</v>
      </c>
      <c r="B79" s="2261"/>
      <c r="C79" s="2283" t="s">
        <v>1001</v>
      </c>
      <c r="D79" s="2284" t="s">
        <v>1002</v>
      </c>
      <c r="E79" s="2285" t="s">
        <v>1004</v>
      </c>
      <c r="F79" s="2286" t="s">
        <v>2239</v>
      </c>
      <c r="G79" s="2284" t="s">
        <v>1005</v>
      </c>
      <c r="H79" s="2267" t="s">
        <v>2400</v>
      </c>
      <c r="I79" s="2284" t="s">
        <v>1003</v>
      </c>
      <c r="J79" s="2287" t="s">
        <v>1006</v>
      </c>
      <c r="K79" s="2287" t="s">
        <v>1007</v>
      </c>
      <c r="L79" s="2287" t="s">
        <v>1008</v>
      </c>
      <c r="M79" s="2287" t="s">
        <v>1009</v>
      </c>
      <c r="N79" s="2287" t="s">
        <v>1010</v>
      </c>
      <c r="AC79" s="1352"/>
      <c r="AD79" s="1351"/>
      <c r="AJ79" s="1350"/>
      <c r="AN79" s="1351"/>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9" t="s">
        <v>1016</v>
      </c>
      <c r="B86" s="2781" t="s">
        <v>2875</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501" t="s">
        <v>1624</v>
      </c>
      <c r="B90" s="3501"/>
      <c r="C90" s="3501"/>
      <c r="D90" s="3501"/>
      <c r="E90" s="3501"/>
      <c r="F90" s="3501"/>
      <c r="G90" s="3501"/>
      <c r="H90" s="3501"/>
      <c r="I90" s="3501"/>
      <c r="J90" s="3501"/>
      <c r="K90" s="2303"/>
      <c r="L90" s="2303"/>
      <c r="M90" s="2303"/>
      <c r="N90" s="2303"/>
    </row>
    <row r="91" spans="1:40">
      <c r="A91" s="3502" t="s">
        <v>1434</v>
      </c>
      <c r="B91" s="3502" t="s">
        <v>1625</v>
      </c>
      <c r="C91" s="1122" t="s">
        <v>1626</v>
      </c>
      <c r="D91" s="1123"/>
      <c r="E91" s="1123"/>
      <c r="F91" s="1123"/>
      <c r="G91" s="1123"/>
      <c r="H91" s="1123"/>
      <c r="I91" s="1123"/>
      <c r="J91" s="1124"/>
      <c r="K91" s="1116"/>
      <c r="L91" s="1116"/>
      <c r="M91" s="1116"/>
      <c r="N91" s="1116"/>
    </row>
    <row r="92" spans="1:40">
      <c r="A92" s="3502"/>
      <c r="B92" s="350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485" t="s">
        <v>2719</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48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48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48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48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48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486"/>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487"/>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485" t="s">
        <v>1628</v>
      </c>
      <c r="B101" s="1129" t="s">
        <v>897</v>
      </c>
      <c r="C101" s="1130">
        <f>$G$3</f>
        <v>1</v>
      </c>
      <c r="D101" s="1130">
        <f t="shared" ref="D101:N101" si="31">$G$3</f>
        <v>1</v>
      </c>
      <c r="E101" s="1130">
        <f t="shared" si="31"/>
        <v>1</v>
      </c>
      <c r="F101" s="1130">
        <f t="shared" si="31"/>
        <v>1</v>
      </c>
      <c r="G101" s="1130">
        <f t="shared" si="31"/>
        <v>1</v>
      </c>
      <c r="H101" s="1130">
        <f t="shared" si="31"/>
        <v>1</v>
      </c>
      <c r="I101" s="1130">
        <f t="shared" si="31"/>
        <v>1</v>
      </c>
      <c r="J101" s="1130">
        <f t="shared" si="31"/>
        <v>1</v>
      </c>
      <c r="K101" s="1130">
        <f t="shared" si="31"/>
        <v>1</v>
      </c>
      <c r="L101" s="1130">
        <f t="shared" si="31"/>
        <v>1</v>
      </c>
      <c r="M101" s="1130">
        <f t="shared" si="31"/>
        <v>1</v>
      </c>
      <c r="N101" s="1130">
        <f t="shared" si="31"/>
        <v>1</v>
      </c>
    </row>
    <row r="102" spans="1:14">
      <c r="A102" s="3486"/>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486"/>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486"/>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486"/>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486"/>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486"/>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486"/>
      <c r="B108" s="3488"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487"/>
      <c r="B109" s="3489"/>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495" t="s">
        <v>1630</v>
      </c>
      <c r="B110" s="3495"/>
      <c r="C110" s="3495"/>
      <c r="D110" s="3495"/>
      <c r="E110" s="3495"/>
      <c r="F110" s="3495"/>
      <c r="G110" s="3495"/>
      <c r="H110" s="3495"/>
      <c r="I110" s="3495"/>
      <c r="J110" s="3495"/>
      <c r="K110" s="2301"/>
      <c r="L110" s="2301"/>
      <c r="M110" s="2301"/>
      <c r="N110" s="2301"/>
    </row>
    <row r="112" spans="1:14" ht="12.75" thickBot="1"/>
    <row r="113" spans="1:13" ht="25.5" thickBot="1">
      <c r="A113" s="1002" t="s">
        <v>887</v>
      </c>
      <c r="B113" s="2304">
        <f>G3</f>
        <v>1</v>
      </c>
      <c r="C113" s="1003" t="s">
        <v>888</v>
      </c>
      <c r="D113" s="1004">
        <f>SUMPRODUCT((A115:A118=F113)*(B114:M114=H113)*B115:M118)</f>
        <v>0.67349999999999999</v>
      </c>
      <c r="E113" s="1005" t="s">
        <v>889</v>
      </c>
      <c r="F113" s="1006" t="str">
        <f>E2</f>
        <v>商业</v>
      </c>
      <c r="G113" s="1005" t="s">
        <v>890</v>
      </c>
      <c r="H113" s="1006" t="str">
        <f>G2</f>
        <v>十一级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3">I115</f>
        <v>0.67349999999999999</v>
      </c>
      <c r="K115" s="1016">
        <f t="shared" si="33"/>
        <v>0.67349999999999999</v>
      </c>
      <c r="L115" s="1016">
        <f t="shared" si="33"/>
        <v>0.67349999999999999</v>
      </c>
      <c r="M115" s="1017">
        <f t="shared" si="33"/>
        <v>0.67349999999999999</v>
      </c>
    </row>
    <row r="116" spans="1:13" ht="12.75">
      <c r="A116" s="1015" t="s">
        <v>892</v>
      </c>
      <c r="B116" s="1016">
        <f>ROUND(0.949-0.012*B113,4)</f>
        <v>0.93700000000000006</v>
      </c>
      <c r="C116" s="1016">
        <f>B116</f>
        <v>0.93700000000000006</v>
      </c>
      <c r="D116" s="1016">
        <f>ROUND(0.8567-0.013*B113,4)</f>
        <v>0.84370000000000001</v>
      </c>
      <c r="E116" s="1016">
        <f t="shared" ref="E116:H117" si="34">D116</f>
        <v>0.84370000000000001</v>
      </c>
      <c r="F116" s="1016">
        <f t="shared" si="34"/>
        <v>0.84370000000000001</v>
      </c>
      <c r="G116" s="1016">
        <f t="shared" si="34"/>
        <v>0.84370000000000001</v>
      </c>
      <c r="H116" s="1016">
        <f t="shared" si="34"/>
        <v>0.84370000000000001</v>
      </c>
      <c r="I116" s="1016">
        <f>ROUND(0.7694-0.014*B113,4)</f>
        <v>0.75539999999999996</v>
      </c>
      <c r="J116" s="1016">
        <f t="shared" si="33"/>
        <v>0.75539999999999996</v>
      </c>
      <c r="K116" s="1016">
        <f t="shared" si="33"/>
        <v>0.75539999999999996</v>
      </c>
      <c r="L116" s="1016">
        <f t="shared" si="33"/>
        <v>0.75539999999999996</v>
      </c>
      <c r="M116" s="1017">
        <f t="shared" si="33"/>
        <v>0.75539999999999996</v>
      </c>
    </row>
    <row r="117" spans="1:13" ht="12.75">
      <c r="A117" s="1018" t="s">
        <v>893</v>
      </c>
      <c r="B117" s="1016">
        <f>ROUND(0.8808-0.006*B113,4)</f>
        <v>0.87480000000000002</v>
      </c>
      <c r="C117" s="1016">
        <f>B117</f>
        <v>0.87480000000000002</v>
      </c>
      <c r="D117" s="1016">
        <f>ROUND(0.8748-0.008*B113,4)</f>
        <v>0.86680000000000001</v>
      </c>
      <c r="E117" s="1016">
        <f t="shared" si="34"/>
        <v>0.86680000000000001</v>
      </c>
      <c r="F117" s="1016">
        <f t="shared" si="34"/>
        <v>0.86680000000000001</v>
      </c>
      <c r="G117" s="1016">
        <f t="shared" si="34"/>
        <v>0.86680000000000001</v>
      </c>
      <c r="H117" s="1016">
        <f t="shared" si="34"/>
        <v>0.86680000000000001</v>
      </c>
      <c r="I117" s="1016">
        <f>ROUND(0.7412-0.0095*B113,4)</f>
        <v>0.73170000000000002</v>
      </c>
      <c r="J117" s="1016">
        <f t="shared" si="33"/>
        <v>0.73170000000000002</v>
      </c>
      <c r="K117" s="1016">
        <f t="shared" si="33"/>
        <v>0.73170000000000002</v>
      </c>
      <c r="L117" s="1016">
        <f t="shared" si="33"/>
        <v>0.73170000000000002</v>
      </c>
      <c r="M117" s="1017">
        <f t="shared" si="33"/>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3"/>
        <v>0.55310000000000004</v>
      </c>
      <c r="K118" s="1020">
        <f t="shared" si="33"/>
        <v>0.55310000000000004</v>
      </c>
      <c r="L118" s="1020">
        <f t="shared" si="33"/>
        <v>0.55310000000000004</v>
      </c>
      <c r="M118" s="1021">
        <f t="shared" si="33"/>
        <v>0.55310000000000004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N38" sqref="N3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31" s="1922" customFormat="1" ht="18" customHeight="1">
      <c r="A2" s="1981" t="s">
        <v>461</v>
      </c>
      <c r="B2" s="1985">
        <f ca="1">C36</f>
        <v>1882</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1287</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1917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128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 ca="1">SUM(C10:K10)</f>
        <v>6834</v>
      </c>
      <c r="D6" s="2544"/>
      <c r="E6" s="2544"/>
      <c r="F6" s="2544"/>
      <c r="G6" s="2544"/>
      <c r="H6" s="2544"/>
      <c r="I6" s="2544"/>
      <c r="J6" s="2544"/>
      <c r="K6" s="2546"/>
      <c r="L6" s="3077"/>
      <c r="M6" s="3077"/>
      <c r="N6" s="3077"/>
      <c r="O6" s="3077"/>
      <c r="P6" s="3077"/>
      <c r="Q6" s="3077"/>
      <c r="R6" s="3077"/>
      <c r="S6" s="3077"/>
      <c r="T6" s="3077"/>
      <c r="U6" s="3077"/>
      <c r="V6" s="3077"/>
      <c r="W6" s="3077"/>
      <c r="X6" s="3077"/>
      <c r="Y6" s="3077"/>
      <c r="Z6" s="3077"/>
    </row>
    <row r="7" spans="1:31" s="1993" customFormat="1" ht="15">
      <c r="A7" s="2547" t="s">
        <v>464</v>
      </c>
      <c r="B7" s="2548" t="s">
        <v>465</v>
      </c>
      <c r="C7" s="429" t="s">
        <v>2982</v>
      </c>
      <c r="D7" s="429" t="s">
        <v>2983</v>
      </c>
      <c r="E7" s="429"/>
      <c r="F7" s="429"/>
      <c r="G7" s="429"/>
      <c r="H7" s="429"/>
      <c r="I7" s="429"/>
      <c r="J7" s="429"/>
      <c r="K7" s="430"/>
      <c r="AA7" s="1992"/>
      <c r="AB7" s="1992"/>
      <c r="AC7" s="1992"/>
      <c r="AD7" s="1992"/>
      <c r="AE7" s="1992"/>
    </row>
    <row r="8" spans="1:31" s="1995" customFormat="1" ht="13.5" customHeight="1">
      <c r="A8" s="792" t="s">
        <v>1836</v>
      </c>
      <c r="B8" s="258" t="s">
        <v>466</v>
      </c>
      <c r="C8" s="2549">
        <f ca="1">'不动产收益法-商业'!B3</f>
        <v>6942</v>
      </c>
      <c r="D8" s="2549">
        <f ca="1">'不动产收益法-车库'!B3</f>
        <v>836</v>
      </c>
      <c r="E8" s="2549"/>
      <c r="F8" s="2549"/>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9740.7800000000007</v>
      </c>
      <c r="D9" s="434">
        <f>SUMIF('数据-汇总表'!$C19:$C33,'剩余法-待开发'!D7,'数据-汇总表'!$E19:$E33)</f>
        <v>861.16</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 ca="1">'不动产收益法-商业'!B2</f>
        <v>6762</v>
      </c>
      <c r="D10" s="2740">
        <f ca="1">'不动产收益法-车库'!B2</f>
        <v>72</v>
      </c>
      <c r="E10" s="2740"/>
      <c r="F10" s="2552"/>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077"/>
      <c r="M11" s="3077"/>
      <c r="N11" s="3077"/>
      <c r="O11" s="3077"/>
      <c r="P11" s="3077"/>
      <c r="Q11" s="3077"/>
      <c r="R11" s="3077"/>
      <c r="S11" s="3077"/>
      <c r="T11" s="3077"/>
      <c r="U11" s="3077"/>
      <c r="V11" s="3077"/>
      <c r="W11" s="3077"/>
      <c r="X11" s="3077"/>
      <c r="Y11" s="3077"/>
      <c r="Z11" s="3077"/>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078"/>
      <c r="M12" s="3078"/>
      <c r="N12" s="3078"/>
      <c r="O12" s="3078"/>
      <c r="P12" s="3078"/>
      <c r="Q12" s="3078"/>
      <c r="R12" s="3078"/>
      <c r="S12" s="3078"/>
      <c r="T12" s="3078"/>
      <c r="U12" s="3078"/>
      <c r="V12" s="3078"/>
      <c r="W12" s="3078"/>
      <c r="X12" s="3078"/>
      <c r="Y12" s="3078"/>
      <c r="Z12" s="3078"/>
    </row>
    <row r="13" spans="1:31" s="1996" customFormat="1" ht="13.5" customHeight="1">
      <c r="A13" s="2557" t="s">
        <v>1839</v>
      </c>
      <c r="B13" s="2558" t="s">
        <v>473</v>
      </c>
      <c r="C13" s="443">
        <f ca="1">IF(B1="",'数据-取费表'!P16,INDIRECT("'数据-取费表'!p"&amp;$K$1)+INDIRECT("'数据-取费表'!t"&amp;$K$1))</f>
        <v>2924</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88</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0</v>
      </c>
      <c r="D15" s="2559"/>
      <c r="E15" s="2560"/>
      <c r="F15" s="2562">
        <f>'数据-取费表'!B34</f>
        <v>0</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292</v>
      </c>
      <c r="D16" s="2559">
        <f ca="1">IF(B1="",'数据-汇总表'!E3,INDIRECT("'数据-取费表'!K"&amp;$K$1)+INDIRECT("'数据-取费表'!S"&amp;$K$1))</f>
        <v>14621.33</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44</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3348</v>
      </c>
      <c r="D18" s="2568"/>
      <c r="E18" s="461"/>
      <c r="F18" s="461"/>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175</v>
      </c>
      <c r="D19" s="2569">
        <f ca="1">D16</f>
        <v>14621.33</v>
      </c>
      <c r="E19" s="2523">
        <f>'数据-取费表'!B32</f>
        <v>120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117</v>
      </c>
      <c r="D20" s="2569"/>
      <c r="E20" s="2523"/>
      <c r="F20" s="2570"/>
      <c r="G20" s="2773"/>
      <c r="H20" s="2525"/>
      <c r="I20" s="2526" t="s">
        <v>2607</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0</v>
      </c>
      <c r="D21" s="2559">
        <f ca="1">IF(B1="",'数据-汇总表'!E5,IF(INDIRECT("'数据-取费表'!c"&amp;$K$1)="住宅",INDIRECT("'数据-取费表'!k"&amp;$K$1),0))</f>
        <v>0</v>
      </c>
      <c r="E21" s="53">
        <f>'数据-取费表'!B27</f>
        <v>80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117</v>
      </c>
      <c r="D22" s="2559">
        <f ca="1">IF(B1="",'数据-汇总表'!E6,IF(INDIRECT("'数据-取费表'!c"&amp;$K$1)="住宅",INDIRECT("'数据-取费表'!s"&amp;$K$1),INDIRECT("'数据-取费表'!k"&amp;$K$1)+INDIRECT("'数据-取费表'!s"&amp;$K$1)))</f>
        <v>14621.33</v>
      </c>
      <c r="E22" s="53">
        <f>'数据-取费表'!B28</f>
        <v>80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2789</v>
      </c>
      <c r="C23" s="2567">
        <f ca="1">ROUND((C18+C19+C20)*F23,0)</f>
        <v>55</v>
      </c>
      <c r="D23" s="461"/>
      <c r="E23" s="461"/>
      <c r="F23" s="2571">
        <f>'数据-取费表'!B37</f>
        <v>1.4999999999999999E-2</v>
      </c>
      <c r="G23" s="2527" t="s">
        <v>2412</v>
      </c>
      <c r="H23" s="2528"/>
      <c r="I23" s="2528"/>
      <c r="J23" s="2528"/>
      <c r="K23" s="2529"/>
      <c r="L23" s="3079"/>
      <c r="M23" s="3079"/>
      <c r="N23" s="3079"/>
      <c r="O23" s="1997"/>
      <c r="P23" s="1997"/>
      <c r="Q23" s="1997"/>
      <c r="R23" s="1997"/>
      <c r="S23" s="1997"/>
      <c r="T23" s="1997"/>
      <c r="U23" s="1997"/>
      <c r="V23" s="1997"/>
      <c r="W23" s="1997"/>
      <c r="X23" s="1997"/>
      <c r="Y23" s="1997"/>
      <c r="Z23" s="1997"/>
    </row>
    <row r="24" spans="1:26" s="1996" customFormat="1" ht="13.5" customHeight="1">
      <c r="A24" s="2565" t="s">
        <v>1850</v>
      </c>
      <c r="B24" s="2746" t="s">
        <v>2792</v>
      </c>
      <c r="C24" s="2567">
        <f ca="1">ROUND(C6*F24,0)</f>
        <v>103</v>
      </c>
      <c r="D24" s="468"/>
      <c r="E24" s="466"/>
      <c r="F24" s="2571">
        <f>'数据-取费表'!B38</f>
        <v>1.4999999999999999E-2</v>
      </c>
      <c r="G24" s="2536" t="s">
        <v>493</v>
      </c>
      <c r="H24" s="2530"/>
      <c r="I24" s="2530"/>
      <c r="J24" s="2530"/>
      <c r="K24" s="276"/>
      <c r="L24" s="3079"/>
      <c r="M24" s="3079"/>
      <c r="N24" s="3079"/>
      <c r="O24" s="1997"/>
      <c r="P24" s="1997"/>
      <c r="Q24" s="1997"/>
      <c r="R24" s="1997"/>
      <c r="S24" s="1997"/>
      <c r="T24" s="1997"/>
      <c r="U24" s="1997"/>
      <c r="V24" s="1997"/>
      <c r="W24" s="1997"/>
      <c r="X24" s="1997"/>
      <c r="Y24" s="1997"/>
      <c r="Z24" s="1997"/>
    </row>
    <row r="25" spans="1:26" s="1999" customFormat="1" ht="13.5" customHeight="1">
      <c r="A25" s="2565" t="s">
        <v>1851</v>
      </c>
      <c r="B25" s="2746" t="s">
        <v>2790</v>
      </c>
      <c r="C25" s="460">
        <f>ROUND(F25/(1+'数据-取费表'!C42),4)</f>
        <v>2.9000000000000001E-2</v>
      </c>
      <c r="D25" s="455" t="s">
        <v>2784</v>
      </c>
      <c r="E25" s="462"/>
      <c r="F25" s="2571">
        <f>IF(项目基本情况!B8="出让",0,'数据-取费表'!B48+'数据-取费表'!B49)</f>
        <v>3.0499999999999999E-2</v>
      </c>
      <c r="G25" s="2535" t="s">
        <v>2274</v>
      </c>
      <c r="H25" s="2528"/>
      <c r="I25" s="2528"/>
      <c r="J25" s="2528"/>
      <c r="K25" s="2529"/>
      <c r="L25" s="3080"/>
      <c r="M25" s="3080"/>
      <c r="N25" s="3080"/>
      <c r="O25" s="3080"/>
      <c r="P25" s="3080"/>
      <c r="Q25" s="3080"/>
      <c r="R25" s="3080"/>
      <c r="S25" s="3080"/>
      <c r="T25" s="3080"/>
      <c r="U25" s="3080"/>
      <c r="V25" s="3080"/>
      <c r="W25" s="3080"/>
      <c r="X25" s="3080"/>
      <c r="Y25" s="3080"/>
      <c r="Z25" s="3080"/>
    </row>
    <row r="26" spans="1:26" s="1998" customFormat="1" ht="13.5" customHeight="1">
      <c r="A26" s="2565" t="s">
        <v>1852</v>
      </c>
      <c r="B26" s="2747" t="s">
        <v>2791</v>
      </c>
      <c r="C26" s="2572">
        <f ca="1">C28</f>
        <v>83</v>
      </c>
      <c r="D26" s="460">
        <f ca="1">C27</f>
        <v>4.48E-2</v>
      </c>
      <c r="E26" s="462" t="s">
        <v>489</v>
      </c>
      <c r="F26" s="464">
        <f ca="1">'数据-取费表'!B40</f>
        <v>4.3499999999999997E-2</v>
      </c>
      <c r="G26" s="2422" t="str">
        <f>IF('数据-取费表'!B22&lt;=1,"单利计息。","复利计息。")&amp;"后续开发成本、管理费用及销售费用产生的利息。"</f>
        <v>单利计息。后续开发成本、管理费用及销售费用产生的利息。</v>
      </c>
      <c r="H26" s="2532"/>
      <c r="I26" s="2532"/>
      <c r="J26" s="2532"/>
      <c r="K26" s="2533"/>
      <c r="L26" s="3079"/>
      <c r="M26" s="3079"/>
      <c r="N26" s="3079"/>
      <c r="O26" s="3079"/>
      <c r="P26" s="3079"/>
      <c r="Q26" s="3079"/>
      <c r="R26" s="3079"/>
      <c r="S26" s="3079"/>
      <c r="T26" s="3079"/>
      <c r="U26" s="3079"/>
      <c r="V26" s="3079"/>
      <c r="W26" s="3079"/>
      <c r="X26" s="3079"/>
      <c r="Y26" s="3079"/>
      <c r="Z26" s="3079"/>
    </row>
    <row r="27" spans="1:26" s="2000" customFormat="1" ht="13.5" customHeight="1">
      <c r="A27" s="792" t="s">
        <v>1847</v>
      </c>
      <c r="B27" s="2573" t="s">
        <v>490</v>
      </c>
      <c r="C27" s="2574">
        <f ca="1">ROUND(IF('数据-取费表'!B22&lt;=1,(1+C25)*F26*'数据-取费表'!B24,(1+C25)*(POWER((1+F26),'数据-取费表'!B24)-1)),4)</f>
        <v>4.48E-2</v>
      </c>
      <c r="D27" s="465"/>
      <c r="E27" s="466"/>
      <c r="F27" s="467"/>
      <c r="G27" s="2422" t="str">
        <f>IF('数据-取费表'!B22&lt;=1,"（1+取得税费率/(1+5%)）×年利率×建设期","（1+取得税费率）/(1+5%)×((1+年利率)^建设期-1)")</f>
        <v>（1+取得税费率/(1+5%)）×年利率×建设期</v>
      </c>
      <c r="H27" s="2530"/>
      <c r="I27" s="2530"/>
      <c r="J27" s="2530"/>
      <c r="K27" s="276"/>
      <c r="L27" s="3081"/>
      <c r="M27" s="3081"/>
      <c r="N27" s="3081"/>
      <c r="O27" s="3081"/>
      <c r="P27" s="3081"/>
      <c r="Q27" s="3081"/>
      <c r="R27" s="3081"/>
      <c r="S27" s="3081"/>
      <c r="T27" s="3081"/>
      <c r="U27" s="3081"/>
      <c r="V27" s="3081"/>
      <c r="W27" s="3081"/>
      <c r="X27" s="3081"/>
      <c r="Y27" s="3081"/>
      <c r="Z27" s="3081"/>
    </row>
    <row r="28" spans="1:26" s="2000" customFormat="1" ht="13.5" customHeight="1">
      <c r="A28" s="792" t="s">
        <v>1848</v>
      </c>
      <c r="B28" s="2573" t="s">
        <v>2793</v>
      </c>
      <c r="C28" s="2575">
        <f ca="1">ROUND(IF('数据-取费表'!B22&lt;=1,(C18+C19+C20+C23+C24)*F26*'数据-取费表'!B24/2,(C18+C19+C20+C23+C24)*(POWER((1+F26),'数据-取费表'!B24/2)-1)),0)</f>
        <v>83</v>
      </c>
      <c r="D28" s="465"/>
      <c r="E28" s="466"/>
      <c r="F28" s="467"/>
      <c r="G28" s="2422" t="str">
        <f>IF('数据-取费表'!B22&lt;=1,"（1）-（4）项×年利率×建设期÷2","（1）-（4）项×((1+年利率)^(建设期÷2)-1)")</f>
        <v>（1）-（4）项×年利率×建设期÷2</v>
      </c>
      <c r="H28" s="2530"/>
      <c r="I28" s="2530"/>
      <c r="J28" s="2530"/>
      <c r="K28" s="276"/>
      <c r="L28" s="3081"/>
      <c r="M28" s="3081"/>
      <c r="N28" s="3081"/>
      <c r="O28" s="3081"/>
      <c r="P28" s="3081"/>
      <c r="Q28" s="3081"/>
      <c r="R28" s="3081"/>
      <c r="S28" s="3081"/>
      <c r="T28" s="3081"/>
      <c r="U28" s="3081"/>
      <c r="V28" s="3081"/>
      <c r="W28" s="3081"/>
      <c r="X28" s="3081"/>
      <c r="Y28" s="3081"/>
      <c r="Z28" s="3081"/>
    </row>
    <row r="29" spans="1:26" s="2000" customFormat="1" ht="13.5" customHeight="1">
      <c r="A29" s="2576" t="s">
        <v>1853</v>
      </c>
      <c r="B29" s="2566" t="s">
        <v>491</v>
      </c>
      <c r="C29" s="2567">
        <f ca="1">ROUND(C6*F29/(1+'数据-取费表'!C42),0)</f>
        <v>358</v>
      </c>
      <c r="D29" s="461"/>
      <c r="E29" s="461"/>
      <c r="F29" s="2748">
        <f>'数据-取费表'!B41</f>
        <v>5.5000000000000007E-2</v>
      </c>
      <c r="G29" s="2536" t="s">
        <v>492</v>
      </c>
      <c r="H29" s="2528"/>
      <c r="I29" s="2528"/>
      <c r="J29" s="2528"/>
      <c r="K29" s="2529"/>
      <c r="L29" s="3081"/>
      <c r="M29" s="3081"/>
      <c r="N29" s="3081"/>
      <c r="O29" s="3081"/>
      <c r="P29" s="3081"/>
      <c r="Q29" s="3081"/>
      <c r="R29" s="3081"/>
      <c r="S29" s="3081"/>
      <c r="T29" s="3081"/>
      <c r="U29" s="3081"/>
      <c r="V29" s="3081"/>
      <c r="W29" s="3081"/>
      <c r="X29" s="3081"/>
      <c r="Y29" s="3081"/>
      <c r="Z29" s="3081"/>
    </row>
    <row r="30" spans="1:26" s="2001" customFormat="1" ht="13.5" customHeight="1">
      <c r="A30" s="1562" t="s">
        <v>1854</v>
      </c>
      <c r="B30" s="2577" t="s">
        <v>494</v>
      </c>
      <c r="C30" s="2572">
        <f ca="1">C31</f>
        <v>4239</v>
      </c>
      <c r="D30" s="470">
        <f ca="1">C32</f>
        <v>7.3800000000000004E-2</v>
      </c>
      <c r="E30" s="462" t="s">
        <v>489</v>
      </c>
      <c r="F30" s="464"/>
      <c r="G30" s="2535" t="s">
        <v>2903</v>
      </c>
      <c r="H30" s="2528"/>
      <c r="I30" s="2528"/>
      <c r="J30" s="2528"/>
      <c r="K30" s="2529"/>
      <c r="L30" s="3082"/>
      <c r="M30" s="3082"/>
      <c r="N30" s="3082"/>
      <c r="O30" s="3082"/>
      <c r="P30" s="3082"/>
      <c r="Q30" s="3082"/>
      <c r="R30" s="3082"/>
      <c r="S30" s="3082"/>
      <c r="T30" s="3082"/>
      <c r="U30" s="3082"/>
      <c r="V30" s="3082"/>
      <c r="W30" s="3082"/>
      <c r="X30" s="3082"/>
      <c r="Y30" s="3082"/>
      <c r="Z30" s="3082"/>
    </row>
    <row r="31" spans="1:26" s="2000" customFormat="1" ht="13.5" customHeight="1">
      <c r="A31" s="792" t="s">
        <v>1847</v>
      </c>
      <c r="B31" s="2573"/>
      <c r="C31" s="443">
        <f ca="1">C18+C19+C20+C23+C24+C26+C29</f>
        <v>4239</v>
      </c>
      <c r="D31" s="465"/>
      <c r="E31" s="466"/>
      <c r="F31" s="467"/>
      <c r="G31" s="258"/>
      <c r="H31" s="2530"/>
      <c r="I31" s="2530"/>
      <c r="J31" s="2530"/>
      <c r="K31" s="276"/>
      <c r="L31" s="3081"/>
      <c r="M31" s="3081"/>
      <c r="N31" s="3081"/>
      <c r="O31" s="3081"/>
      <c r="P31" s="3081"/>
      <c r="Q31" s="3081"/>
      <c r="R31" s="3081"/>
      <c r="S31" s="3081"/>
      <c r="T31" s="3081"/>
      <c r="U31" s="3081"/>
      <c r="V31" s="3081"/>
      <c r="W31" s="3081"/>
      <c r="X31" s="3081"/>
      <c r="Y31" s="3081"/>
      <c r="Z31" s="3081"/>
    </row>
    <row r="32" spans="1:26" s="2000" customFormat="1" ht="13.5" customHeight="1">
      <c r="A32" s="792" t="s">
        <v>1848</v>
      </c>
      <c r="B32" s="2573"/>
      <c r="C32" s="53">
        <f ca="1">ROUND(C25+D26,4)</f>
        <v>7.3800000000000004E-2</v>
      </c>
      <c r="D32" s="465"/>
      <c r="E32" s="466"/>
      <c r="F32" s="467"/>
      <c r="G32" s="258"/>
      <c r="H32" s="2530"/>
      <c r="I32" s="2530"/>
      <c r="J32" s="2530"/>
      <c r="K32" s="276"/>
      <c r="L32" s="3081"/>
      <c r="M32" s="3081"/>
      <c r="N32" s="3081"/>
      <c r="O32" s="3081"/>
      <c r="P32" s="3081"/>
      <c r="Q32" s="3081"/>
      <c r="R32" s="3081"/>
      <c r="S32" s="3081"/>
      <c r="T32" s="3081"/>
      <c r="U32" s="3081"/>
      <c r="V32" s="3081"/>
      <c r="W32" s="3081"/>
      <c r="X32" s="3081"/>
      <c r="Y32" s="3081"/>
      <c r="Z32" s="3081"/>
    </row>
    <row r="33" spans="1:26" s="2002" customFormat="1" ht="13.5" customHeight="1">
      <c r="A33" s="2745" t="s">
        <v>2788</v>
      </c>
      <c r="B33" s="2743" t="s">
        <v>2786</v>
      </c>
      <c r="C33" s="471">
        <f ca="1">C35</f>
        <v>380</v>
      </c>
      <c r="D33" s="460">
        <f ca="1">C34</f>
        <v>0.10290000000000001</v>
      </c>
      <c r="E33" s="462" t="s">
        <v>489</v>
      </c>
      <c r="F33" s="472">
        <f ca="1">IF(B1="",'数据-取费表'!Q16,INDIRECT("'数据-取费表'!q"&amp;$K$1))</f>
        <v>0.1</v>
      </c>
      <c r="G33" s="2531"/>
      <c r="H33" s="2532"/>
      <c r="I33" s="2532"/>
      <c r="J33" s="2532"/>
      <c r="K33" s="2533"/>
      <c r="L33" s="3083"/>
      <c r="M33" s="3083"/>
      <c r="N33" s="3083"/>
      <c r="O33" s="3083"/>
      <c r="P33" s="3083"/>
      <c r="Q33" s="3083"/>
      <c r="R33" s="3083"/>
      <c r="S33" s="3083"/>
      <c r="T33" s="3083"/>
      <c r="U33" s="3083"/>
      <c r="V33" s="3083"/>
      <c r="W33" s="3083"/>
      <c r="X33" s="3083"/>
      <c r="Y33" s="3083"/>
      <c r="Z33" s="3083"/>
    </row>
    <row r="34" spans="1:26" s="2003" customFormat="1" ht="13.5" customHeight="1">
      <c r="A34" s="368" t="s">
        <v>1847</v>
      </c>
      <c r="B34" s="2578" t="s">
        <v>495</v>
      </c>
      <c r="C34" s="465">
        <f ca="1">ROUND((1+C25)*F33,4)</f>
        <v>0.10290000000000001</v>
      </c>
      <c r="D34" s="465"/>
      <c r="E34" s="466"/>
      <c r="F34" s="473"/>
      <c r="G34" s="258" t="s">
        <v>2275</v>
      </c>
      <c r="H34" s="2530"/>
      <c r="I34" s="2530"/>
      <c r="J34" s="2530"/>
      <c r="K34" s="276"/>
      <c r="L34" s="3084"/>
      <c r="M34" s="3084"/>
      <c r="N34" s="3084"/>
      <c r="O34" s="3084"/>
      <c r="P34" s="3084"/>
      <c r="Q34" s="3084"/>
      <c r="R34" s="3084"/>
      <c r="S34" s="3084"/>
      <c r="T34" s="3084"/>
      <c r="U34" s="3084"/>
      <c r="V34" s="3084"/>
      <c r="W34" s="3084"/>
      <c r="X34" s="3084"/>
      <c r="Y34" s="3084"/>
      <c r="Z34" s="3084"/>
    </row>
    <row r="35" spans="1:26" s="2003" customFormat="1" ht="13.5" customHeight="1" thickBot="1">
      <c r="A35" s="1563" t="s">
        <v>1848</v>
      </c>
      <c r="B35" s="2744" t="s">
        <v>2794</v>
      </c>
      <c r="C35" s="1555">
        <f ca="1">ROUND((C18+C19+C20+C23+C24)*F33,0)</f>
        <v>380</v>
      </c>
      <c r="D35" s="1556"/>
      <c r="E35" s="2579"/>
      <c r="F35" s="1557"/>
      <c r="G35" s="2537"/>
      <c r="H35" s="2538"/>
      <c r="I35" s="2538"/>
      <c r="J35" s="2538"/>
      <c r="K35" s="2539"/>
      <c r="L35" s="3084"/>
      <c r="M35" s="3084"/>
      <c r="N35" s="3084"/>
      <c r="O35" s="3084"/>
      <c r="P35" s="3084"/>
      <c r="Q35" s="3084"/>
      <c r="R35" s="3084"/>
      <c r="S35" s="3084"/>
      <c r="T35" s="3084"/>
      <c r="U35" s="3084"/>
      <c r="V35" s="3084"/>
      <c r="W35" s="3084"/>
      <c r="X35" s="3084"/>
      <c r="Y35" s="3084"/>
      <c r="Z35" s="3084"/>
    </row>
    <row r="36" spans="1:26" s="1965" customFormat="1" ht="13.5" customHeight="1" thickBot="1">
      <c r="A36" s="281" t="s">
        <v>1835</v>
      </c>
      <c r="B36" s="2541"/>
      <c r="C36" s="2580">
        <f ca="1">ROUND((C6-C30-C33)/(1+D30+D33),0)</f>
        <v>1882</v>
      </c>
      <c r="D36" s="2541"/>
      <c r="E36" s="2541"/>
      <c r="F36" s="2541"/>
      <c r="G36" s="2540" t="s">
        <v>2795</v>
      </c>
      <c r="H36" s="2541"/>
      <c r="I36" s="2541"/>
      <c r="J36" s="2541"/>
      <c r="K36" s="2542"/>
      <c r="L36" s="3078"/>
      <c r="M36" s="3078"/>
      <c r="N36" s="3078"/>
      <c r="O36" s="3078"/>
      <c r="P36" s="3078"/>
      <c r="Q36" s="3078"/>
      <c r="R36" s="3078"/>
      <c r="S36" s="3078"/>
      <c r="T36" s="3078"/>
      <c r="U36" s="3078"/>
      <c r="V36" s="3078"/>
      <c r="W36" s="3078"/>
      <c r="X36" s="3078"/>
      <c r="Y36" s="3078"/>
      <c r="Z36" s="3078"/>
    </row>
    <row r="37" spans="1:26" s="1995" customFormat="1">
      <c r="A37" s="3085"/>
      <c r="C37" s="3086"/>
      <c r="E37" s="3085"/>
    </row>
    <row r="38" spans="1:26" s="1995" customFormat="1" ht="12.75" customHeight="1">
      <c r="A38" s="3085"/>
      <c r="C38" s="3086"/>
      <c r="E38" s="3085"/>
    </row>
    <row r="39" spans="1:26" s="1995" customFormat="1">
      <c r="A39" s="3085"/>
      <c r="C39" s="3086"/>
      <c r="E39" s="3085"/>
    </row>
    <row r="40" spans="1:26" s="1995" customFormat="1">
      <c r="A40" s="3085"/>
      <c r="C40" s="3086"/>
      <c r="E40" s="3085"/>
    </row>
    <row r="41" spans="1:26" s="1995" customFormat="1">
      <c r="A41" s="3085"/>
      <c r="C41" s="3086"/>
      <c r="E41" s="3085"/>
    </row>
    <row r="42" spans="1:26" s="1995" customFormat="1">
      <c r="A42" s="3085"/>
      <c r="C42" s="3086"/>
      <c r="E42" s="3085"/>
    </row>
    <row r="43" spans="1:26" s="1995" customFormat="1">
      <c r="A43" s="3085"/>
      <c r="C43" s="3086"/>
      <c r="E43" s="3085"/>
    </row>
    <row r="44" spans="1:26" s="1995" customFormat="1">
      <c r="A44" s="3085"/>
      <c r="C44" s="3086"/>
      <c r="E44" s="3085"/>
    </row>
    <row r="45" spans="1:26" s="1995" customFormat="1">
      <c r="A45" s="3085"/>
      <c r="C45" s="3086"/>
      <c r="E45" s="3085"/>
    </row>
    <row r="46" spans="1:26" s="1995" customFormat="1">
      <c r="A46" s="3085"/>
      <c r="C46" s="3086"/>
      <c r="E46" s="3085"/>
    </row>
    <row r="47" spans="1:26" s="1995" customFormat="1">
      <c r="A47" s="3085"/>
      <c r="C47" s="3086"/>
      <c r="E47" s="3085"/>
    </row>
    <row r="48" spans="1:26" s="1995" customFormat="1">
      <c r="A48" s="3085"/>
      <c r="C48" s="3086"/>
      <c r="E48" s="3085"/>
    </row>
    <row r="49" spans="1:5" s="1995" customFormat="1">
      <c r="A49" s="3085"/>
      <c r="C49" s="3086"/>
      <c r="E49" s="3085"/>
    </row>
    <row r="50" spans="1:5" s="1995" customFormat="1">
      <c r="A50" s="3085"/>
      <c r="C50" s="3086"/>
      <c r="E50" s="3085"/>
    </row>
    <row r="51" spans="1:5" s="1995" customFormat="1">
      <c r="A51" s="3085"/>
      <c r="C51" s="3086"/>
      <c r="E51" s="3085"/>
    </row>
    <row r="52" spans="1:5" s="1995" customFormat="1">
      <c r="A52" s="3085"/>
      <c r="C52" s="3086"/>
      <c r="E52" s="3085"/>
    </row>
    <row r="53" spans="1:5" s="1995" customFormat="1">
      <c r="A53" s="3085"/>
      <c r="C53" s="3086"/>
      <c r="E53" s="3085"/>
    </row>
    <row r="54" spans="1:5" s="1995" customFormat="1">
      <c r="A54" s="3085"/>
      <c r="C54" s="3086"/>
      <c r="E54" s="3085"/>
    </row>
    <row r="55" spans="1:5" s="1995" customFormat="1">
      <c r="A55" s="3085"/>
      <c r="C55" s="3086"/>
      <c r="E55" s="3085"/>
    </row>
    <row r="56" spans="1:5" s="1995" customFormat="1">
      <c r="A56" s="3085"/>
      <c r="C56" s="3086"/>
      <c r="E56" s="3085"/>
    </row>
    <row r="57" spans="1:5" s="1995" customFormat="1">
      <c r="A57" s="3085"/>
      <c r="C57" s="3086"/>
      <c r="E57" s="3085"/>
    </row>
    <row r="58" spans="1:5" s="1995" customFormat="1">
      <c r="A58" s="3085"/>
      <c r="C58" s="3086"/>
      <c r="E58" s="3085"/>
    </row>
    <row r="59" spans="1:5" s="1995" customFormat="1">
      <c r="A59" s="3085"/>
      <c r="C59" s="3086"/>
      <c r="E59" s="3085"/>
    </row>
    <row r="60" spans="1:5" s="1995" customFormat="1">
      <c r="A60" s="3085"/>
      <c r="C60" s="3086"/>
      <c r="E60" s="3085"/>
    </row>
    <row r="61" spans="1:5" s="1995" customFormat="1">
      <c r="A61" s="3085"/>
      <c r="C61" s="3086"/>
      <c r="E61" s="3085"/>
    </row>
    <row r="62" spans="1:5" s="1995" customFormat="1">
      <c r="A62" s="3085"/>
      <c r="C62" s="3086"/>
      <c r="E62" s="3085"/>
    </row>
    <row r="63" spans="1:5" s="1995" customFormat="1">
      <c r="A63" s="3085"/>
      <c r="C63" s="3086"/>
      <c r="E63" s="3085"/>
    </row>
    <row r="64" spans="1:5" s="1995" customFormat="1">
      <c r="A64" s="3085"/>
      <c r="C64" s="3086"/>
      <c r="E64" s="3085"/>
    </row>
    <row r="65" spans="1:5" s="1995" customFormat="1">
      <c r="A65" s="3085"/>
      <c r="C65" s="3086"/>
      <c r="E65" s="3085"/>
    </row>
    <row r="66" spans="1:5" s="1995" customFormat="1">
      <c r="A66" s="3085"/>
      <c r="C66" s="3086"/>
      <c r="E66" s="3085"/>
    </row>
    <row r="67" spans="1:5" s="1995" customFormat="1">
      <c r="A67" s="3085"/>
      <c r="C67" s="3086"/>
      <c r="E67" s="3085"/>
    </row>
    <row r="68" spans="1:5" s="1995" customFormat="1">
      <c r="A68" s="3085"/>
      <c r="C68" s="3086"/>
      <c r="E68" s="3085"/>
    </row>
    <row r="69" spans="1:5" s="1995" customFormat="1">
      <c r="A69" s="3085"/>
      <c r="C69" s="3086"/>
      <c r="E69" s="3085"/>
    </row>
    <row r="70" spans="1:5" s="1995" customFormat="1">
      <c r="A70" s="3085"/>
      <c r="C70" s="3086"/>
      <c r="E70" s="3085"/>
    </row>
    <row r="71" spans="1:5" s="1995" customFormat="1">
      <c r="A71" s="3085"/>
      <c r="C71" s="3086"/>
      <c r="E71" s="3085"/>
    </row>
    <row r="72" spans="1:5" s="1995" customFormat="1">
      <c r="A72" s="3085"/>
      <c r="C72" s="3086"/>
      <c r="E72" s="3085"/>
    </row>
    <row r="73" spans="1:5" s="1995" customFormat="1">
      <c r="A73" s="3085"/>
      <c r="C73" s="3086"/>
      <c r="E73" s="3085"/>
    </row>
    <row r="74" spans="1:5" s="1995" customFormat="1">
      <c r="A74" s="3085"/>
      <c r="C74" s="3086"/>
      <c r="E74" s="3085"/>
    </row>
    <row r="75" spans="1:5" s="1995" customFormat="1">
      <c r="A75" s="3085"/>
      <c r="C75" s="3086"/>
      <c r="E75" s="3085"/>
    </row>
    <row r="76" spans="1:5" s="1995" customFormat="1">
      <c r="A76" s="3085"/>
      <c r="C76" s="3086"/>
      <c r="E76" s="3085"/>
    </row>
    <row r="77" spans="1:5" s="1995" customFormat="1">
      <c r="A77" s="3085"/>
      <c r="C77" s="3086"/>
      <c r="E77" s="3085"/>
    </row>
    <row r="78" spans="1:5" s="1995" customFormat="1">
      <c r="A78" s="3085"/>
      <c r="C78" s="3086"/>
      <c r="E78" s="3085"/>
    </row>
    <row r="79" spans="1:5" s="1995" customFormat="1">
      <c r="A79" s="3085"/>
      <c r="C79" s="3086"/>
      <c r="E79" s="3085"/>
    </row>
    <row r="80" spans="1:5" s="1995" customFormat="1">
      <c r="A80" s="3085"/>
      <c r="C80" s="3086"/>
      <c r="E80" s="3085"/>
    </row>
    <row r="81" spans="1:5" s="1995" customFormat="1">
      <c r="A81" s="3085"/>
      <c r="C81" s="3086"/>
      <c r="E81" s="3085"/>
    </row>
    <row r="82" spans="1:5" s="1995" customFormat="1">
      <c r="A82" s="3085"/>
      <c r="C82" s="3086"/>
      <c r="E82" s="3085"/>
    </row>
    <row r="83" spans="1:5" s="1995" customFormat="1">
      <c r="A83" s="3085"/>
      <c r="C83" s="3086"/>
      <c r="E83" s="3085"/>
    </row>
    <row r="84" spans="1:5" s="1995" customFormat="1">
      <c r="A84" s="3085"/>
      <c r="C84" s="3086"/>
      <c r="E84" s="3085"/>
    </row>
    <row r="85" spans="1:5" s="1995" customFormat="1">
      <c r="A85" s="3085"/>
      <c r="C85" s="3086"/>
      <c r="E85" s="3085"/>
    </row>
    <row r="86" spans="1:5" s="1995" customFormat="1">
      <c r="A86" s="3085"/>
      <c r="C86" s="3086"/>
      <c r="E86" s="3085"/>
    </row>
    <row r="87" spans="1:5" s="1995" customFormat="1">
      <c r="A87" s="3085"/>
      <c r="C87" s="3086"/>
      <c r="E87" s="3085"/>
    </row>
    <row r="88" spans="1:5" s="1995" customFormat="1">
      <c r="A88" s="3085"/>
      <c r="C88" s="3086"/>
      <c r="E88" s="3085"/>
    </row>
    <row r="89" spans="1:5" s="1995" customFormat="1">
      <c r="A89" s="3085"/>
      <c r="C89" s="3086"/>
      <c r="E89" s="3085"/>
    </row>
    <row r="90" spans="1:5" s="1995" customFormat="1">
      <c r="A90" s="3085"/>
      <c r="C90" s="3086"/>
      <c r="E90" s="3085"/>
    </row>
    <row r="91" spans="1:5" s="1995" customFormat="1">
      <c r="A91" s="3085"/>
      <c r="C91" s="3086"/>
      <c r="E91" s="3085"/>
    </row>
    <row r="92" spans="1:5" s="1995" customFormat="1">
      <c r="A92" s="3085"/>
      <c r="C92" s="3086"/>
      <c r="E92" s="3085"/>
    </row>
    <row r="93" spans="1:5" s="1995" customFormat="1">
      <c r="A93" s="3085"/>
      <c r="C93" s="3086"/>
      <c r="E93" s="3085"/>
    </row>
    <row r="94" spans="1:5" s="1995" customFormat="1">
      <c r="A94" s="3085"/>
      <c r="C94" s="3086"/>
      <c r="E94" s="3085"/>
    </row>
    <row r="95" spans="1:5" s="1995" customFormat="1">
      <c r="A95" s="3085"/>
      <c r="C95" s="3086"/>
      <c r="E95" s="3085"/>
    </row>
    <row r="96" spans="1:5" s="1995" customFormat="1">
      <c r="A96" s="3085"/>
      <c r="C96" s="3086"/>
      <c r="E96" s="3085"/>
    </row>
    <row r="97" spans="1:5" s="1995" customFormat="1">
      <c r="A97" s="3085"/>
      <c r="C97" s="3086"/>
      <c r="E97" s="3085"/>
    </row>
    <row r="98" spans="1:5" s="1995" customFormat="1">
      <c r="A98" s="3085"/>
      <c r="C98" s="3086"/>
      <c r="E98" s="3085"/>
    </row>
    <row r="99" spans="1:5" s="1995" customFormat="1">
      <c r="A99" s="3085"/>
      <c r="C99" s="3086"/>
      <c r="E99" s="3085"/>
    </row>
    <row r="100" spans="1:5" s="1995" customFormat="1">
      <c r="A100" s="3085"/>
      <c r="C100" s="3086"/>
      <c r="E100" s="3085"/>
    </row>
    <row r="101" spans="1:5" s="1995" customFormat="1">
      <c r="A101" s="3085"/>
      <c r="C101" s="3086"/>
      <c r="E101" s="3085"/>
    </row>
    <row r="102" spans="1:5" s="1995" customFormat="1">
      <c r="A102" s="3085"/>
      <c r="C102" s="3086"/>
      <c r="E102" s="3085"/>
    </row>
    <row r="103" spans="1:5" s="1995" customFormat="1">
      <c r="A103" s="3085"/>
      <c r="C103" s="3086"/>
      <c r="E103" s="3085"/>
    </row>
    <row r="104" spans="1:5" s="1995" customFormat="1">
      <c r="A104" s="3085"/>
      <c r="C104" s="3086"/>
      <c r="E104" s="3085"/>
    </row>
    <row r="105" spans="1:5" s="1995" customFormat="1">
      <c r="A105" s="3085"/>
      <c r="C105" s="3086"/>
      <c r="E105" s="3085"/>
    </row>
    <row r="106" spans="1:5" s="1995" customFormat="1">
      <c r="A106" s="3085"/>
      <c r="C106" s="3086"/>
      <c r="E106" s="3085"/>
    </row>
    <row r="107" spans="1:5" s="1995" customFormat="1">
      <c r="A107" s="3085"/>
      <c r="C107" s="3086"/>
      <c r="E107" s="3085"/>
    </row>
    <row r="108" spans="1:5" s="1995" customFormat="1">
      <c r="A108" s="3085"/>
      <c r="C108" s="3086"/>
      <c r="E108" s="3085"/>
    </row>
    <row r="109" spans="1:5" s="1995" customFormat="1">
      <c r="A109" s="3085"/>
      <c r="C109" s="3086"/>
      <c r="E109" s="3085"/>
    </row>
    <row r="110" spans="1:5" s="1995" customFormat="1">
      <c r="A110" s="3085"/>
      <c r="C110" s="3086"/>
      <c r="E110" s="3085"/>
    </row>
    <row r="111" spans="1:5" s="1995" customFormat="1">
      <c r="A111" s="3085"/>
      <c r="C111" s="3086"/>
      <c r="E111" s="3085"/>
    </row>
    <row r="112" spans="1:5" s="1995" customFormat="1">
      <c r="A112" s="3085"/>
      <c r="C112" s="3086"/>
      <c r="E112" s="3085"/>
    </row>
    <row r="113" spans="1:5" s="1995" customFormat="1">
      <c r="A113" s="3085"/>
      <c r="C113" s="3086"/>
      <c r="E113" s="3085"/>
    </row>
    <row r="114" spans="1:5" s="1995" customFormat="1">
      <c r="A114" s="3085"/>
      <c r="C114" s="3086"/>
      <c r="E114" s="3085"/>
    </row>
    <row r="115" spans="1:5" s="1995" customFormat="1">
      <c r="A115" s="3085"/>
      <c r="C115" s="3086"/>
      <c r="E115" s="3085"/>
    </row>
    <row r="116" spans="1:5" s="1995" customFormat="1">
      <c r="A116" s="3085"/>
      <c r="C116" s="3086"/>
      <c r="E116" s="3085"/>
    </row>
    <row r="117" spans="1:5" s="1995" customFormat="1">
      <c r="A117" s="3085"/>
      <c r="C117" s="3086"/>
      <c r="E117" s="3085"/>
    </row>
    <row r="118" spans="1:5" s="1995" customFormat="1">
      <c r="A118" s="3085"/>
      <c r="C118" s="3086"/>
      <c r="E118" s="3085"/>
    </row>
    <row r="119" spans="1:5" s="1995" customFormat="1">
      <c r="A119" s="3085"/>
      <c r="C119" s="3086"/>
      <c r="E119" s="3085"/>
    </row>
    <row r="120" spans="1:5" s="1995" customFormat="1">
      <c r="A120" s="3085"/>
      <c r="C120" s="3086"/>
      <c r="E120" s="3085"/>
    </row>
    <row r="121" spans="1:5" s="1995" customFormat="1">
      <c r="A121" s="3085"/>
      <c r="C121" s="3086"/>
      <c r="E121" s="3085"/>
    </row>
    <row r="122" spans="1:5" s="1995" customFormat="1">
      <c r="A122" s="3085"/>
      <c r="C122" s="3086"/>
      <c r="E122" s="3085"/>
    </row>
    <row r="123" spans="1:5" s="1995" customFormat="1">
      <c r="A123" s="3085"/>
      <c r="C123" s="3086"/>
      <c r="E123" s="3085"/>
    </row>
    <row r="124" spans="1:5" s="1995" customFormat="1">
      <c r="A124" s="3085"/>
      <c r="C124" s="3086"/>
      <c r="E124" s="3085"/>
    </row>
    <row r="125" spans="1:5" s="1995" customFormat="1">
      <c r="A125" s="3085"/>
      <c r="C125" s="3086"/>
      <c r="E125" s="3085"/>
    </row>
    <row r="126" spans="1:5" s="1995" customFormat="1">
      <c r="A126" s="3085"/>
      <c r="C126" s="3086"/>
      <c r="E126" s="3085"/>
    </row>
    <row r="127" spans="1:5" s="1995" customFormat="1">
      <c r="A127" s="3085"/>
      <c r="C127" s="3086"/>
      <c r="E127" s="3085"/>
    </row>
    <row r="128" spans="1:5" s="1995" customFormat="1">
      <c r="A128" s="3085"/>
      <c r="C128" s="3086"/>
      <c r="E128" s="3085"/>
    </row>
    <row r="129" spans="1:5" s="1995" customFormat="1">
      <c r="A129" s="3085"/>
      <c r="C129" s="3086"/>
      <c r="E129" s="3085"/>
    </row>
    <row r="130" spans="1:5" s="1995" customFormat="1">
      <c r="A130" s="3085"/>
      <c r="C130" s="3086"/>
      <c r="E130" s="3085"/>
    </row>
    <row r="131" spans="1:5" s="1995" customFormat="1">
      <c r="A131" s="3085"/>
      <c r="C131" s="3086"/>
      <c r="E131" s="3085"/>
    </row>
    <row r="132" spans="1:5" s="1995" customFormat="1">
      <c r="A132" s="3085"/>
      <c r="C132" s="3086"/>
      <c r="E132" s="3085"/>
    </row>
    <row r="133" spans="1:5" s="1995" customFormat="1">
      <c r="A133" s="3085"/>
      <c r="C133" s="3086"/>
      <c r="E133" s="3085"/>
    </row>
    <row r="134" spans="1:5" s="1995" customFormat="1">
      <c r="A134" s="3085"/>
      <c r="C134" s="3086"/>
      <c r="E134" s="3085"/>
    </row>
    <row r="135" spans="1:5" s="1995" customFormat="1">
      <c r="A135" s="3085"/>
      <c r="C135" s="3086"/>
      <c r="E135" s="3085"/>
    </row>
    <row r="136" spans="1:5" s="1995" customFormat="1">
      <c r="A136" s="3085"/>
      <c r="C136" s="3086"/>
      <c r="E136" s="3085"/>
    </row>
    <row r="137" spans="1:5" s="1995" customFormat="1">
      <c r="A137" s="3085"/>
      <c r="C137" s="3086"/>
      <c r="E137" s="3085"/>
    </row>
    <row r="138" spans="1:5" s="1995" customFormat="1">
      <c r="A138" s="3085"/>
      <c r="C138" s="3086"/>
      <c r="E138" s="3085"/>
    </row>
    <row r="139" spans="1:5" s="1995" customFormat="1">
      <c r="A139" s="3085"/>
      <c r="C139" s="3086"/>
      <c r="E139" s="3085"/>
    </row>
    <row r="140" spans="1:5" s="1995" customFormat="1">
      <c r="A140" s="3085"/>
      <c r="C140" s="3086"/>
      <c r="E140" s="3085"/>
    </row>
    <row r="141" spans="1:5" s="1995" customFormat="1">
      <c r="A141" s="3085"/>
      <c r="C141" s="3086"/>
      <c r="E141" s="3085"/>
    </row>
    <row r="142" spans="1:5" s="1995" customFormat="1">
      <c r="A142" s="3085"/>
      <c r="C142" s="3086"/>
      <c r="E142" s="3085"/>
    </row>
    <row r="143" spans="1:5" s="1995" customFormat="1">
      <c r="A143" s="3085"/>
      <c r="C143" s="3086"/>
      <c r="E143" s="3085"/>
    </row>
    <row r="144" spans="1:5" s="1995" customFormat="1">
      <c r="A144" s="3085"/>
      <c r="C144" s="3086"/>
      <c r="E144" s="3085"/>
    </row>
    <row r="145" spans="1:5" s="1995" customFormat="1">
      <c r="A145" s="3085"/>
      <c r="C145" s="3086"/>
      <c r="E145" s="3085"/>
    </row>
    <row r="146" spans="1:5" s="1995" customFormat="1">
      <c r="A146" s="3085"/>
      <c r="C146" s="3086"/>
      <c r="E146" s="3085"/>
    </row>
    <row r="147" spans="1:5" s="1995" customFormat="1">
      <c r="A147" s="3085"/>
      <c r="C147" s="3086"/>
      <c r="E147" s="3085"/>
    </row>
    <row r="148" spans="1:5" s="1995" customFormat="1">
      <c r="A148" s="3085"/>
      <c r="C148" s="3086"/>
      <c r="E148" s="3085"/>
    </row>
    <row r="149" spans="1:5" s="1995" customFormat="1">
      <c r="A149" s="3085"/>
      <c r="C149" s="3086"/>
      <c r="E149" s="3085"/>
    </row>
    <row r="150" spans="1:5" s="1995" customFormat="1">
      <c r="A150" s="3085"/>
      <c r="C150" s="3086"/>
      <c r="E150" s="3085"/>
    </row>
    <row r="151" spans="1:5" s="1995" customFormat="1">
      <c r="A151" s="3085"/>
      <c r="C151" s="3086"/>
      <c r="E151" s="3085"/>
    </row>
    <row r="152" spans="1:5" s="1995" customFormat="1">
      <c r="A152" s="3085"/>
      <c r="C152" s="3086"/>
      <c r="E152" s="3085"/>
    </row>
    <row r="153" spans="1:5" s="1995" customFormat="1">
      <c r="A153" s="3085"/>
      <c r="C153" s="3086"/>
      <c r="E153" s="3085"/>
    </row>
    <row r="154" spans="1:5" s="1995" customFormat="1">
      <c r="A154" s="3085"/>
      <c r="C154" s="3086"/>
      <c r="E154" s="3085"/>
    </row>
    <row r="155" spans="1:5" s="1995" customFormat="1">
      <c r="A155" s="3085"/>
      <c r="C155" s="3086"/>
      <c r="E155" s="3085"/>
    </row>
    <row r="156" spans="1:5" s="1995" customFormat="1">
      <c r="A156" s="3085"/>
      <c r="C156" s="3086"/>
      <c r="E156" s="3085"/>
    </row>
    <row r="157" spans="1:5" s="1995" customFormat="1">
      <c r="A157" s="3085"/>
      <c r="C157" s="3086"/>
      <c r="E157" s="3085"/>
    </row>
    <row r="158" spans="1:5" s="1995" customFormat="1">
      <c r="A158" s="3085"/>
      <c r="C158" s="3086"/>
      <c r="E158" s="3085"/>
    </row>
    <row r="159" spans="1:5" s="1995" customFormat="1">
      <c r="A159" s="3085"/>
      <c r="C159" s="3086"/>
      <c r="E159" s="3085"/>
    </row>
    <row r="160" spans="1:5" s="1995" customFormat="1">
      <c r="A160" s="3085"/>
      <c r="C160" s="3086"/>
      <c r="E160" s="3085"/>
    </row>
    <row r="161" spans="1:5" s="1995" customFormat="1">
      <c r="A161" s="3085"/>
      <c r="C161" s="3086"/>
      <c r="E161" s="3085"/>
    </row>
    <row r="162" spans="1:5" s="1995" customFormat="1">
      <c r="A162" s="3085"/>
      <c r="C162" s="3086"/>
      <c r="E162" s="3085"/>
    </row>
    <row r="163" spans="1:5" s="1995" customFormat="1">
      <c r="A163" s="3085"/>
      <c r="C163" s="3086"/>
      <c r="E163" s="3085"/>
    </row>
    <row r="164" spans="1:5" s="1995" customFormat="1">
      <c r="A164" s="3085"/>
      <c r="C164" s="3086"/>
      <c r="E164" s="3085"/>
    </row>
    <row r="165" spans="1:5" s="1995" customFormat="1">
      <c r="A165" s="3085"/>
      <c r="C165" s="3086"/>
      <c r="E165" s="3085"/>
    </row>
    <row r="166" spans="1:5" s="1995" customFormat="1">
      <c r="A166" s="3085"/>
      <c r="C166" s="3086"/>
      <c r="E166" s="3085"/>
    </row>
    <row r="167" spans="1:5" s="1995" customFormat="1">
      <c r="A167" s="3085"/>
      <c r="C167" s="3086"/>
      <c r="E167" s="3085"/>
    </row>
    <row r="168" spans="1:5" s="1995" customFormat="1">
      <c r="A168" s="3085"/>
      <c r="C168" s="3086"/>
      <c r="E168" s="3085"/>
    </row>
    <row r="169" spans="1:5" s="1995" customFormat="1">
      <c r="A169" s="3085"/>
      <c r="C169" s="3086"/>
      <c r="E169" s="3085"/>
    </row>
    <row r="170" spans="1:5" s="1995" customFormat="1">
      <c r="A170" s="3085"/>
      <c r="C170" s="3086"/>
      <c r="E170" s="3085"/>
    </row>
    <row r="171" spans="1:5" s="1995" customFormat="1">
      <c r="A171" s="3085"/>
      <c r="C171" s="3086"/>
      <c r="E171" s="3085"/>
    </row>
    <row r="172" spans="1:5" s="1995" customFormat="1">
      <c r="A172" s="3085"/>
      <c r="C172" s="3086"/>
      <c r="E172" s="3085"/>
    </row>
    <row r="173" spans="1:5" s="1995" customFormat="1">
      <c r="A173" s="3085"/>
      <c r="C173" s="3086"/>
      <c r="E173" s="3085"/>
    </row>
    <row r="174" spans="1:5" s="1995" customFormat="1">
      <c r="A174" s="3085"/>
      <c r="C174" s="3086"/>
      <c r="E174" s="3085"/>
    </row>
    <row r="175" spans="1:5" s="1995" customFormat="1">
      <c r="A175" s="3085"/>
      <c r="C175" s="3086"/>
      <c r="E175" s="3085"/>
    </row>
    <row r="176" spans="1:5" s="1995" customFormat="1">
      <c r="A176" s="3085"/>
      <c r="C176" s="3086"/>
      <c r="E176" s="3085"/>
    </row>
    <row r="177" spans="1:5" s="1995" customFormat="1">
      <c r="A177" s="3085"/>
      <c r="C177" s="3086"/>
      <c r="E177" s="3085"/>
    </row>
    <row r="178" spans="1:5" s="1995" customFormat="1">
      <c r="A178" s="3085"/>
      <c r="C178" s="3086"/>
      <c r="E178" s="3085"/>
    </row>
    <row r="179" spans="1:5" s="1995" customFormat="1">
      <c r="A179" s="3085"/>
      <c r="C179" s="3086"/>
      <c r="E179" s="3085"/>
    </row>
    <row r="180" spans="1:5" s="1995" customFormat="1">
      <c r="A180" s="3085"/>
      <c r="C180" s="3086"/>
      <c r="E180" s="3085"/>
    </row>
    <row r="181" spans="1:5" s="1995" customFormat="1">
      <c r="A181" s="3085"/>
      <c r="C181" s="3086"/>
      <c r="E181" s="3085"/>
    </row>
    <row r="182" spans="1:5" s="1995" customFormat="1">
      <c r="A182" s="3085"/>
      <c r="C182" s="3086"/>
      <c r="E182" s="3085"/>
    </row>
    <row r="183" spans="1:5" s="1995" customFormat="1">
      <c r="A183" s="3085"/>
      <c r="C183" s="3086"/>
      <c r="E183" s="3085"/>
    </row>
    <row r="184" spans="1:5" s="1995" customFormat="1">
      <c r="A184" s="3085"/>
      <c r="C184" s="3086"/>
      <c r="E184" s="3085"/>
    </row>
    <row r="185" spans="1:5" s="1995" customFormat="1">
      <c r="A185" s="3085"/>
      <c r="C185" s="3086"/>
      <c r="E185" s="3085"/>
    </row>
    <row r="186" spans="1:5" s="1995" customFormat="1">
      <c r="A186" s="3085"/>
      <c r="C186" s="3086"/>
      <c r="E186" s="3085"/>
    </row>
    <row r="187" spans="1:5" s="1995" customFormat="1">
      <c r="A187" s="3085"/>
      <c r="C187" s="3086"/>
      <c r="E187" s="3085"/>
    </row>
    <row r="188" spans="1:5" s="1995" customFormat="1">
      <c r="A188" s="3085"/>
      <c r="C188" s="3086"/>
      <c r="E188" s="3085"/>
    </row>
    <row r="189" spans="1:5" s="1995" customFormat="1">
      <c r="A189" s="3085"/>
      <c r="C189" s="3086"/>
      <c r="E189" s="3085"/>
    </row>
    <row r="190" spans="1:5" s="1995" customFormat="1">
      <c r="A190" s="3085"/>
      <c r="C190" s="3086"/>
      <c r="E190" s="3085"/>
    </row>
    <row r="191" spans="1:5" s="1995" customFormat="1">
      <c r="A191" s="3085"/>
      <c r="C191" s="3086"/>
      <c r="E191" s="3085"/>
    </row>
    <row r="192" spans="1:5" s="1995" customFormat="1">
      <c r="A192" s="3085"/>
      <c r="C192" s="3086"/>
      <c r="E192" s="3085"/>
    </row>
    <row r="193" spans="1:5" s="1995" customFormat="1">
      <c r="A193" s="3085"/>
      <c r="C193" s="3086"/>
      <c r="E193" s="3085"/>
    </row>
    <row r="194" spans="1:5" s="1995" customFormat="1">
      <c r="A194" s="3085"/>
      <c r="C194" s="3086"/>
      <c r="E194" s="3085"/>
    </row>
    <row r="195" spans="1:5" s="1995" customFormat="1">
      <c r="A195" s="3085"/>
      <c r="C195" s="3086"/>
      <c r="E195" s="3085"/>
    </row>
    <row r="196" spans="1:5" s="1995" customFormat="1">
      <c r="A196" s="3085"/>
      <c r="C196" s="3086"/>
      <c r="E196" s="3085"/>
    </row>
    <row r="197" spans="1:5" s="1995" customFormat="1">
      <c r="A197" s="3085"/>
      <c r="C197" s="3086"/>
      <c r="E197" s="3085"/>
    </row>
    <row r="198" spans="1:5" s="1995" customFormat="1">
      <c r="A198" s="3085"/>
      <c r="C198" s="3086"/>
      <c r="E198" s="3085"/>
    </row>
    <row r="199" spans="1:5" s="1995" customFormat="1">
      <c r="A199" s="3085"/>
      <c r="C199" s="3086"/>
      <c r="E199" s="3085"/>
    </row>
    <row r="200" spans="1:5" s="1995" customFormat="1">
      <c r="A200" s="3085"/>
      <c r="C200" s="3086"/>
      <c r="E200" s="3085"/>
    </row>
    <row r="201" spans="1:5" s="1995" customFormat="1">
      <c r="A201" s="3085"/>
      <c r="C201" s="3086"/>
      <c r="E201" s="3085"/>
    </row>
    <row r="202" spans="1:5" s="1995" customFormat="1">
      <c r="A202" s="3085"/>
      <c r="C202" s="3086"/>
      <c r="E202" s="3085"/>
    </row>
    <row r="203" spans="1:5" s="1995" customFormat="1">
      <c r="A203" s="3085"/>
      <c r="C203" s="3086"/>
      <c r="E203" s="3085"/>
    </row>
    <row r="204" spans="1:5" s="1995" customFormat="1">
      <c r="A204" s="3085"/>
      <c r="C204" s="3086"/>
      <c r="E204" s="3085"/>
    </row>
    <row r="205" spans="1:5" s="1995" customFormat="1">
      <c r="A205" s="3085"/>
      <c r="C205" s="3086"/>
      <c r="E205" s="3085"/>
    </row>
    <row r="206" spans="1:5" s="1995" customFormat="1">
      <c r="A206" s="3085"/>
      <c r="C206" s="3086"/>
      <c r="E206" s="3085"/>
    </row>
    <row r="207" spans="1:5" s="1995" customFormat="1">
      <c r="A207" s="3085"/>
      <c r="C207" s="3086"/>
      <c r="E207" s="3085"/>
    </row>
    <row r="208" spans="1:5" s="1995" customFormat="1">
      <c r="A208" s="3085"/>
      <c r="C208" s="3086"/>
      <c r="E208" s="3085"/>
    </row>
    <row r="209" spans="1:5" s="1995" customFormat="1">
      <c r="A209" s="3085"/>
      <c r="C209" s="3086"/>
      <c r="E209" s="3085"/>
    </row>
    <row r="210" spans="1:5" s="1995" customFormat="1">
      <c r="A210" s="3085"/>
      <c r="C210" s="3086"/>
      <c r="E210" s="3085"/>
    </row>
    <row r="211" spans="1:5" s="1995" customFormat="1">
      <c r="A211" s="3085"/>
      <c r="C211" s="3086"/>
      <c r="E211" s="3085"/>
    </row>
    <row r="212" spans="1:5" s="1995" customFormat="1">
      <c r="A212" s="3085"/>
      <c r="C212" s="3086"/>
      <c r="E212" s="3085"/>
    </row>
    <row r="213" spans="1:5" s="1995" customFormat="1">
      <c r="A213" s="3085"/>
      <c r="C213" s="3086"/>
      <c r="E213" s="3085"/>
    </row>
    <row r="214" spans="1:5" s="1995" customFormat="1">
      <c r="A214" s="3085"/>
      <c r="C214" s="3086"/>
      <c r="E214" s="3085"/>
    </row>
    <row r="215" spans="1:5" s="1995" customFormat="1">
      <c r="A215" s="3085"/>
      <c r="C215" s="3086"/>
      <c r="E215" s="3085"/>
    </row>
    <row r="216" spans="1:5" s="1995" customFormat="1">
      <c r="A216" s="3085"/>
      <c r="C216" s="3086"/>
      <c r="E216" s="3085"/>
    </row>
    <row r="217" spans="1:5" s="1995" customFormat="1">
      <c r="A217" s="3085"/>
      <c r="C217" s="3086"/>
      <c r="E217" s="3085"/>
    </row>
    <row r="218" spans="1:5" s="1995" customFormat="1">
      <c r="A218" s="3085"/>
      <c r="C218" s="3086"/>
      <c r="E218" s="3085"/>
    </row>
    <row r="219" spans="1:5" s="1995" customFormat="1">
      <c r="A219" s="3085"/>
      <c r="C219" s="3086"/>
      <c r="E219" s="3085"/>
    </row>
    <row r="220" spans="1:5" s="1995" customFormat="1">
      <c r="A220" s="3085"/>
      <c r="C220" s="3086"/>
      <c r="E220" s="3085"/>
    </row>
    <row r="221" spans="1:5" s="1995" customFormat="1">
      <c r="A221" s="3085"/>
      <c r="C221" s="3086"/>
      <c r="E221" s="3085"/>
    </row>
    <row r="222" spans="1:5" s="1995" customFormat="1">
      <c r="A222" s="3085"/>
      <c r="C222" s="3086"/>
      <c r="E222" s="3085"/>
    </row>
    <row r="223" spans="1:5" s="1995" customFormat="1">
      <c r="A223" s="3085"/>
      <c r="C223" s="3086"/>
      <c r="E223" s="3085"/>
    </row>
    <row r="224" spans="1:5" s="1995" customFormat="1">
      <c r="A224" s="3085"/>
      <c r="C224" s="3086"/>
      <c r="E224" s="3085"/>
    </row>
    <row r="225" spans="1:5" s="1995" customFormat="1">
      <c r="A225" s="3085"/>
      <c r="C225" s="3086"/>
      <c r="E225" s="3085"/>
    </row>
    <row r="226" spans="1:5" s="1995" customFormat="1">
      <c r="A226" s="3085"/>
      <c r="C226" s="3086"/>
      <c r="E226" s="3085"/>
    </row>
    <row r="227" spans="1:5" s="1995" customFormat="1">
      <c r="A227" s="3085"/>
      <c r="C227" s="3086"/>
      <c r="E227" s="3085"/>
    </row>
    <row r="228" spans="1:5" s="1995" customFormat="1">
      <c r="A228" s="3085"/>
      <c r="C228" s="3086"/>
      <c r="E228" s="3085"/>
    </row>
    <row r="229" spans="1:5" s="1995" customFormat="1">
      <c r="A229" s="3085"/>
      <c r="C229" s="3086"/>
      <c r="E229" s="3085"/>
    </row>
    <row r="230" spans="1:5" s="1995" customFormat="1">
      <c r="A230" s="3085"/>
      <c r="C230" s="3086"/>
      <c r="E230" s="3085"/>
    </row>
    <row r="231" spans="1:5" s="1995" customFormat="1">
      <c r="A231" s="3085"/>
      <c r="C231" s="3086"/>
      <c r="E231" s="3085"/>
    </row>
    <row r="232" spans="1:5" s="1995" customFormat="1">
      <c r="A232" s="3085"/>
      <c r="C232" s="3086"/>
      <c r="E232" s="3085"/>
    </row>
    <row r="233" spans="1:5" s="1995" customFormat="1">
      <c r="A233" s="3085"/>
      <c r="C233" s="3086"/>
      <c r="E233" s="3085"/>
    </row>
    <row r="234" spans="1:5" s="1995" customFormat="1">
      <c r="A234" s="3085"/>
      <c r="C234" s="3086"/>
      <c r="E234" s="3085"/>
    </row>
    <row r="235" spans="1:5" s="1995" customFormat="1">
      <c r="A235" s="3085"/>
      <c r="C235" s="3086"/>
      <c r="E235" s="3085"/>
    </row>
    <row r="236" spans="1:5" s="1995" customFormat="1">
      <c r="A236" s="3085"/>
      <c r="C236" s="3086"/>
      <c r="E236" s="3085"/>
    </row>
    <row r="237" spans="1:5" s="1995" customFormat="1">
      <c r="A237" s="3085"/>
      <c r="C237" s="3086"/>
      <c r="E237" s="3085"/>
    </row>
    <row r="238" spans="1:5" s="1995" customFormat="1">
      <c r="A238" s="3085"/>
      <c r="C238" s="3086"/>
      <c r="E238" s="3085"/>
    </row>
    <row r="239" spans="1:5" s="1995" customFormat="1">
      <c r="A239" s="3085"/>
      <c r="C239" s="3086"/>
      <c r="E239" s="3085"/>
    </row>
    <row r="240" spans="1:5" s="1995" customFormat="1">
      <c r="A240" s="3085"/>
      <c r="C240" s="3086"/>
      <c r="E240" s="3085"/>
    </row>
    <row r="241" spans="1:5" s="1995" customFormat="1">
      <c r="A241" s="3085"/>
      <c r="C241" s="3086"/>
      <c r="E241" s="3085"/>
    </row>
    <row r="242" spans="1:5" s="1995" customFormat="1">
      <c r="A242" s="3085"/>
      <c r="C242" s="3086"/>
      <c r="E242" s="3085"/>
    </row>
    <row r="243" spans="1:5" s="1995" customFormat="1">
      <c r="A243" s="3085"/>
      <c r="C243" s="3086"/>
      <c r="E243" s="3085"/>
    </row>
    <row r="244" spans="1:5" s="1995" customFormat="1">
      <c r="A244" s="3085"/>
      <c r="C244" s="3086"/>
      <c r="E244" s="3085"/>
    </row>
    <row r="245" spans="1:5" s="1995" customFormat="1">
      <c r="A245" s="3085"/>
      <c r="C245" s="3086"/>
      <c r="E245" s="3085"/>
    </row>
    <row r="246" spans="1:5" s="1995" customFormat="1">
      <c r="A246" s="3085"/>
      <c r="C246" s="3086"/>
      <c r="E246" s="3085"/>
    </row>
    <row r="247" spans="1:5" s="1995" customFormat="1">
      <c r="A247" s="3085"/>
      <c r="C247" s="3086"/>
      <c r="E247" s="3085"/>
    </row>
    <row r="248" spans="1:5" s="1995" customFormat="1">
      <c r="A248" s="3085"/>
      <c r="C248" s="3086"/>
      <c r="E248" s="3085"/>
    </row>
    <row r="249" spans="1:5" s="1995" customFormat="1">
      <c r="A249" s="3085"/>
      <c r="C249" s="3086"/>
      <c r="E249" s="3085"/>
    </row>
    <row r="250" spans="1:5" s="1995" customFormat="1">
      <c r="A250" s="3085"/>
      <c r="C250" s="3086"/>
      <c r="E250" s="3085"/>
    </row>
    <row r="251" spans="1:5" s="1995" customFormat="1">
      <c r="A251" s="3085"/>
      <c r="C251" s="3086"/>
      <c r="E251" s="3085"/>
    </row>
    <row r="252" spans="1:5" s="1995" customFormat="1">
      <c r="A252" s="3085"/>
      <c r="C252" s="3086"/>
      <c r="E252" s="3085"/>
    </row>
    <row r="253" spans="1:5" s="1995" customFormat="1">
      <c r="A253" s="3085"/>
      <c r="C253" s="3086"/>
      <c r="E253" s="3085"/>
    </row>
    <row r="254" spans="1:5" s="1995" customFormat="1">
      <c r="A254" s="3085"/>
      <c r="C254" s="3086"/>
      <c r="E254" s="3085"/>
    </row>
    <row r="255" spans="1:5" s="1995" customFormat="1">
      <c r="A255" s="3085"/>
      <c r="C255" s="3086"/>
      <c r="E255" s="3085"/>
    </row>
    <row r="256" spans="1:5" s="1995" customFormat="1">
      <c r="A256" s="3085"/>
      <c r="C256" s="3086"/>
      <c r="E256" s="3085"/>
    </row>
    <row r="257" spans="1:5" s="1995" customFormat="1">
      <c r="A257" s="3085"/>
      <c r="C257" s="3086"/>
      <c r="E257" s="3085"/>
    </row>
    <row r="258" spans="1:5" s="1995" customFormat="1">
      <c r="A258" s="3085"/>
      <c r="C258" s="3086"/>
      <c r="E258" s="3085"/>
    </row>
    <row r="259" spans="1:5" s="1995" customFormat="1">
      <c r="A259" s="3085"/>
      <c r="C259" s="3086"/>
      <c r="E259" s="3085"/>
    </row>
    <row r="260" spans="1:5" s="1995" customFormat="1">
      <c r="A260" s="3085"/>
      <c r="C260" s="3086"/>
      <c r="E260" s="3085"/>
    </row>
    <row r="261" spans="1:5" s="1995" customFormat="1">
      <c r="A261" s="3085"/>
      <c r="C261" s="3086"/>
      <c r="E261" s="3085"/>
    </row>
    <row r="262" spans="1:5" s="1995" customFormat="1">
      <c r="A262" s="3085"/>
      <c r="C262" s="3086"/>
      <c r="E262" s="3085"/>
    </row>
    <row r="263" spans="1:5" s="1995" customFormat="1">
      <c r="A263" s="3085"/>
      <c r="C263" s="3086"/>
      <c r="E263" s="3085"/>
    </row>
    <row r="264" spans="1:5" s="1995" customFormat="1">
      <c r="A264" s="3085"/>
      <c r="C264" s="3086"/>
      <c r="E264" s="3085"/>
    </row>
    <row r="265" spans="1:5" s="1995" customFormat="1">
      <c r="A265" s="3085"/>
      <c r="C265" s="3086"/>
      <c r="E265" s="3085"/>
    </row>
    <row r="266" spans="1:5" s="1995" customFormat="1">
      <c r="A266" s="3085"/>
      <c r="C266" s="3086"/>
      <c r="E266" s="3085"/>
    </row>
    <row r="267" spans="1:5" s="1995" customFormat="1">
      <c r="A267" s="3085"/>
      <c r="C267" s="3086"/>
      <c r="E267" s="3085"/>
    </row>
    <row r="268" spans="1:5" s="1995" customFormat="1">
      <c r="A268" s="3085"/>
      <c r="C268" s="3086"/>
      <c r="E268" s="3085"/>
    </row>
    <row r="269" spans="1:5" s="1995" customFormat="1">
      <c r="A269" s="3085"/>
      <c r="C269" s="3086"/>
      <c r="E269" s="3085"/>
    </row>
    <row r="270" spans="1:5" s="1995" customFormat="1">
      <c r="A270" s="3085"/>
      <c r="C270" s="3086"/>
      <c r="E270" s="3085"/>
    </row>
    <row r="271" spans="1:5" s="1995" customFormat="1">
      <c r="A271" s="3085"/>
      <c r="C271" s="3086"/>
      <c r="E271" s="3085"/>
    </row>
    <row r="272" spans="1:5" s="1995" customFormat="1">
      <c r="A272" s="3085"/>
      <c r="C272" s="3086"/>
      <c r="E272" s="3085"/>
    </row>
    <row r="273" spans="1:5" s="1995" customFormat="1">
      <c r="A273" s="3085"/>
      <c r="C273" s="3086"/>
      <c r="E273" s="3085"/>
    </row>
    <row r="274" spans="1:5" s="1995" customFormat="1">
      <c r="A274" s="3085"/>
      <c r="C274" s="3086"/>
      <c r="E274" s="3085"/>
    </row>
    <row r="275" spans="1:5" s="1995" customFormat="1">
      <c r="A275" s="3085"/>
      <c r="C275" s="3086"/>
      <c r="E275" s="3085"/>
    </row>
    <row r="276" spans="1:5" s="1995" customFormat="1">
      <c r="A276" s="3085"/>
      <c r="C276" s="3086"/>
      <c r="E276" s="3085"/>
    </row>
    <row r="277" spans="1:5" s="1995" customFormat="1">
      <c r="A277" s="3085"/>
      <c r="C277" s="3086"/>
      <c r="E277" s="3085"/>
    </row>
    <row r="278" spans="1:5" s="1995" customFormat="1">
      <c r="A278" s="3085"/>
      <c r="C278" s="3086"/>
      <c r="E278" s="3085"/>
    </row>
    <row r="279" spans="1:5" s="1995" customFormat="1">
      <c r="A279" s="3085"/>
      <c r="C279" s="3086"/>
      <c r="E279" s="3085"/>
    </row>
    <row r="280" spans="1:5" s="1995" customFormat="1">
      <c r="A280" s="3085"/>
      <c r="C280" s="3086"/>
      <c r="E280" s="3085"/>
    </row>
    <row r="281" spans="1:5" s="1995" customFormat="1">
      <c r="A281" s="3085"/>
      <c r="C281" s="3086"/>
      <c r="E281" s="3085"/>
    </row>
    <row r="282" spans="1:5" s="1995" customFormat="1">
      <c r="A282" s="3085"/>
      <c r="C282" s="3086"/>
      <c r="E282" s="3085"/>
    </row>
    <row r="283" spans="1:5" s="1995" customFormat="1">
      <c r="A283" s="3085"/>
      <c r="C283" s="3086"/>
      <c r="E283" s="3085"/>
    </row>
    <row r="284" spans="1:5" s="1995" customFormat="1">
      <c r="A284" s="3085"/>
      <c r="C284" s="3086"/>
      <c r="E284" s="3085"/>
    </row>
    <row r="285" spans="1:5" s="1995" customFormat="1">
      <c r="A285" s="3085"/>
      <c r="C285" s="3086"/>
      <c r="E285" s="3085"/>
    </row>
    <row r="286" spans="1:5" s="1995" customFormat="1">
      <c r="A286" s="3085"/>
      <c r="C286" s="3086"/>
      <c r="E286" s="3085"/>
    </row>
    <row r="287" spans="1:5" s="1995" customFormat="1">
      <c r="A287" s="3085"/>
      <c r="C287" s="3086"/>
      <c r="E287" s="3085"/>
    </row>
    <row r="288" spans="1:5" s="1995" customFormat="1">
      <c r="A288" s="3085"/>
      <c r="C288" s="3086"/>
      <c r="E288" s="3085"/>
    </row>
    <row r="289" spans="1:5" s="1995" customFormat="1">
      <c r="A289" s="3085"/>
      <c r="C289" s="3086"/>
      <c r="E289" s="3085"/>
    </row>
    <row r="290" spans="1:5" s="1995" customFormat="1">
      <c r="A290" s="3085"/>
      <c r="C290" s="3086"/>
      <c r="E290" s="3085"/>
    </row>
    <row r="291" spans="1:5" s="1995" customFormat="1">
      <c r="A291" s="3085"/>
      <c r="C291" s="3086"/>
      <c r="E291" s="3085"/>
    </row>
    <row r="292" spans="1:5" s="1995" customFormat="1">
      <c r="A292" s="3085"/>
      <c r="C292" s="3086"/>
      <c r="E292" s="3085"/>
    </row>
    <row r="293" spans="1:5" s="1995" customFormat="1">
      <c r="A293" s="3085"/>
      <c r="C293" s="3086"/>
      <c r="E293" s="3085"/>
    </row>
    <row r="294" spans="1:5" s="1995" customFormat="1">
      <c r="A294" s="3085"/>
      <c r="C294" s="3086"/>
      <c r="E294" s="3085"/>
    </row>
    <row r="295" spans="1:5" s="1995" customFormat="1">
      <c r="A295" s="3085"/>
      <c r="C295" s="3086"/>
      <c r="E295" s="3085"/>
    </row>
    <row r="296" spans="1:5" s="1995" customFormat="1">
      <c r="A296" s="3085"/>
      <c r="C296" s="3086"/>
      <c r="E296" s="3085"/>
    </row>
    <row r="297" spans="1:5" s="1995" customFormat="1">
      <c r="A297" s="3085"/>
      <c r="C297" s="3086"/>
      <c r="E297" s="3085"/>
    </row>
    <row r="298" spans="1:5" s="1995" customFormat="1">
      <c r="A298" s="3085"/>
      <c r="C298" s="3086"/>
      <c r="E298" s="3085"/>
    </row>
    <row r="299" spans="1:5" s="1995" customFormat="1">
      <c r="A299" s="3085"/>
      <c r="C299" s="3086"/>
      <c r="E299" s="3085"/>
    </row>
    <row r="300" spans="1:5" s="1995" customFormat="1">
      <c r="A300" s="3085"/>
      <c r="C300" s="3086"/>
      <c r="E300" s="3085"/>
    </row>
    <row r="301" spans="1:5" s="1995" customFormat="1">
      <c r="A301" s="3085"/>
      <c r="C301" s="3086"/>
      <c r="E301" s="3085"/>
    </row>
    <row r="302" spans="1:5" s="1995" customFormat="1">
      <c r="A302" s="3085"/>
      <c r="C302" s="3086"/>
      <c r="E302" s="3085"/>
    </row>
    <row r="303" spans="1:5" s="1995" customFormat="1">
      <c r="A303" s="3085"/>
      <c r="C303" s="3086"/>
      <c r="E303" s="3085"/>
    </row>
    <row r="304" spans="1:5" s="1995" customFormat="1">
      <c r="A304" s="3085"/>
      <c r="C304" s="3086"/>
      <c r="E304" s="3085"/>
    </row>
    <row r="305" spans="1:5" s="1995" customFormat="1">
      <c r="A305" s="3085"/>
      <c r="C305" s="3086"/>
      <c r="E305" s="3085"/>
    </row>
    <row r="306" spans="1:5" s="1995" customFormat="1">
      <c r="A306" s="3085"/>
      <c r="C306" s="3086"/>
      <c r="E306" s="3085"/>
    </row>
    <row r="307" spans="1:5" s="1995" customFormat="1">
      <c r="A307" s="3085"/>
      <c r="C307" s="3086"/>
      <c r="E307" s="3085"/>
    </row>
    <row r="308" spans="1:5" s="1995" customFormat="1">
      <c r="A308" s="3085"/>
      <c r="C308" s="3086"/>
      <c r="E308" s="3085"/>
    </row>
    <row r="309" spans="1:5" s="1995" customFormat="1">
      <c r="A309" s="3085"/>
      <c r="C309" s="3086"/>
      <c r="E309" s="3085"/>
    </row>
    <row r="310" spans="1:5" s="1995" customFormat="1">
      <c r="A310" s="3085"/>
      <c r="C310" s="3086"/>
      <c r="E310" s="3085"/>
    </row>
    <row r="311" spans="1:5" s="1995" customFormat="1">
      <c r="A311" s="3085"/>
      <c r="C311" s="3086"/>
      <c r="E311" s="3085"/>
    </row>
    <row r="312" spans="1:5" s="1995" customFormat="1">
      <c r="A312" s="3085"/>
      <c r="C312" s="3086"/>
      <c r="E312" s="3085"/>
    </row>
    <row r="313" spans="1:5" s="1995" customFormat="1">
      <c r="A313" s="3085"/>
      <c r="C313" s="3086"/>
      <c r="E313" s="3085"/>
    </row>
    <row r="314" spans="1:5" s="1995" customFormat="1">
      <c r="A314" s="3085"/>
      <c r="C314" s="3086"/>
      <c r="E314" s="3085"/>
    </row>
    <row r="315" spans="1:5" s="1995" customFormat="1">
      <c r="A315" s="3085"/>
      <c r="C315" s="3086"/>
      <c r="E315" s="3085"/>
    </row>
    <row r="316" spans="1:5" s="1995" customFormat="1">
      <c r="A316" s="3085"/>
      <c r="C316" s="3086"/>
      <c r="E316" s="3085"/>
    </row>
    <row r="317" spans="1:5" s="1995" customFormat="1">
      <c r="A317" s="3085"/>
      <c r="C317" s="3086"/>
      <c r="E317" s="3085"/>
    </row>
    <row r="318" spans="1:5" s="1995" customFormat="1">
      <c r="A318" s="3085"/>
      <c r="C318" s="3086"/>
      <c r="E318" s="3085"/>
    </row>
    <row r="319" spans="1:5" s="1995" customFormat="1">
      <c r="A319" s="3085"/>
      <c r="C319" s="3086"/>
      <c r="E319" s="3085"/>
    </row>
    <row r="320" spans="1:5" s="1995" customFormat="1">
      <c r="A320" s="3085"/>
      <c r="C320" s="3086"/>
      <c r="E320" s="3085"/>
    </row>
    <row r="321" spans="1:5" s="1995" customFormat="1">
      <c r="A321" s="3085"/>
      <c r="C321" s="3086"/>
      <c r="E321" s="3085"/>
    </row>
    <row r="322" spans="1:5" s="1995" customFormat="1">
      <c r="A322" s="3085"/>
      <c r="C322" s="3086"/>
      <c r="E322" s="3085"/>
    </row>
    <row r="323" spans="1:5" s="1995" customFormat="1">
      <c r="A323" s="3085"/>
      <c r="C323" s="3086"/>
      <c r="E323" s="3085"/>
    </row>
    <row r="324" spans="1:5" s="1995" customFormat="1">
      <c r="A324" s="3085"/>
      <c r="C324" s="3086"/>
      <c r="E324" s="3085"/>
    </row>
    <row r="325" spans="1:5" s="1995" customFormat="1">
      <c r="A325" s="3085"/>
      <c r="C325" s="3086"/>
      <c r="E325" s="3085"/>
    </row>
    <row r="326" spans="1:5" s="1995" customFormat="1">
      <c r="A326" s="3085"/>
      <c r="C326" s="3086"/>
      <c r="E326" s="3085"/>
    </row>
    <row r="327" spans="1:5" s="1995" customFormat="1">
      <c r="A327" s="3085"/>
      <c r="C327" s="3086"/>
      <c r="E327" s="3085"/>
    </row>
    <row r="328" spans="1:5" s="1995" customFormat="1">
      <c r="A328" s="3085"/>
      <c r="C328" s="3086"/>
      <c r="E328" s="3085"/>
    </row>
    <row r="329" spans="1:5" s="1995" customFormat="1">
      <c r="A329" s="3085"/>
      <c r="C329" s="3086"/>
      <c r="E329" s="3085"/>
    </row>
    <row r="330" spans="1:5" s="1995" customFormat="1">
      <c r="A330" s="3085"/>
      <c r="C330" s="3086"/>
      <c r="E330" s="3085"/>
    </row>
    <row r="331" spans="1:5" s="1995" customFormat="1">
      <c r="A331" s="3085"/>
      <c r="C331" s="3086"/>
      <c r="E331" s="3085"/>
    </row>
    <row r="332" spans="1:5" s="1995" customFormat="1">
      <c r="A332" s="3085"/>
      <c r="C332" s="3086"/>
      <c r="E332" s="3085"/>
    </row>
    <row r="333" spans="1:5" s="1995" customFormat="1">
      <c r="A333" s="3085"/>
      <c r="C333" s="3086"/>
      <c r="E333" s="3085"/>
    </row>
    <row r="334" spans="1:5" s="1995" customFormat="1">
      <c r="A334" s="3085"/>
      <c r="C334" s="3086"/>
      <c r="E334" s="3085"/>
    </row>
    <row r="335" spans="1:5" s="1995" customFormat="1">
      <c r="A335" s="3085"/>
      <c r="C335" s="3086"/>
      <c r="E335" s="3085"/>
    </row>
    <row r="336" spans="1:5" s="1995" customFormat="1">
      <c r="A336" s="3085"/>
      <c r="C336" s="3086"/>
      <c r="E336" s="3085"/>
    </row>
    <row r="337" spans="1:5" s="1995" customFormat="1">
      <c r="A337" s="3085"/>
      <c r="C337" s="3086"/>
      <c r="E337" s="3085"/>
    </row>
    <row r="338" spans="1:5" s="1995" customFormat="1">
      <c r="A338" s="3085"/>
      <c r="C338" s="3086"/>
      <c r="E338" s="3085"/>
    </row>
    <row r="339" spans="1:5" s="1995" customFormat="1">
      <c r="A339" s="3085"/>
      <c r="C339" s="3086"/>
      <c r="E339" s="3085"/>
    </row>
    <row r="340" spans="1:5" s="1995" customFormat="1">
      <c r="A340" s="3085"/>
      <c r="C340" s="3086"/>
      <c r="E340" s="3085"/>
    </row>
    <row r="341" spans="1:5" s="1995" customFormat="1">
      <c r="A341" s="3085"/>
      <c r="C341" s="3086"/>
      <c r="E341" s="3085"/>
    </row>
    <row r="342" spans="1:5" s="1995" customFormat="1">
      <c r="A342" s="3085"/>
      <c r="C342" s="3086"/>
      <c r="E342" s="3085"/>
    </row>
    <row r="343" spans="1:5" s="1995" customFormat="1">
      <c r="A343" s="3085"/>
      <c r="C343" s="3086"/>
      <c r="E343" s="3085"/>
    </row>
    <row r="344" spans="1:5" s="1995" customFormat="1">
      <c r="A344" s="3085"/>
      <c r="C344" s="3086"/>
      <c r="E344" s="3085"/>
    </row>
    <row r="345" spans="1:5" s="1995" customFormat="1">
      <c r="A345" s="3085"/>
      <c r="C345" s="3086"/>
      <c r="E345" s="3085"/>
    </row>
    <row r="346" spans="1:5" s="1995" customFormat="1">
      <c r="A346" s="3085"/>
      <c r="C346" s="3086"/>
      <c r="E346" s="3085"/>
    </row>
    <row r="347" spans="1:5" s="1995" customFormat="1">
      <c r="A347" s="3085"/>
      <c r="C347" s="3086"/>
      <c r="E347" s="3085"/>
    </row>
    <row r="348" spans="1:5" s="1995" customFormat="1">
      <c r="A348" s="3085"/>
      <c r="C348" s="3086"/>
      <c r="E348" s="3085"/>
    </row>
    <row r="349" spans="1:5" s="1995" customFormat="1">
      <c r="A349" s="3085"/>
      <c r="C349" s="3086"/>
      <c r="E349" s="3085"/>
    </row>
    <row r="350" spans="1:5" s="1995" customFormat="1">
      <c r="A350" s="3085"/>
      <c r="C350" s="3086"/>
      <c r="E350" s="3085"/>
    </row>
    <row r="351" spans="1:5" s="1995" customFormat="1">
      <c r="A351" s="3085"/>
      <c r="C351" s="3086"/>
      <c r="E351" s="3085"/>
    </row>
    <row r="352" spans="1:5" s="1995" customFormat="1">
      <c r="A352" s="3085"/>
      <c r="C352" s="3086"/>
      <c r="E352" s="3085"/>
    </row>
    <row r="353" spans="1:5" s="1995" customFormat="1">
      <c r="A353" s="3085"/>
      <c r="C353" s="3086"/>
      <c r="E353" s="3085"/>
    </row>
    <row r="354" spans="1:5" s="1995" customFormat="1">
      <c r="A354" s="3085"/>
      <c r="C354" s="3086"/>
      <c r="E354" s="3085"/>
    </row>
    <row r="355" spans="1:5" s="1995" customFormat="1">
      <c r="A355" s="3085"/>
      <c r="C355" s="3086"/>
      <c r="E355" s="3085"/>
    </row>
    <row r="356" spans="1:5" s="1995" customFormat="1">
      <c r="A356" s="3085"/>
      <c r="C356" s="3086"/>
      <c r="E356" s="3085"/>
    </row>
    <row r="357" spans="1:5" s="1995" customFormat="1">
      <c r="A357" s="3085"/>
      <c r="C357" s="3086"/>
      <c r="E357" s="3085"/>
    </row>
    <row r="358" spans="1:5" s="1995" customFormat="1">
      <c r="A358" s="3085"/>
      <c r="C358" s="3086"/>
      <c r="E358" s="3085"/>
    </row>
    <row r="359" spans="1:5" s="1995" customFormat="1">
      <c r="A359" s="3085"/>
      <c r="C359" s="3086"/>
      <c r="E359" s="3085"/>
    </row>
    <row r="360" spans="1:5" s="1995" customFormat="1">
      <c r="A360" s="3085"/>
      <c r="C360" s="3086"/>
      <c r="E360" s="3085"/>
    </row>
    <row r="361" spans="1:5" s="1995" customFormat="1">
      <c r="A361" s="3085"/>
      <c r="C361" s="3086"/>
      <c r="E361" s="3085"/>
    </row>
    <row r="362" spans="1:5" s="1995" customFormat="1">
      <c r="A362" s="3085"/>
      <c r="C362" s="3086"/>
      <c r="E362" s="3085"/>
    </row>
    <row r="363" spans="1:5" s="1995" customFormat="1">
      <c r="A363" s="3085"/>
      <c r="C363" s="3086"/>
      <c r="E363" s="3085"/>
    </row>
    <row r="364" spans="1:5" s="1995" customFormat="1">
      <c r="A364" s="3085"/>
      <c r="C364" s="3086"/>
      <c r="E364" s="3085"/>
    </row>
    <row r="365" spans="1:5" s="1995" customFormat="1">
      <c r="A365" s="3085"/>
      <c r="C365" s="3086"/>
      <c r="E365" s="3085"/>
    </row>
    <row r="366" spans="1:5" s="1995" customFormat="1">
      <c r="A366" s="3085"/>
      <c r="C366" s="3086"/>
      <c r="E366" s="3085"/>
    </row>
    <row r="367" spans="1:5" s="1995" customFormat="1">
      <c r="A367" s="3085"/>
      <c r="C367" s="3086"/>
      <c r="E367" s="3085"/>
    </row>
    <row r="368" spans="1:5" s="1995" customFormat="1">
      <c r="A368" s="3085"/>
      <c r="C368" s="3086"/>
      <c r="E368" s="3085"/>
    </row>
    <row r="369" spans="1:5" s="1995" customFormat="1">
      <c r="A369" s="3085"/>
      <c r="C369" s="3086"/>
      <c r="E369" s="3085"/>
    </row>
    <row r="370" spans="1:5" s="1995" customFormat="1">
      <c r="A370" s="3085"/>
      <c r="C370" s="3086"/>
      <c r="E370" s="3085"/>
    </row>
    <row r="371" spans="1:5" s="1995" customFormat="1">
      <c r="A371" s="3085"/>
      <c r="C371" s="3086"/>
      <c r="E371" s="3085"/>
    </row>
    <row r="372" spans="1:5" s="1995" customFormat="1">
      <c r="A372" s="3085"/>
      <c r="C372" s="3086"/>
      <c r="E372" s="3085"/>
    </row>
    <row r="373" spans="1:5" s="1995" customFormat="1">
      <c r="A373" s="3085"/>
      <c r="C373" s="3086"/>
      <c r="E373" s="3085"/>
    </row>
    <row r="374" spans="1:5" s="1995" customFormat="1">
      <c r="A374" s="3085"/>
      <c r="C374" s="3086"/>
      <c r="E374" s="3085"/>
    </row>
    <row r="375" spans="1:5" s="1995" customFormat="1">
      <c r="A375" s="3085"/>
      <c r="C375" s="3086"/>
      <c r="E375" s="3085"/>
    </row>
    <row r="376" spans="1:5" s="1995" customFormat="1">
      <c r="A376" s="3085"/>
      <c r="C376" s="3086"/>
      <c r="E376" s="3085"/>
    </row>
    <row r="377" spans="1:5" s="1995" customFormat="1">
      <c r="A377" s="3085"/>
      <c r="C377" s="3086"/>
      <c r="E377" s="3085"/>
    </row>
    <row r="378" spans="1:5" s="1995" customFormat="1">
      <c r="A378" s="3085"/>
      <c r="C378" s="3086"/>
      <c r="E378" s="3085"/>
    </row>
    <row r="379" spans="1:5" s="1995" customFormat="1">
      <c r="A379" s="3085"/>
      <c r="C379" s="3086"/>
      <c r="E379" s="3085"/>
    </row>
    <row r="380" spans="1:5" s="1995" customFormat="1">
      <c r="A380" s="3085"/>
      <c r="C380" s="3086"/>
      <c r="E380" s="3085"/>
    </row>
    <row r="381" spans="1:5" s="1995" customFormat="1">
      <c r="A381" s="3085"/>
      <c r="C381" s="3086"/>
      <c r="E381" s="3085"/>
    </row>
    <row r="382" spans="1:5" s="1995" customFormat="1">
      <c r="A382" s="3085"/>
      <c r="C382" s="3086"/>
      <c r="E382" s="3085"/>
    </row>
    <row r="383" spans="1:5" s="1995" customFormat="1">
      <c r="A383" s="3085"/>
      <c r="C383" s="3086"/>
      <c r="E383" s="3085"/>
    </row>
    <row r="384" spans="1:5" s="1995" customFormat="1">
      <c r="A384" s="3085"/>
      <c r="C384" s="3086"/>
      <c r="E384" s="3085"/>
    </row>
    <row r="385" spans="1:5" s="1995" customFormat="1">
      <c r="A385" s="3085"/>
      <c r="C385" s="3086"/>
      <c r="E385" s="3085"/>
    </row>
    <row r="386" spans="1:5" s="1995" customFormat="1">
      <c r="A386" s="3085"/>
      <c r="C386" s="3086"/>
      <c r="E386" s="3085"/>
    </row>
    <row r="387" spans="1:5" s="1995" customFormat="1">
      <c r="A387" s="3085"/>
      <c r="C387" s="3086"/>
      <c r="E387" s="3085"/>
    </row>
    <row r="388" spans="1:5" s="1995" customFormat="1">
      <c r="A388" s="3085"/>
      <c r="C388" s="3086"/>
      <c r="E388" s="3085"/>
    </row>
    <row r="389" spans="1:5" s="1995" customFormat="1">
      <c r="A389" s="3085"/>
      <c r="C389" s="3086"/>
      <c r="E389" s="3085"/>
    </row>
    <row r="390" spans="1:5" s="1995" customFormat="1">
      <c r="A390" s="3085"/>
      <c r="C390" s="3086"/>
      <c r="E390" s="3085"/>
    </row>
    <row r="391" spans="1:5" s="1995" customFormat="1">
      <c r="A391" s="3085"/>
      <c r="C391" s="3086"/>
      <c r="E391" s="3085"/>
    </row>
    <row r="392" spans="1:5" s="1995" customFormat="1">
      <c r="A392" s="3085"/>
      <c r="C392" s="3086"/>
      <c r="E392" s="3085"/>
    </row>
    <row r="393" spans="1:5" s="1995" customFormat="1">
      <c r="A393" s="3085"/>
      <c r="C393" s="3086"/>
      <c r="E393" s="3085"/>
    </row>
    <row r="394" spans="1:5" s="1995" customFormat="1">
      <c r="A394" s="3085"/>
      <c r="C394" s="3086"/>
      <c r="E394" s="3085"/>
    </row>
    <row r="395" spans="1:5" s="1995" customFormat="1">
      <c r="A395" s="3085"/>
      <c r="C395" s="3086"/>
      <c r="E395" s="3085"/>
    </row>
    <row r="396" spans="1:5" s="1995" customFormat="1">
      <c r="A396" s="3085"/>
      <c r="C396" s="3086"/>
      <c r="E396" s="3085"/>
    </row>
    <row r="397" spans="1:5" s="1995" customFormat="1">
      <c r="A397" s="3085"/>
      <c r="C397" s="3086"/>
      <c r="E397" s="3085"/>
    </row>
    <row r="398" spans="1:5" s="1995" customFormat="1">
      <c r="A398" s="3085"/>
      <c r="C398" s="3086"/>
      <c r="E398" s="3085"/>
    </row>
    <row r="399" spans="1:5" s="1995" customFormat="1">
      <c r="A399" s="3085"/>
      <c r="C399" s="3086"/>
      <c r="E399" s="3085"/>
    </row>
    <row r="400" spans="1:5" s="1995" customFormat="1">
      <c r="A400" s="3085"/>
      <c r="C400" s="3086"/>
      <c r="E400" s="3085"/>
    </row>
    <row r="401" spans="1:5" s="1995" customFormat="1">
      <c r="A401" s="3085"/>
      <c r="C401" s="3086"/>
      <c r="E401" s="3085"/>
    </row>
    <row r="402" spans="1:5" s="1995" customFormat="1">
      <c r="A402" s="3085"/>
      <c r="C402" s="3086"/>
      <c r="E402" s="3085"/>
    </row>
    <row r="403" spans="1:5" s="1995" customFormat="1">
      <c r="A403" s="3085"/>
      <c r="C403" s="3086"/>
      <c r="E403" s="3085"/>
    </row>
    <row r="404" spans="1:5" s="1995" customFormat="1">
      <c r="A404" s="3085"/>
      <c r="C404" s="3086"/>
      <c r="E404" s="3085"/>
    </row>
    <row r="405" spans="1:5" s="1995" customFormat="1">
      <c r="A405" s="3085"/>
      <c r="C405" s="3086"/>
      <c r="E405" s="3085"/>
    </row>
    <row r="406" spans="1:5" s="1995" customFormat="1">
      <c r="A406" s="3085"/>
      <c r="C406" s="3086"/>
      <c r="E406" s="3085"/>
    </row>
    <row r="407" spans="1:5" s="1995" customFormat="1">
      <c r="A407" s="3085"/>
      <c r="C407" s="3086"/>
      <c r="E407" s="3085"/>
    </row>
    <row r="408" spans="1:5" s="1995" customFormat="1">
      <c r="A408" s="3085"/>
      <c r="C408" s="3086"/>
      <c r="E408" s="3085"/>
    </row>
    <row r="409" spans="1:5" s="1995" customFormat="1">
      <c r="A409" s="3085"/>
      <c r="C409" s="3086"/>
      <c r="E409" s="3085"/>
    </row>
    <row r="410" spans="1:5" s="1995" customFormat="1">
      <c r="A410" s="3085"/>
      <c r="C410" s="3086"/>
      <c r="E410" s="3085"/>
    </row>
    <row r="411" spans="1:5" s="1995" customFormat="1">
      <c r="A411" s="3085"/>
      <c r="C411" s="3086"/>
      <c r="E411" s="3085"/>
    </row>
    <row r="412" spans="1:5" s="1995" customFormat="1">
      <c r="A412" s="3085"/>
      <c r="C412" s="3086"/>
      <c r="E412" s="3085"/>
    </row>
    <row r="413" spans="1:5" s="1995" customFormat="1">
      <c r="A413" s="3085"/>
      <c r="C413" s="3086"/>
      <c r="E413" s="3085"/>
    </row>
    <row r="414" spans="1:5" s="1995" customFormat="1">
      <c r="A414" s="3085"/>
      <c r="C414" s="3086"/>
      <c r="E414" s="3085"/>
    </row>
    <row r="415" spans="1:5" s="1995" customFormat="1">
      <c r="A415" s="3085"/>
      <c r="C415" s="3086"/>
      <c r="E415" s="3085"/>
    </row>
    <row r="416" spans="1:5" s="1995" customFormat="1">
      <c r="A416" s="3085"/>
      <c r="C416" s="3086"/>
      <c r="E416" s="3085"/>
    </row>
    <row r="417" spans="1:5" s="1995" customFormat="1">
      <c r="A417" s="3085"/>
      <c r="C417" s="3086"/>
      <c r="E417" s="3085"/>
    </row>
    <row r="418" spans="1:5" s="1995" customFormat="1">
      <c r="A418" s="3085"/>
      <c r="C418" s="3086"/>
      <c r="E418" s="3085"/>
    </row>
    <row r="419" spans="1:5" s="1995" customFormat="1">
      <c r="A419" s="3085"/>
      <c r="C419" s="3086"/>
      <c r="E419" s="3085"/>
    </row>
    <row r="420" spans="1:5" s="1995" customFormat="1">
      <c r="A420" s="3085"/>
      <c r="C420" s="3086"/>
      <c r="E420" s="3085"/>
    </row>
    <row r="421" spans="1:5" s="1995" customFormat="1">
      <c r="A421" s="3085"/>
      <c r="C421" s="3086"/>
      <c r="E421" s="3085"/>
    </row>
    <row r="422" spans="1:5" s="1995" customFormat="1">
      <c r="A422" s="3085"/>
      <c r="C422" s="3086"/>
      <c r="E422" s="3085"/>
    </row>
    <row r="423" spans="1:5" s="1995" customFormat="1">
      <c r="A423" s="3085"/>
      <c r="C423" s="3086"/>
      <c r="E423" s="3085"/>
    </row>
    <row r="424" spans="1:5" s="1995" customFormat="1">
      <c r="A424" s="3085"/>
      <c r="C424" s="3086"/>
      <c r="E424" s="3085"/>
    </row>
    <row r="425" spans="1:5" s="1995" customFormat="1">
      <c r="A425" s="3085"/>
      <c r="C425" s="3086"/>
      <c r="E425" s="3085"/>
    </row>
    <row r="426" spans="1:5" s="1995" customFormat="1">
      <c r="A426" s="3085"/>
      <c r="C426" s="3086"/>
      <c r="E426" s="3085"/>
    </row>
    <row r="427" spans="1:5" s="1995" customFormat="1">
      <c r="A427" s="3085"/>
      <c r="C427" s="3086"/>
      <c r="E427" s="3085"/>
    </row>
    <row r="428" spans="1:5" s="1995" customFormat="1">
      <c r="A428" s="3085"/>
      <c r="C428" s="3086"/>
      <c r="E428" s="3085"/>
    </row>
    <row r="429" spans="1:5" s="1995" customFormat="1">
      <c r="A429" s="3085"/>
      <c r="C429" s="3086"/>
      <c r="E429" s="3085"/>
    </row>
    <row r="430" spans="1:5" s="1995" customFormat="1">
      <c r="A430" s="3085"/>
      <c r="C430" s="3086"/>
      <c r="E430" s="3085"/>
    </row>
    <row r="431" spans="1:5" s="1995" customFormat="1">
      <c r="A431" s="3085"/>
      <c r="C431" s="3086"/>
      <c r="E431" s="3085"/>
    </row>
    <row r="432" spans="1:5" s="1995" customFormat="1">
      <c r="A432" s="3085"/>
      <c r="C432" s="3086"/>
      <c r="E432" s="3085"/>
    </row>
    <row r="433" spans="1:5" s="1995" customFormat="1">
      <c r="A433" s="3085"/>
      <c r="C433" s="3086"/>
      <c r="E433" s="3085"/>
    </row>
    <row r="434" spans="1:5" s="1995" customFormat="1">
      <c r="A434" s="3085"/>
      <c r="C434" s="3086"/>
      <c r="E434" s="3085"/>
    </row>
    <row r="435" spans="1:5" s="1995" customFormat="1">
      <c r="A435" s="3085"/>
      <c r="C435" s="3086"/>
      <c r="E435" s="3085"/>
    </row>
    <row r="436" spans="1:5" s="1995" customFormat="1">
      <c r="A436" s="3085"/>
      <c r="C436" s="3086"/>
      <c r="E436" s="3085"/>
    </row>
    <row r="437" spans="1:5" s="1995" customFormat="1">
      <c r="A437" s="3085"/>
      <c r="C437" s="3086"/>
      <c r="E437" s="3085"/>
    </row>
    <row r="438" spans="1:5" s="1995" customFormat="1">
      <c r="A438" s="3085"/>
      <c r="C438" s="3086"/>
      <c r="E438" s="3085"/>
    </row>
    <row r="439" spans="1:5" s="1995" customFormat="1">
      <c r="A439" s="3085"/>
      <c r="C439" s="3086"/>
      <c r="E439" s="3085"/>
    </row>
    <row r="440" spans="1:5" s="1995" customFormat="1">
      <c r="A440" s="3085"/>
      <c r="C440" s="3086"/>
      <c r="E440" s="3085"/>
    </row>
    <row r="441" spans="1:5" s="1995" customFormat="1">
      <c r="A441" s="3085"/>
      <c r="C441" s="3086"/>
      <c r="E441" s="3085"/>
    </row>
    <row r="442" spans="1:5" s="1995" customFormat="1">
      <c r="A442" s="3085"/>
      <c r="C442" s="3086"/>
      <c r="E442" s="3085"/>
    </row>
    <row r="443" spans="1:5" s="1995" customFormat="1">
      <c r="A443" s="3085"/>
      <c r="C443" s="3086"/>
      <c r="E443" s="3085"/>
    </row>
    <row r="444" spans="1:5" s="1995" customFormat="1">
      <c r="A444" s="3085"/>
      <c r="C444" s="3086"/>
      <c r="E444" s="3085"/>
    </row>
    <row r="445" spans="1:5" s="1995" customFormat="1">
      <c r="A445" s="3085"/>
      <c r="C445" s="3086"/>
      <c r="E445" s="3085"/>
    </row>
    <row r="446" spans="1:5" s="1995" customFormat="1">
      <c r="A446" s="3085"/>
      <c r="C446" s="3086"/>
      <c r="E446" s="3085"/>
    </row>
    <row r="447" spans="1:5" s="1995" customFormat="1">
      <c r="A447" s="3085"/>
      <c r="C447" s="3086"/>
      <c r="E447" s="3085"/>
    </row>
    <row r="448" spans="1:5" s="1995" customFormat="1">
      <c r="A448" s="3085"/>
      <c r="C448" s="3086"/>
      <c r="E448" s="3085"/>
    </row>
    <row r="449" spans="1:5" s="1995" customFormat="1">
      <c r="A449" s="3085"/>
      <c r="C449" s="3086"/>
      <c r="E449" s="3085"/>
    </row>
    <row r="450" spans="1:5" s="1995" customFormat="1">
      <c r="A450" s="3085"/>
      <c r="C450" s="3086"/>
      <c r="E450" s="3085"/>
    </row>
    <row r="451" spans="1:5" s="1995" customFormat="1">
      <c r="A451" s="3085"/>
      <c r="C451" s="3086"/>
      <c r="E451" s="3085"/>
    </row>
    <row r="452" spans="1:5" s="1995" customFormat="1">
      <c r="A452" s="3085"/>
      <c r="C452" s="3086"/>
      <c r="E452" s="3085"/>
    </row>
    <row r="453" spans="1:5" s="1995" customFormat="1">
      <c r="A453" s="3085"/>
      <c r="C453" s="3086"/>
      <c r="E453" s="3085"/>
    </row>
    <row r="454" spans="1:5" s="1995" customFormat="1">
      <c r="A454" s="3085"/>
      <c r="C454" s="3086"/>
      <c r="E454" s="3085"/>
    </row>
    <row r="455" spans="1:5" s="1995" customFormat="1">
      <c r="A455" s="3085"/>
      <c r="C455" s="3086"/>
      <c r="E455" s="3085"/>
    </row>
    <row r="456" spans="1:5" s="1995" customFormat="1">
      <c r="A456" s="3085"/>
      <c r="C456" s="3086"/>
      <c r="E456" s="3085"/>
    </row>
    <row r="457" spans="1:5" s="1995" customFormat="1">
      <c r="A457" s="3085"/>
      <c r="C457" s="3086"/>
      <c r="E457" s="3085"/>
    </row>
    <row r="458" spans="1:5" s="1995" customFormat="1">
      <c r="A458" s="3085"/>
      <c r="C458" s="3086"/>
      <c r="E458" s="3085"/>
    </row>
    <row r="459" spans="1:5" s="1995" customFormat="1">
      <c r="A459" s="3085"/>
      <c r="C459" s="3086"/>
      <c r="E459" s="3085"/>
    </row>
    <row r="460" spans="1:5" s="1995" customFormat="1">
      <c r="A460" s="3085"/>
      <c r="C460" s="3086"/>
      <c r="E460" s="3085"/>
    </row>
    <row r="461" spans="1:5" s="1995" customFormat="1">
      <c r="A461" s="3085"/>
      <c r="C461" s="3086"/>
      <c r="E461" s="3085"/>
    </row>
    <row r="462" spans="1:5" s="1995" customFormat="1">
      <c r="A462" s="3085"/>
      <c r="C462" s="3086"/>
      <c r="E462" s="3085"/>
    </row>
    <row r="463" spans="1:5" s="1995" customFormat="1">
      <c r="A463" s="3085"/>
      <c r="C463" s="3086"/>
      <c r="E463" s="3085"/>
    </row>
    <row r="464" spans="1:5" s="1995" customFormat="1">
      <c r="A464" s="3085"/>
      <c r="C464" s="3086"/>
      <c r="E464" s="3085"/>
    </row>
    <row r="465" spans="1:5" s="1995" customFormat="1">
      <c r="A465" s="3085"/>
      <c r="C465" s="3086"/>
      <c r="E465" s="3085"/>
    </row>
    <row r="466" spans="1:5" s="1995" customFormat="1">
      <c r="A466" s="3085"/>
      <c r="C466" s="3086"/>
      <c r="E466" s="3085"/>
    </row>
    <row r="467" spans="1:5" s="1995" customFormat="1">
      <c r="A467" s="3085"/>
      <c r="C467" s="3086"/>
      <c r="E467" s="3085"/>
    </row>
    <row r="468" spans="1:5" s="1995" customFormat="1">
      <c r="A468" s="3085"/>
      <c r="C468" s="3086"/>
      <c r="E468" s="3085"/>
    </row>
    <row r="469" spans="1:5" s="1995" customFormat="1">
      <c r="A469" s="3085"/>
      <c r="C469" s="3086"/>
      <c r="E469" s="3085"/>
    </row>
    <row r="470" spans="1:5" s="1995" customFormat="1">
      <c r="A470" s="3085"/>
      <c r="C470" s="3086"/>
      <c r="E470" s="3085"/>
    </row>
    <row r="471" spans="1:5" s="1995" customFormat="1">
      <c r="A471" s="3085"/>
      <c r="C471" s="3086"/>
      <c r="E471" s="3085"/>
    </row>
    <row r="472" spans="1:5" s="1995" customFormat="1">
      <c r="A472" s="3085"/>
      <c r="C472" s="3086"/>
      <c r="E472" s="3085"/>
    </row>
    <row r="473" spans="1:5" s="1995" customFormat="1">
      <c r="A473" s="3085"/>
      <c r="C473" s="3086"/>
      <c r="E473" s="3085"/>
    </row>
    <row r="474" spans="1:5" s="1995" customFormat="1">
      <c r="A474" s="3085"/>
      <c r="C474" s="3086"/>
      <c r="E474" s="3085"/>
    </row>
    <row r="475" spans="1:5" s="1995" customFormat="1">
      <c r="A475" s="3085"/>
      <c r="C475" s="3086"/>
      <c r="E475" s="3085"/>
    </row>
    <row r="476" spans="1:5" s="1995" customFormat="1">
      <c r="A476" s="3085"/>
      <c r="C476" s="3086"/>
      <c r="E476" s="3085"/>
    </row>
    <row r="477" spans="1:5" s="1995" customFormat="1">
      <c r="A477" s="3085"/>
      <c r="C477" s="3086"/>
      <c r="E477" s="3085"/>
    </row>
    <row r="478" spans="1:5" s="1995" customFormat="1">
      <c r="A478" s="3085"/>
      <c r="C478" s="3086"/>
      <c r="E478" s="3085"/>
    </row>
    <row r="479" spans="1:5" s="1995" customFormat="1">
      <c r="A479" s="3085"/>
      <c r="C479" s="3086"/>
      <c r="E479" s="3085"/>
    </row>
    <row r="480" spans="1:5" s="1995" customFormat="1">
      <c r="A480" s="3085"/>
      <c r="C480" s="3086"/>
      <c r="E480" s="3085"/>
    </row>
    <row r="481" spans="1:5" s="1995" customFormat="1">
      <c r="A481" s="3085"/>
      <c r="C481" s="3086"/>
      <c r="E481" s="3085"/>
    </row>
    <row r="482" spans="1:5" s="1995" customFormat="1">
      <c r="A482" s="3085"/>
      <c r="C482" s="3086"/>
      <c r="E482" s="3085"/>
    </row>
    <row r="483" spans="1:5" s="1995" customFormat="1">
      <c r="A483" s="3085"/>
      <c r="C483" s="3086"/>
      <c r="E483" s="3085"/>
    </row>
    <row r="484" spans="1:5" s="1995" customFormat="1">
      <c r="A484" s="3085"/>
      <c r="C484" s="3086"/>
      <c r="E484" s="3085"/>
    </row>
    <row r="485" spans="1:5" s="1995" customFormat="1">
      <c r="A485" s="3085"/>
      <c r="C485" s="3086"/>
      <c r="E485" s="3085"/>
    </row>
    <row r="486" spans="1:5" s="1995" customFormat="1">
      <c r="A486" s="3085"/>
      <c r="C486" s="3086"/>
      <c r="E486" s="3085"/>
    </row>
    <row r="487" spans="1:5" s="1995" customFormat="1">
      <c r="A487" s="3085"/>
      <c r="C487" s="3086"/>
      <c r="E487" s="3085"/>
    </row>
    <row r="488" spans="1:5" s="1995" customFormat="1">
      <c r="A488" s="3085"/>
      <c r="C488" s="3086"/>
      <c r="E488" s="3085"/>
    </row>
    <row r="489" spans="1:5" s="1995" customFormat="1">
      <c r="A489" s="3085"/>
      <c r="C489" s="3086"/>
      <c r="E489" s="3085"/>
    </row>
    <row r="490" spans="1:5" s="1995" customFormat="1">
      <c r="A490" s="3085"/>
      <c r="C490" s="3086"/>
      <c r="E490" s="308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2608</v>
      </c>
      <c r="B6" s="426"/>
      <c r="C6" s="1550">
        <f>SUM(C10:K10)</f>
        <v>0</v>
      </c>
      <c r="D6" s="1989"/>
      <c r="E6" s="1989"/>
      <c r="F6" s="1989"/>
      <c r="G6" s="1989"/>
      <c r="H6" s="1989"/>
      <c r="I6" s="1989"/>
      <c r="J6" s="1989"/>
      <c r="K6" s="1990"/>
      <c r="L6" s="3077"/>
      <c r="M6" s="3077"/>
      <c r="N6" s="3077"/>
      <c r="O6" s="3077"/>
      <c r="P6" s="3077"/>
      <c r="Q6" s="3077"/>
      <c r="R6" s="3077"/>
      <c r="S6" s="3077"/>
      <c r="T6" s="3077"/>
      <c r="U6" s="3077"/>
      <c r="V6" s="3077"/>
      <c r="W6" s="3077"/>
      <c r="X6" s="3077"/>
      <c r="Y6" s="3077"/>
      <c r="Z6" s="3077"/>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077"/>
      <c r="M11" s="3077"/>
      <c r="N11" s="3077"/>
      <c r="O11" s="3077"/>
      <c r="P11" s="3077"/>
      <c r="Q11" s="3077"/>
      <c r="R11" s="3077"/>
      <c r="S11" s="3077"/>
      <c r="T11" s="3077"/>
      <c r="U11" s="3077"/>
      <c r="V11" s="3077"/>
      <c r="W11" s="3077"/>
      <c r="X11" s="3077"/>
      <c r="Y11" s="3077"/>
      <c r="Z11" s="3077"/>
    </row>
    <row r="12" spans="1:41" s="1965" customFormat="1" ht="13.5" customHeight="1">
      <c r="A12" s="427" t="s">
        <v>464</v>
      </c>
      <c r="B12" s="437" t="s">
        <v>465</v>
      </c>
      <c r="C12" s="438" t="s">
        <v>469</v>
      </c>
      <c r="D12" s="439" t="s">
        <v>470</v>
      </c>
      <c r="E12" s="439" t="s">
        <v>471</v>
      </c>
      <c r="F12" s="439" t="s">
        <v>472</v>
      </c>
      <c r="G12" s="437"/>
      <c r="H12" s="440"/>
      <c r="I12" s="440"/>
      <c r="J12" s="440"/>
      <c r="K12" s="441"/>
      <c r="L12" s="3078"/>
      <c r="M12" s="3078"/>
      <c r="N12" s="3078"/>
      <c r="O12" s="3078"/>
      <c r="P12" s="3078"/>
      <c r="Q12" s="3078"/>
      <c r="R12" s="3078"/>
      <c r="S12" s="3078"/>
      <c r="T12" s="3078"/>
      <c r="U12" s="3078"/>
      <c r="V12" s="3078"/>
      <c r="W12" s="3078"/>
      <c r="X12" s="3078"/>
      <c r="Y12" s="3078"/>
      <c r="Z12" s="3078"/>
    </row>
    <row r="13" spans="1:41" s="1996" customFormat="1" ht="13.5" customHeight="1">
      <c r="A13" s="1560" t="s">
        <v>1839</v>
      </c>
      <c r="B13" s="442" t="s">
        <v>473</v>
      </c>
      <c r="C13" s="443">
        <f ca="1">IF(B1="",'数据-取费表'!M16,INDIRECT("'数据-取费表'!M"&amp;$K$1)+INDIRECT("'数据-取费表'!t"&amp;$K$1))</f>
        <v>2924</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3">
        <f ca="1">ROUND(C13*F14,0)</f>
        <v>88</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3">
        <f ca="1">ROUND(D16*E16/10000,0)</f>
        <v>292</v>
      </c>
      <c r="D16" s="444">
        <f ca="1">IF(B1="",'数据-汇总表'!E3,INDIRECT("'数据-取费表'!K"&amp;$K$1)+INDIRECT("'数据-取费表'!S"&amp;$K$1))</f>
        <v>14621.33</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44</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3348</v>
      </c>
      <c r="D18" s="454"/>
      <c r="E18" s="455"/>
      <c r="F18" s="455"/>
      <c r="G18" s="1280" t="s">
        <v>2413</v>
      </c>
      <c r="H18" s="440"/>
      <c r="I18" s="440"/>
      <c r="J18" s="440"/>
      <c r="K18" s="441"/>
      <c r="L18" s="3080"/>
      <c r="M18" s="3080"/>
      <c r="N18" s="3080"/>
      <c r="O18" s="3080"/>
      <c r="P18" s="3080"/>
      <c r="Q18" s="3080"/>
      <c r="R18" s="3080"/>
      <c r="S18" s="3080"/>
      <c r="T18" s="3080"/>
      <c r="U18" s="3080"/>
      <c r="V18" s="3080"/>
      <c r="W18" s="3080"/>
      <c r="X18" s="3080"/>
      <c r="Y18" s="3080"/>
      <c r="Z18" s="3080"/>
    </row>
    <row r="19" spans="1:26" s="1999" customFormat="1" ht="13.5" customHeight="1">
      <c r="A19" s="1561" t="s">
        <v>1845</v>
      </c>
      <c r="B19" s="452" t="s">
        <v>487</v>
      </c>
      <c r="C19" s="453">
        <f ca="1">ROUND(C18*F19,0)</f>
        <v>50</v>
      </c>
      <c r="D19" s="455"/>
      <c r="E19" s="455"/>
      <c r="F19" s="459">
        <f>'数据-取费表'!B37</f>
        <v>1.4999999999999999E-2</v>
      </c>
      <c r="G19" s="437" t="s">
        <v>497</v>
      </c>
      <c r="H19" s="440"/>
      <c r="I19" s="440"/>
      <c r="J19" s="440"/>
      <c r="K19" s="441"/>
      <c r="L19" s="3082"/>
      <c r="M19" s="3082"/>
      <c r="N19" s="3082"/>
      <c r="O19" s="3080"/>
      <c r="P19" s="3080"/>
      <c r="Q19" s="3080"/>
      <c r="R19" s="3080"/>
      <c r="S19" s="3080"/>
      <c r="T19" s="3080"/>
      <c r="U19" s="3080"/>
      <c r="V19" s="3080"/>
      <c r="W19" s="3080"/>
      <c r="X19" s="3080"/>
      <c r="Y19" s="3080"/>
      <c r="Z19" s="3080"/>
    </row>
    <row r="20" spans="1:26" s="1999" customFormat="1" ht="13.5" customHeight="1">
      <c r="A20" s="1561" t="s">
        <v>1846</v>
      </c>
      <c r="B20" s="452" t="s">
        <v>498</v>
      </c>
      <c r="C20" s="2741">
        <f>F20</f>
        <v>1.4999999999999999E-2</v>
      </c>
      <c r="D20" s="462" t="s">
        <v>499</v>
      </c>
      <c r="E20" s="462"/>
      <c r="F20" s="479">
        <f>'数据-取费表'!B38</f>
        <v>1.4999999999999999E-2</v>
      </c>
      <c r="G20" s="1280" t="s">
        <v>500</v>
      </c>
      <c r="H20" s="440"/>
      <c r="I20" s="440"/>
      <c r="J20" s="440"/>
      <c r="K20" s="441"/>
      <c r="L20" s="3082"/>
      <c r="M20" s="3082"/>
      <c r="N20" s="3082"/>
      <c r="O20" s="3080"/>
      <c r="P20" s="3080"/>
      <c r="Q20" s="3080"/>
      <c r="R20" s="3080"/>
      <c r="S20" s="3080"/>
      <c r="T20" s="3080"/>
      <c r="U20" s="3080"/>
      <c r="V20" s="3080"/>
      <c r="W20" s="3080"/>
      <c r="X20" s="3080"/>
      <c r="Y20" s="3080"/>
      <c r="Z20" s="3080"/>
    </row>
    <row r="21" spans="1:26" s="2001" customFormat="1" ht="13.5" customHeight="1">
      <c r="A21" s="1561" t="s">
        <v>1849</v>
      </c>
      <c r="B21" s="454" t="s">
        <v>488</v>
      </c>
      <c r="C21" s="463">
        <f ca="1">C22</f>
        <v>74</v>
      </c>
      <c r="D21" s="460">
        <f ca="1">C23</f>
        <v>2.9999999999999997E-4</v>
      </c>
      <c r="E21" s="462" t="s">
        <v>501</v>
      </c>
      <c r="F21" s="464">
        <f ca="1">'数据-取费表'!B40</f>
        <v>4.3499999999999997E-2</v>
      </c>
      <c r="G21" s="1280" t="str">
        <f>IF('数据-取费表'!B22&lt;=1,"单利计息。","复利计息。")&amp;"建造成本、管理费用及销售费用产生的利息。"</f>
        <v>单利计息。建造成本、管理费用及销售费用产生的利息。</v>
      </c>
      <c r="H21" s="440"/>
      <c r="I21" s="440"/>
      <c r="J21" s="440"/>
      <c r="K21" s="441"/>
      <c r="L21" s="3088" t="s">
        <v>2434</v>
      </c>
      <c r="M21" s="3089"/>
      <c r="N21" s="3089"/>
      <c r="O21" s="3089"/>
      <c r="P21" s="3089"/>
      <c r="Q21" s="3082"/>
      <c r="R21" s="3082"/>
      <c r="S21" s="3082"/>
      <c r="T21" s="3082"/>
      <c r="U21" s="3082"/>
      <c r="V21" s="3082"/>
      <c r="W21" s="3082"/>
      <c r="X21" s="3082"/>
      <c r="Y21" s="3082"/>
      <c r="Z21" s="3082"/>
    </row>
    <row r="22" spans="1:26" s="2000" customFormat="1" ht="13.5" customHeight="1">
      <c r="A22" s="1560" t="s">
        <v>1839</v>
      </c>
      <c r="B22" s="1281" t="s">
        <v>2416</v>
      </c>
      <c r="C22" s="480">
        <f ca="1">ROUND(IF('数据-取费表'!B22&lt;=1,(C18+C19)*F21*'数据-取费表'!B20/2,(C18+C19)*(POWER((1+F21),'数据-取费表'!B20/2)-1)),0)</f>
        <v>74</v>
      </c>
      <c r="D22" s="465"/>
      <c r="E22" s="466"/>
      <c r="F22" s="467"/>
      <c r="G22" s="2418" t="str">
        <f>IF('数据-取费表'!B22&lt;=1,"((1)+(2))×年利率×建设期÷2","((1)+(2))×((1+年利率)^(建设期÷2)-1)")</f>
        <v>((1)+(2))×年利率×建设期÷2</v>
      </c>
      <c r="H22" s="450"/>
      <c r="I22" s="450"/>
      <c r="J22" s="450"/>
      <c r="K22" s="451"/>
      <c r="L22" s="3081"/>
      <c r="M22" s="3081"/>
      <c r="N22" s="3081"/>
      <c r="O22" s="3081"/>
      <c r="P22" s="3081"/>
      <c r="Q22" s="3081"/>
      <c r="R22" s="3081"/>
      <c r="S22" s="3081"/>
      <c r="T22" s="3081"/>
      <c r="U22" s="3081"/>
      <c r="V22" s="3081"/>
      <c r="W22" s="3081"/>
      <c r="X22" s="3081"/>
      <c r="Y22" s="3081"/>
      <c r="Z22" s="3081"/>
    </row>
    <row r="23" spans="1:26" s="2000" customFormat="1" ht="13.5" customHeight="1">
      <c r="A23" s="1560" t="s">
        <v>1840</v>
      </c>
      <c r="B23" s="1281" t="s">
        <v>502</v>
      </c>
      <c r="C23" s="481">
        <f ca="1">ROUND(IF('数据-取费表'!B22&lt;=1,F20*F21*'数据-取费表'!B20/2,F20*(POWER((1+F21),'数据-取费表'!B20/2)-1)),4)</f>
        <v>2.9999999999999997E-4</v>
      </c>
      <c r="D23" s="465"/>
      <c r="E23" s="466"/>
      <c r="F23" s="467"/>
      <c r="G23" s="2418" t="str">
        <f>IF('数据-取费表'!B22&lt;=1,"销售费用率×年利率×建设期÷2","销售费用率×((1+年利率)^(建设期÷2)-1)")</f>
        <v>销售费用率×年利率×建设期÷2</v>
      </c>
      <c r="H23" s="450"/>
      <c r="I23" s="450"/>
      <c r="J23" s="450"/>
      <c r="K23" s="451"/>
      <c r="L23" s="3081"/>
      <c r="M23" s="3081"/>
      <c r="N23" s="3081"/>
      <c r="O23" s="3081"/>
      <c r="P23" s="3081"/>
      <c r="Q23" s="3081"/>
      <c r="R23" s="3081"/>
      <c r="S23" s="3081"/>
      <c r="T23" s="3081"/>
      <c r="U23" s="3081"/>
      <c r="V23" s="3081"/>
      <c r="W23" s="3081"/>
      <c r="X23" s="3081"/>
      <c r="Y23" s="3081"/>
      <c r="Z23" s="3081"/>
    </row>
    <row r="24" spans="1:26" s="2000" customFormat="1" ht="13.5" customHeight="1">
      <c r="A24" s="1561" t="s">
        <v>1850</v>
      </c>
      <c r="B24" s="2743" t="s">
        <v>2787</v>
      </c>
      <c r="C24" s="471">
        <f ca="1">C25</f>
        <v>340</v>
      </c>
      <c r="D24" s="482">
        <f ca="1">C26</f>
        <v>1.5E-3</v>
      </c>
      <c r="E24" s="462" t="s">
        <v>501</v>
      </c>
      <c r="F24" s="472">
        <f ca="1">IF(B1="",'数据-取费表'!Q16,INDIRECT("'数据-取费表'!q"&amp;$K$1))</f>
        <v>0.1</v>
      </c>
      <c r="G24" s="437"/>
      <c r="H24" s="440"/>
      <c r="I24" s="440"/>
      <c r="J24" s="440"/>
      <c r="K24" s="441"/>
      <c r="L24" s="3081"/>
      <c r="M24" s="3081"/>
      <c r="N24" s="3081"/>
      <c r="O24" s="3081"/>
      <c r="P24" s="3081"/>
      <c r="Q24" s="3081"/>
      <c r="R24" s="3081"/>
      <c r="S24" s="3081"/>
      <c r="T24" s="3081"/>
      <c r="U24" s="3081"/>
      <c r="V24" s="3081"/>
      <c r="W24" s="3081"/>
      <c r="X24" s="3081"/>
      <c r="Y24" s="3081"/>
      <c r="Z24" s="3081"/>
    </row>
    <row r="25" spans="1:26" s="2000" customFormat="1" ht="13.5" customHeight="1">
      <c r="A25" s="1560" t="s">
        <v>1839</v>
      </c>
      <c r="B25" s="1281" t="s">
        <v>2417</v>
      </c>
      <c r="C25" s="483">
        <f ca="1">ROUND((C18+C19)*F24,0)</f>
        <v>340</v>
      </c>
      <c r="D25" s="465"/>
      <c r="E25" s="466"/>
      <c r="F25" s="473"/>
      <c r="G25" s="1279" t="s">
        <v>2414</v>
      </c>
      <c r="H25" s="450"/>
      <c r="I25" s="450"/>
      <c r="J25" s="450"/>
      <c r="K25" s="451"/>
      <c r="L25" s="3081"/>
      <c r="M25" s="3081"/>
      <c r="N25" s="3081"/>
      <c r="O25" s="3081"/>
      <c r="P25" s="3081"/>
      <c r="Q25" s="3081"/>
      <c r="R25" s="3081"/>
      <c r="S25" s="3081"/>
      <c r="T25" s="3081"/>
      <c r="U25" s="3081"/>
      <c r="V25" s="3081"/>
      <c r="W25" s="3081"/>
      <c r="X25" s="3081"/>
      <c r="Y25" s="3081"/>
      <c r="Z25" s="3081"/>
    </row>
    <row r="26" spans="1:26" s="2000" customFormat="1" ht="13.5" customHeight="1">
      <c r="A26" s="1560" t="s">
        <v>1840</v>
      </c>
      <c r="B26" s="1281" t="s">
        <v>503</v>
      </c>
      <c r="C26" s="484">
        <f ca="1">ROUND(F20*F24,4)</f>
        <v>1.5E-3</v>
      </c>
      <c r="D26" s="465"/>
      <c r="E26" s="474"/>
      <c r="F26" s="473"/>
      <c r="G26" s="1279" t="s">
        <v>504</v>
      </c>
      <c r="H26" s="450"/>
      <c r="I26" s="450"/>
      <c r="J26" s="450"/>
      <c r="K26" s="451"/>
      <c r="L26" s="3081"/>
      <c r="M26" s="3081"/>
      <c r="N26" s="3081"/>
      <c r="O26" s="3081"/>
      <c r="P26" s="3081"/>
      <c r="Q26" s="3081"/>
      <c r="R26" s="3081"/>
      <c r="S26" s="3081"/>
      <c r="T26" s="3081"/>
      <c r="U26" s="3081"/>
      <c r="V26" s="3081"/>
      <c r="W26" s="3081"/>
      <c r="X26" s="3081"/>
      <c r="Y26" s="3081"/>
      <c r="Z26" s="3081"/>
    </row>
    <row r="27" spans="1:26" s="2000" customFormat="1" ht="13.5" customHeight="1">
      <c r="A27" s="1564" t="s">
        <v>1858</v>
      </c>
      <c r="B27" s="452" t="s">
        <v>505</v>
      </c>
      <c r="C27" s="2742">
        <f>ROUND(F27/(1+'数据-取费表'!C42),4)</f>
        <v>5.2400000000000002E-2</v>
      </c>
      <c r="D27" s="455" t="s">
        <v>2785</v>
      </c>
      <c r="E27" s="455"/>
      <c r="F27" s="459">
        <f>'数据-取费表'!B41</f>
        <v>5.5000000000000007E-2</v>
      </c>
      <c r="G27" s="1872" t="s">
        <v>2276</v>
      </c>
      <c r="H27" s="440"/>
      <c r="I27" s="440"/>
      <c r="J27" s="440"/>
      <c r="K27" s="441"/>
      <c r="L27" s="3081"/>
      <c r="M27" s="3081"/>
      <c r="N27" s="3081"/>
      <c r="O27" s="3081"/>
      <c r="P27" s="3081"/>
      <c r="Q27" s="3081"/>
      <c r="R27" s="3081"/>
      <c r="S27" s="3081"/>
      <c r="T27" s="3081"/>
      <c r="U27" s="3081"/>
      <c r="V27" s="3081"/>
      <c r="W27" s="3081"/>
      <c r="X27" s="3081"/>
      <c r="Y27" s="3081"/>
      <c r="Z27" s="3081"/>
    </row>
    <row r="28" spans="1:26" s="2001" customFormat="1" ht="13.5" customHeight="1">
      <c r="A28" s="1564" t="s">
        <v>1859</v>
      </c>
      <c r="B28" s="469" t="s">
        <v>506</v>
      </c>
      <c r="C28" s="463">
        <f ca="1">ROUND((C18+C19+C21+C24)/(1-C20-D21-D24-C27),0)</f>
        <v>4095</v>
      </c>
      <c r="D28" s="470"/>
      <c r="E28" s="462"/>
      <c r="F28" s="464"/>
      <c r="G28" s="1280" t="s">
        <v>2415</v>
      </c>
      <c r="H28" s="440"/>
      <c r="I28" s="440"/>
      <c r="J28" s="440"/>
      <c r="K28" s="441"/>
      <c r="L28" s="3082"/>
      <c r="M28" s="3082"/>
      <c r="N28" s="3082"/>
      <c r="O28" s="3082"/>
      <c r="P28" s="3082"/>
      <c r="Q28" s="3082"/>
      <c r="R28" s="3082"/>
      <c r="S28" s="3082"/>
      <c r="T28" s="3082"/>
      <c r="U28" s="3082"/>
      <c r="V28" s="3082"/>
      <c r="W28" s="3082"/>
      <c r="X28" s="3082"/>
      <c r="Y28" s="3082"/>
      <c r="Z28" s="3082"/>
    </row>
    <row r="29" spans="1:26" s="2001" customFormat="1" ht="13.5" customHeight="1">
      <c r="A29" s="1564" t="s">
        <v>1860</v>
      </c>
      <c r="B29" s="469" t="s">
        <v>507</v>
      </c>
      <c r="C29" s="485">
        <f ca="1">IF(B1="",'数据-取费表'!N16,INDIRECT("'数据-取费表'!N"&amp;$K$1))</f>
        <v>0</v>
      </c>
      <c r="D29" s="486"/>
      <c r="E29" s="487"/>
      <c r="F29" s="488"/>
      <c r="G29" s="437"/>
      <c r="H29" s="440"/>
      <c r="I29" s="440"/>
      <c r="J29" s="440"/>
      <c r="K29" s="441"/>
      <c r="L29" s="3082"/>
      <c r="M29" s="3082"/>
      <c r="N29" s="3082"/>
      <c r="O29" s="3082"/>
      <c r="P29" s="3082"/>
      <c r="Q29" s="3082"/>
      <c r="R29" s="3082"/>
      <c r="S29" s="3082"/>
      <c r="T29" s="3082"/>
      <c r="U29" s="3082"/>
      <c r="V29" s="3082"/>
      <c r="W29" s="3082"/>
      <c r="X29" s="3082"/>
      <c r="Y29" s="3082"/>
      <c r="Z29" s="3082"/>
    </row>
    <row r="30" spans="1:26" s="2001" customFormat="1" ht="13.5" customHeight="1">
      <c r="A30" s="436">
        <v>2</v>
      </c>
      <c r="B30" s="469" t="s">
        <v>508</v>
      </c>
      <c r="C30" s="490">
        <f ca="1">ROUND(C28*C29,0)</f>
        <v>0</v>
      </c>
      <c r="D30" s="486"/>
      <c r="E30" s="491"/>
      <c r="F30" s="492"/>
      <c r="G30" s="1282" t="s">
        <v>509</v>
      </c>
      <c r="H30" s="489"/>
      <c r="I30" s="489"/>
      <c r="J30" s="440"/>
      <c r="K30" s="441"/>
      <c r="L30" s="3082"/>
      <c r="M30" s="3082"/>
      <c r="N30" s="3082"/>
      <c r="O30" s="3082"/>
      <c r="P30" s="3082"/>
      <c r="Q30" s="3082"/>
      <c r="R30" s="3082"/>
      <c r="S30" s="3082"/>
      <c r="T30" s="3082"/>
      <c r="U30" s="3082"/>
      <c r="V30" s="3082"/>
      <c r="W30" s="3082"/>
      <c r="X30" s="3082"/>
      <c r="Y30" s="3082"/>
      <c r="Z30" s="3082"/>
    </row>
    <row r="31" spans="1:26" s="2006" customFormat="1" ht="13.5" customHeight="1">
      <c r="A31" s="2333" t="s">
        <v>1856</v>
      </c>
      <c r="B31" s="1283"/>
      <c r="C31" s="493">
        <f>ROUND(C6*F31/(1+'数据-取费表'!C42),0)</f>
        <v>0</v>
      </c>
      <c r="D31" s="1284"/>
      <c r="E31" s="1284"/>
      <c r="F31" s="494">
        <f>'数据-取费表'!B41</f>
        <v>5.5000000000000007E-2</v>
      </c>
      <c r="G31" s="1285"/>
      <c r="H31" s="1285"/>
      <c r="I31" s="1285"/>
      <c r="J31" s="1286"/>
      <c r="K31" s="1287"/>
      <c r="L31" s="3087"/>
      <c r="M31" s="3087"/>
      <c r="N31" s="3087"/>
      <c r="O31" s="3087"/>
      <c r="P31" s="3087"/>
      <c r="Q31" s="3087"/>
      <c r="R31" s="3087"/>
      <c r="S31" s="3087"/>
      <c r="T31" s="3087"/>
      <c r="U31" s="3087"/>
      <c r="V31" s="3087"/>
      <c r="W31" s="3087"/>
      <c r="X31" s="3087"/>
      <c r="Y31" s="3087"/>
      <c r="Z31" s="3087"/>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2904</v>
      </c>
      <c r="H32" s="476"/>
      <c r="I32" s="476"/>
      <c r="J32" s="476"/>
      <c r="K32" s="478"/>
      <c r="L32" s="3078"/>
      <c r="M32" s="3078"/>
      <c r="N32" s="3078"/>
      <c r="O32" s="3078"/>
      <c r="P32" s="3078"/>
      <c r="Q32" s="3078"/>
      <c r="R32" s="3078"/>
      <c r="S32" s="3078"/>
      <c r="T32" s="3078"/>
      <c r="U32" s="3078"/>
      <c r="V32" s="3078"/>
      <c r="W32" s="3078"/>
      <c r="X32" s="3078"/>
      <c r="Y32" s="3078"/>
      <c r="Z32" s="3078"/>
    </row>
    <row r="33" spans="1:5" s="1995" customFormat="1">
      <c r="A33" s="3085"/>
      <c r="C33" s="3086"/>
      <c r="E33" s="3085"/>
    </row>
    <row r="34" spans="1:5" s="1995" customFormat="1" ht="12.75" customHeight="1">
      <c r="A34" s="3085"/>
      <c r="C34" s="3086"/>
      <c r="E34" s="3085"/>
    </row>
    <row r="35" spans="1:5" s="1995" customFormat="1">
      <c r="A35" s="3085"/>
      <c r="C35" s="3086"/>
      <c r="E35" s="3085"/>
    </row>
    <row r="36" spans="1:5" s="1995" customFormat="1">
      <c r="A36" s="3085"/>
      <c r="C36" s="3086"/>
      <c r="E36" s="3085"/>
    </row>
    <row r="37" spans="1:5" s="1995" customFormat="1">
      <c r="A37" s="3085"/>
      <c r="C37" s="3086"/>
      <c r="E37" s="3085"/>
    </row>
    <row r="38" spans="1:5" s="1995" customFormat="1">
      <c r="A38" s="3085"/>
      <c r="C38" s="3086"/>
      <c r="E38" s="3085"/>
    </row>
    <row r="39" spans="1:5" s="1995" customFormat="1">
      <c r="A39" s="3085"/>
      <c r="C39" s="3086"/>
      <c r="E39" s="3085"/>
    </row>
    <row r="40" spans="1:5" s="1995" customFormat="1">
      <c r="A40" s="3085"/>
      <c r="C40" s="3086"/>
      <c r="E40" s="3085"/>
    </row>
    <row r="41" spans="1:5" s="1995" customFormat="1">
      <c r="A41" s="3085"/>
      <c r="C41" s="3086"/>
      <c r="E41" s="3085"/>
    </row>
    <row r="42" spans="1:5" s="1995" customFormat="1">
      <c r="A42" s="3085"/>
      <c r="C42" s="3086"/>
      <c r="E42" s="3085"/>
    </row>
    <row r="43" spans="1:5" s="1995" customFormat="1">
      <c r="A43" s="3085"/>
      <c r="C43" s="3086"/>
      <c r="E43" s="3085"/>
    </row>
    <row r="44" spans="1:5" s="1995" customFormat="1">
      <c r="A44" s="3085"/>
      <c r="C44" s="3086"/>
      <c r="E44" s="3085"/>
    </row>
    <row r="45" spans="1:5" s="1995" customFormat="1">
      <c r="A45" s="3085"/>
      <c r="C45" s="3086"/>
      <c r="E45" s="3085"/>
    </row>
    <row r="46" spans="1:5" s="1995" customFormat="1">
      <c r="A46" s="3085"/>
      <c r="C46" s="3086"/>
      <c r="E46" s="3085"/>
    </row>
    <row r="47" spans="1:5" s="1995" customFormat="1">
      <c r="A47" s="3085"/>
      <c r="C47" s="3086"/>
      <c r="E47" s="3085"/>
    </row>
    <row r="48" spans="1:5" s="1995" customFormat="1">
      <c r="A48" s="3085"/>
      <c r="C48" s="3086"/>
      <c r="E48" s="3085"/>
    </row>
    <row r="49" spans="1:5" s="1995" customFormat="1">
      <c r="A49" s="3085"/>
      <c r="C49" s="3086"/>
      <c r="E49" s="3085"/>
    </row>
    <row r="50" spans="1:5" s="1995" customFormat="1">
      <c r="A50" s="3085"/>
      <c r="C50" s="3086"/>
      <c r="E50" s="3085"/>
    </row>
    <row r="51" spans="1:5" s="1995" customFormat="1">
      <c r="A51" s="3085"/>
      <c r="C51" s="3086"/>
      <c r="E51" s="3085"/>
    </row>
    <row r="52" spans="1:5" s="1995" customFormat="1">
      <c r="A52" s="3085"/>
      <c r="C52" s="3086"/>
      <c r="E52" s="3085"/>
    </row>
    <row r="53" spans="1:5" s="1995" customFormat="1">
      <c r="A53" s="3085"/>
      <c r="C53" s="3086"/>
      <c r="E53" s="3085"/>
    </row>
    <row r="54" spans="1:5" s="1995" customFormat="1">
      <c r="A54" s="3085"/>
      <c r="C54" s="3086"/>
      <c r="E54" s="3085"/>
    </row>
    <row r="55" spans="1:5" s="1995" customFormat="1">
      <c r="A55" s="3085"/>
      <c r="C55" s="3086"/>
      <c r="E55" s="3085"/>
    </row>
    <row r="56" spans="1:5" s="1995" customFormat="1">
      <c r="A56" s="3085"/>
      <c r="C56" s="3086"/>
      <c r="E56" s="3085"/>
    </row>
    <row r="57" spans="1:5" s="1995" customFormat="1">
      <c r="A57" s="3085"/>
      <c r="C57" s="3086"/>
      <c r="E57" s="3085"/>
    </row>
    <row r="58" spans="1:5" s="1995" customFormat="1">
      <c r="A58" s="3085"/>
      <c r="C58" s="3086"/>
      <c r="E58" s="3085"/>
    </row>
    <row r="59" spans="1:5" s="1995" customFormat="1">
      <c r="A59" s="3085"/>
      <c r="C59" s="3086"/>
      <c r="E59" s="3085"/>
    </row>
    <row r="60" spans="1:5" s="1995" customFormat="1">
      <c r="A60" s="3085"/>
      <c r="C60" s="3086"/>
      <c r="E60" s="3085"/>
    </row>
    <row r="61" spans="1:5" s="1995" customFormat="1">
      <c r="A61" s="3085"/>
      <c r="C61" s="3086"/>
      <c r="E61" s="3085"/>
    </row>
    <row r="62" spans="1:5" s="1995" customFormat="1">
      <c r="A62" s="3085"/>
      <c r="C62" s="3086"/>
      <c r="E62" s="3085"/>
    </row>
    <row r="63" spans="1:5" s="1995" customFormat="1">
      <c r="A63" s="3085"/>
      <c r="C63" s="3086"/>
      <c r="E63" s="3085"/>
    </row>
    <row r="64" spans="1:5" s="1995" customFormat="1">
      <c r="A64" s="3085"/>
      <c r="C64" s="3086"/>
      <c r="E64" s="3085"/>
    </row>
    <row r="65" spans="1:5" s="1995" customFormat="1">
      <c r="A65" s="3085"/>
      <c r="C65" s="3086"/>
      <c r="E65" s="3085"/>
    </row>
    <row r="66" spans="1:5" s="1995" customFormat="1">
      <c r="A66" s="3085"/>
      <c r="C66" s="3086"/>
      <c r="E66" s="3085"/>
    </row>
    <row r="67" spans="1:5" s="1995" customFormat="1">
      <c r="A67" s="3085"/>
      <c r="C67" s="3086"/>
      <c r="E67" s="3085"/>
    </row>
    <row r="68" spans="1:5" s="1995" customFormat="1">
      <c r="A68" s="3085"/>
      <c r="C68" s="3086"/>
      <c r="E68" s="3085"/>
    </row>
    <row r="69" spans="1:5" s="1995" customFormat="1">
      <c r="A69" s="3085"/>
      <c r="C69" s="3086"/>
      <c r="E69" s="3085"/>
    </row>
    <row r="70" spans="1:5" s="1995" customFormat="1">
      <c r="A70" s="3085"/>
      <c r="C70" s="3086"/>
      <c r="E70" s="3085"/>
    </row>
    <row r="71" spans="1:5" s="1995" customFormat="1">
      <c r="A71" s="3085"/>
      <c r="C71" s="3086"/>
      <c r="E71" s="3085"/>
    </row>
    <row r="72" spans="1:5" s="1995" customFormat="1">
      <c r="A72" s="3085"/>
      <c r="C72" s="3086"/>
      <c r="E72" s="3085"/>
    </row>
    <row r="73" spans="1:5" s="1995" customFormat="1">
      <c r="A73" s="3085"/>
      <c r="C73" s="3086"/>
      <c r="E73" s="3085"/>
    </row>
    <row r="74" spans="1:5" s="1995" customFormat="1">
      <c r="A74" s="3085"/>
      <c r="C74" s="3086"/>
      <c r="E74" s="3085"/>
    </row>
    <row r="75" spans="1:5" s="1995" customFormat="1">
      <c r="A75" s="3085"/>
      <c r="C75" s="3086"/>
      <c r="E75" s="3085"/>
    </row>
    <row r="76" spans="1:5" s="1995" customFormat="1">
      <c r="A76" s="3085"/>
      <c r="C76" s="3086"/>
      <c r="E76" s="3085"/>
    </row>
    <row r="77" spans="1:5" s="1995" customFormat="1">
      <c r="A77" s="3085"/>
      <c r="C77" s="3086"/>
      <c r="E77" s="3085"/>
    </row>
    <row r="78" spans="1:5" s="1995" customFormat="1">
      <c r="A78" s="3085"/>
      <c r="C78" s="3086"/>
      <c r="E78" s="3085"/>
    </row>
    <row r="79" spans="1:5" s="1995" customFormat="1">
      <c r="A79" s="3085"/>
      <c r="C79" s="3086"/>
      <c r="E79" s="3085"/>
    </row>
    <row r="80" spans="1:5" s="1995" customFormat="1">
      <c r="A80" s="3085"/>
      <c r="C80" s="3086"/>
      <c r="E80" s="3085"/>
    </row>
    <row r="81" spans="1:5" s="1995" customFormat="1">
      <c r="A81" s="3085"/>
      <c r="C81" s="3086"/>
      <c r="E81" s="3085"/>
    </row>
    <row r="82" spans="1:5" s="1995" customFormat="1">
      <c r="A82" s="3085"/>
      <c r="C82" s="3086"/>
      <c r="E82" s="3085"/>
    </row>
    <row r="83" spans="1:5" s="1995" customFormat="1">
      <c r="A83" s="3085"/>
      <c r="C83" s="3086"/>
      <c r="E83" s="3085"/>
    </row>
    <row r="84" spans="1:5" s="1995" customFormat="1">
      <c r="A84" s="3085"/>
      <c r="C84" s="3086"/>
      <c r="E84" s="3085"/>
    </row>
    <row r="85" spans="1:5" s="1995" customFormat="1">
      <c r="A85" s="3085"/>
      <c r="C85" s="3086"/>
      <c r="E85" s="3085"/>
    </row>
    <row r="86" spans="1:5" s="1995" customFormat="1">
      <c r="A86" s="3085"/>
      <c r="C86" s="3086"/>
      <c r="E86" s="3085"/>
    </row>
    <row r="87" spans="1:5" s="1995" customFormat="1">
      <c r="A87" s="3085"/>
      <c r="C87" s="3086"/>
      <c r="E87" s="3085"/>
    </row>
    <row r="88" spans="1:5" s="1995" customFormat="1">
      <c r="A88" s="3085"/>
      <c r="C88" s="3086"/>
      <c r="E88" s="3085"/>
    </row>
    <row r="89" spans="1:5" s="1995" customFormat="1">
      <c r="A89" s="3085"/>
      <c r="C89" s="3086"/>
      <c r="E89" s="3085"/>
    </row>
    <row r="90" spans="1:5" s="1995" customFormat="1">
      <c r="A90" s="3085"/>
      <c r="C90" s="3086"/>
      <c r="E90" s="3085"/>
    </row>
    <row r="91" spans="1:5" s="1995" customFormat="1">
      <c r="A91" s="3085"/>
      <c r="C91" s="3086"/>
      <c r="E91" s="3085"/>
    </row>
    <row r="92" spans="1:5" s="1995" customFormat="1">
      <c r="A92" s="3085"/>
      <c r="C92" s="3086"/>
      <c r="E92" s="3085"/>
    </row>
    <row r="93" spans="1:5" s="1995" customFormat="1">
      <c r="A93" s="3085"/>
      <c r="C93" s="3086"/>
      <c r="E93" s="3085"/>
    </row>
    <row r="94" spans="1:5" s="1995" customFormat="1">
      <c r="A94" s="3085"/>
      <c r="C94" s="3086"/>
      <c r="E94" s="3085"/>
    </row>
    <row r="95" spans="1:5" s="1995" customFormat="1">
      <c r="A95" s="3085"/>
      <c r="C95" s="3086"/>
      <c r="E95" s="3085"/>
    </row>
    <row r="96" spans="1:5" s="1995" customFormat="1">
      <c r="A96" s="3085"/>
      <c r="C96" s="3086"/>
      <c r="E96" s="3085"/>
    </row>
    <row r="97" spans="1:5" s="1995" customFormat="1">
      <c r="A97" s="3085"/>
      <c r="C97" s="3086"/>
      <c r="E97" s="3085"/>
    </row>
    <row r="98" spans="1:5" s="1995" customFormat="1">
      <c r="A98" s="3085"/>
      <c r="C98" s="3086"/>
      <c r="E98" s="3085"/>
    </row>
    <row r="99" spans="1:5" s="1995" customFormat="1">
      <c r="A99" s="3085"/>
      <c r="C99" s="3086"/>
      <c r="E99" s="3085"/>
    </row>
    <row r="100" spans="1:5" s="1995" customFormat="1">
      <c r="A100" s="3085"/>
      <c r="C100" s="3086"/>
      <c r="E100" s="3085"/>
    </row>
    <row r="101" spans="1:5" s="1995" customFormat="1">
      <c r="A101" s="3085"/>
      <c r="C101" s="3086"/>
      <c r="E101" s="3085"/>
    </row>
    <row r="102" spans="1:5" s="1995" customFormat="1">
      <c r="A102" s="3085"/>
      <c r="C102" s="3086"/>
      <c r="E102" s="3085"/>
    </row>
    <row r="103" spans="1:5" s="1995" customFormat="1">
      <c r="A103" s="3085"/>
      <c r="C103" s="3086"/>
      <c r="E103" s="3085"/>
    </row>
    <row r="104" spans="1:5" s="1995" customFormat="1">
      <c r="A104" s="3085"/>
      <c r="C104" s="3086"/>
      <c r="E104" s="3085"/>
    </row>
    <row r="105" spans="1:5" s="1995" customFormat="1">
      <c r="A105" s="3085"/>
      <c r="C105" s="3086"/>
      <c r="E105" s="3085"/>
    </row>
    <row r="106" spans="1:5" s="1995" customFormat="1">
      <c r="A106" s="3085"/>
      <c r="C106" s="3086"/>
      <c r="E106" s="3085"/>
    </row>
    <row r="107" spans="1:5" s="1995" customFormat="1">
      <c r="A107" s="3085"/>
      <c r="C107" s="3086"/>
      <c r="E107" s="3085"/>
    </row>
    <row r="108" spans="1:5" s="1995" customFormat="1">
      <c r="A108" s="3085"/>
      <c r="C108" s="3086"/>
      <c r="E108" s="3085"/>
    </row>
    <row r="109" spans="1:5" s="1995" customFormat="1">
      <c r="A109" s="3085"/>
      <c r="C109" s="3086"/>
      <c r="E109" s="3085"/>
    </row>
    <row r="110" spans="1:5" s="1995" customFormat="1">
      <c r="A110" s="3085"/>
      <c r="C110" s="3086"/>
      <c r="E110" s="3085"/>
    </row>
    <row r="111" spans="1:5" s="1995" customFormat="1">
      <c r="A111" s="3085"/>
      <c r="C111" s="3086"/>
      <c r="E111" s="3085"/>
    </row>
    <row r="112" spans="1:5" s="1995" customFormat="1">
      <c r="A112" s="3085"/>
      <c r="C112" s="3086"/>
      <c r="E112" s="3085"/>
    </row>
    <row r="113" spans="1:5" s="1995" customFormat="1">
      <c r="A113" s="3085"/>
      <c r="C113" s="3086"/>
      <c r="E113" s="3085"/>
    </row>
    <row r="114" spans="1:5" s="1995" customFormat="1">
      <c r="A114" s="3085"/>
      <c r="C114" s="3086"/>
      <c r="E114" s="3085"/>
    </row>
    <row r="115" spans="1:5" s="1995" customFormat="1">
      <c r="A115" s="3085"/>
      <c r="C115" s="3086"/>
      <c r="E115" s="3085"/>
    </row>
    <row r="116" spans="1:5" s="1995" customFormat="1">
      <c r="A116" s="3085"/>
      <c r="C116" s="3086"/>
      <c r="E116" s="3085"/>
    </row>
    <row r="117" spans="1:5" s="1995" customFormat="1">
      <c r="A117" s="3085"/>
      <c r="C117" s="3086"/>
      <c r="E117" s="3085"/>
    </row>
    <row r="118" spans="1:5" s="1995" customFormat="1">
      <c r="A118" s="3085"/>
      <c r="C118" s="3086"/>
      <c r="E118" s="3085"/>
    </row>
    <row r="119" spans="1:5" s="1995" customFormat="1">
      <c r="A119" s="3085"/>
      <c r="C119" s="3086"/>
      <c r="E119" s="3085"/>
    </row>
    <row r="120" spans="1:5" s="1995" customFormat="1">
      <c r="A120" s="3085"/>
      <c r="C120" s="3086"/>
      <c r="E120" s="3085"/>
    </row>
    <row r="121" spans="1:5" s="1995" customFormat="1">
      <c r="A121" s="3085"/>
      <c r="C121" s="3086"/>
      <c r="E121" s="3085"/>
    </row>
    <row r="122" spans="1:5" s="1995" customFormat="1">
      <c r="A122" s="3085"/>
      <c r="C122" s="3086"/>
      <c r="E122" s="3085"/>
    </row>
    <row r="123" spans="1:5" s="1995" customFormat="1">
      <c r="A123" s="3085"/>
      <c r="C123" s="3086"/>
      <c r="E123" s="3085"/>
    </row>
    <row r="124" spans="1:5" s="1995" customFormat="1">
      <c r="A124" s="3085"/>
      <c r="C124" s="3086"/>
      <c r="E124" s="3085"/>
    </row>
    <row r="125" spans="1:5" s="1995" customFormat="1">
      <c r="A125" s="3085"/>
      <c r="C125" s="3086"/>
      <c r="E125" s="3085"/>
    </row>
    <row r="126" spans="1:5" s="1995" customFormat="1">
      <c r="A126" s="3085"/>
      <c r="C126" s="3086"/>
      <c r="E126" s="3085"/>
    </row>
    <row r="127" spans="1:5" s="1995" customFormat="1">
      <c r="A127" s="3085"/>
      <c r="C127" s="3086"/>
      <c r="E127" s="3085"/>
    </row>
    <row r="128" spans="1:5" s="1995" customFormat="1">
      <c r="A128" s="3085"/>
      <c r="C128" s="3086"/>
      <c r="E128" s="3085"/>
    </row>
    <row r="129" spans="1:5" s="1995" customFormat="1">
      <c r="A129" s="3085"/>
      <c r="C129" s="3086"/>
      <c r="E129" s="3085"/>
    </row>
    <row r="130" spans="1:5" s="1995" customFormat="1">
      <c r="A130" s="3085"/>
      <c r="C130" s="3086"/>
      <c r="E130" s="3085"/>
    </row>
    <row r="131" spans="1:5" s="1995" customFormat="1">
      <c r="A131" s="3085"/>
      <c r="C131" s="3086"/>
      <c r="E131" s="3085"/>
    </row>
    <row r="132" spans="1:5" s="1995" customFormat="1">
      <c r="A132" s="3085"/>
      <c r="C132" s="3086"/>
      <c r="E132" s="3085"/>
    </row>
    <row r="133" spans="1:5" s="1995" customFormat="1">
      <c r="A133" s="3085"/>
      <c r="C133" s="3086"/>
      <c r="E133" s="3085"/>
    </row>
    <row r="134" spans="1:5" s="1995" customFormat="1">
      <c r="A134" s="3085"/>
      <c r="C134" s="3086"/>
      <c r="E134" s="3085"/>
    </row>
    <row r="135" spans="1:5" s="1995" customFormat="1">
      <c r="A135" s="3085"/>
      <c r="C135" s="3086"/>
      <c r="E135" s="3085"/>
    </row>
    <row r="136" spans="1:5" s="1995" customFormat="1">
      <c r="A136" s="3085"/>
      <c r="C136" s="3086"/>
      <c r="E136" s="3085"/>
    </row>
    <row r="137" spans="1:5" s="1995" customFormat="1">
      <c r="A137" s="3085"/>
      <c r="C137" s="3086"/>
      <c r="E137" s="3085"/>
    </row>
    <row r="138" spans="1:5" s="1995" customFormat="1">
      <c r="A138" s="3085"/>
      <c r="C138" s="3086"/>
      <c r="E138" s="3085"/>
    </row>
    <row r="139" spans="1:5" s="1995" customFormat="1">
      <c r="A139" s="3085"/>
      <c r="C139" s="3086"/>
      <c r="E139" s="3085"/>
    </row>
    <row r="140" spans="1:5" s="1995" customFormat="1">
      <c r="A140" s="3085"/>
      <c r="C140" s="3086"/>
      <c r="E140" s="3085"/>
    </row>
    <row r="141" spans="1:5" s="1995" customFormat="1">
      <c r="A141" s="3085"/>
      <c r="C141" s="3086"/>
      <c r="E141" s="3085"/>
    </row>
    <row r="142" spans="1:5" s="1995" customFormat="1">
      <c r="A142" s="3085"/>
      <c r="C142" s="3086"/>
      <c r="E142" s="3085"/>
    </row>
    <row r="143" spans="1:5" s="1995" customFormat="1">
      <c r="A143" s="3085"/>
      <c r="C143" s="3086"/>
      <c r="E143" s="3085"/>
    </row>
    <row r="144" spans="1:5" s="1995" customFormat="1">
      <c r="A144" s="3085"/>
      <c r="C144" s="3086"/>
      <c r="E144" s="3085"/>
    </row>
    <row r="145" spans="1:5" s="1995" customFormat="1">
      <c r="A145" s="3085"/>
      <c r="C145" s="3086"/>
      <c r="E145" s="3085"/>
    </row>
    <row r="146" spans="1:5" s="1995" customFormat="1">
      <c r="A146" s="3085"/>
      <c r="C146" s="3086"/>
      <c r="E146" s="3085"/>
    </row>
    <row r="147" spans="1:5" s="1995" customFormat="1">
      <c r="A147" s="3085"/>
      <c r="C147" s="3086"/>
      <c r="E147" s="3085"/>
    </row>
    <row r="148" spans="1:5" s="1995" customFormat="1">
      <c r="A148" s="3085"/>
      <c r="C148" s="3086"/>
      <c r="E148" s="3085"/>
    </row>
    <row r="149" spans="1:5" s="1995" customFormat="1">
      <c r="A149" s="3085"/>
      <c r="C149" s="3086"/>
      <c r="E149" s="3085"/>
    </row>
    <row r="150" spans="1:5" s="1995" customFormat="1">
      <c r="A150" s="3085"/>
      <c r="C150" s="3086"/>
      <c r="E150" s="3085"/>
    </row>
    <row r="151" spans="1:5" s="1995" customFormat="1">
      <c r="A151" s="3085"/>
      <c r="C151" s="3086"/>
      <c r="E151" s="3085"/>
    </row>
    <row r="152" spans="1:5" s="1995" customFormat="1">
      <c r="A152" s="3085"/>
      <c r="C152" s="3086"/>
      <c r="E152" s="3085"/>
    </row>
    <row r="153" spans="1:5" s="1995" customFormat="1">
      <c r="A153" s="3085"/>
      <c r="C153" s="3086"/>
      <c r="E153" s="3085"/>
    </row>
    <row r="154" spans="1:5" s="1995" customFormat="1">
      <c r="A154" s="3085"/>
      <c r="C154" s="3086"/>
      <c r="E154" s="3085"/>
    </row>
    <row r="155" spans="1:5" s="1995" customFormat="1">
      <c r="A155" s="3085"/>
      <c r="C155" s="3086"/>
      <c r="E155" s="3085"/>
    </row>
    <row r="156" spans="1:5" s="1995" customFormat="1">
      <c r="A156" s="3085"/>
      <c r="C156" s="3086"/>
      <c r="E156" s="3085"/>
    </row>
    <row r="157" spans="1:5" s="1995" customFormat="1">
      <c r="A157" s="3085"/>
      <c r="C157" s="3086"/>
      <c r="E157" s="3085"/>
    </row>
    <row r="158" spans="1:5" s="1995" customFormat="1">
      <c r="A158" s="3085"/>
      <c r="C158" s="3086"/>
      <c r="E158" s="3085"/>
    </row>
    <row r="159" spans="1:5" s="1995" customFormat="1">
      <c r="A159" s="3085"/>
      <c r="C159" s="3086"/>
      <c r="E159" s="3085"/>
    </row>
    <row r="160" spans="1:5" s="1995" customFormat="1">
      <c r="A160" s="3085"/>
      <c r="C160" s="3086"/>
      <c r="E160" s="3085"/>
    </row>
    <row r="161" spans="1:5" s="1995" customFormat="1">
      <c r="A161" s="3085"/>
      <c r="C161" s="3086"/>
      <c r="E161" s="3085"/>
    </row>
    <row r="162" spans="1:5" s="1995" customFormat="1">
      <c r="A162" s="3085"/>
      <c r="C162" s="3086"/>
      <c r="E162" s="3085"/>
    </row>
    <row r="163" spans="1:5" s="1995" customFormat="1">
      <c r="A163" s="3085"/>
      <c r="C163" s="3086"/>
      <c r="E163" s="3085"/>
    </row>
    <row r="164" spans="1:5" s="1995" customFormat="1">
      <c r="A164" s="3085"/>
      <c r="C164" s="3086"/>
      <c r="E164" s="3085"/>
    </row>
    <row r="165" spans="1:5" s="1995" customFormat="1">
      <c r="A165" s="3085"/>
      <c r="C165" s="3086"/>
      <c r="E165" s="3085"/>
    </row>
    <row r="166" spans="1:5" s="1995" customFormat="1">
      <c r="A166" s="3085"/>
      <c r="C166" s="3086"/>
      <c r="E166" s="3085"/>
    </row>
    <row r="167" spans="1:5" s="1995" customFormat="1">
      <c r="A167" s="3085"/>
      <c r="C167" s="3086"/>
      <c r="E167" s="3085"/>
    </row>
    <row r="168" spans="1:5" s="1995" customFormat="1">
      <c r="A168" s="3085"/>
      <c r="C168" s="3086"/>
      <c r="E168" s="3085"/>
    </row>
    <row r="169" spans="1:5" s="1995" customFormat="1">
      <c r="A169" s="3085"/>
      <c r="C169" s="3086"/>
      <c r="E169" s="3085"/>
    </row>
    <row r="170" spans="1:5" s="1995" customFormat="1">
      <c r="A170" s="3085"/>
      <c r="C170" s="3086"/>
      <c r="E170" s="3085"/>
    </row>
    <row r="171" spans="1:5" s="1995" customFormat="1">
      <c r="A171" s="3085"/>
      <c r="C171" s="3086"/>
      <c r="E171" s="3085"/>
    </row>
    <row r="172" spans="1:5" s="1995" customFormat="1">
      <c r="A172" s="3085"/>
      <c r="C172" s="3086"/>
      <c r="E172" s="3085"/>
    </row>
    <row r="173" spans="1:5" s="1995" customFormat="1">
      <c r="A173" s="3085"/>
      <c r="C173" s="3086"/>
      <c r="E173" s="3085"/>
    </row>
    <row r="174" spans="1:5" s="1995" customFormat="1">
      <c r="A174" s="3085"/>
      <c r="C174" s="3086"/>
      <c r="E174" s="3085"/>
    </row>
    <row r="175" spans="1:5" s="1995" customFormat="1">
      <c r="A175" s="3085"/>
      <c r="C175" s="3086"/>
      <c r="E175" s="3085"/>
    </row>
    <row r="176" spans="1:5" s="1995" customFormat="1">
      <c r="A176" s="3085"/>
      <c r="C176" s="3086"/>
      <c r="E176" s="3085"/>
    </row>
    <row r="177" spans="1:5" s="1995" customFormat="1">
      <c r="A177" s="3085"/>
      <c r="C177" s="3086"/>
      <c r="E177" s="3085"/>
    </row>
    <row r="178" spans="1:5" s="1995" customFormat="1">
      <c r="A178" s="3085"/>
      <c r="C178" s="3086"/>
      <c r="E178" s="3085"/>
    </row>
    <row r="179" spans="1:5" s="1995" customFormat="1">
      <c r="A179" s="3085"/>
      <c r="C179" s="3086"/>
      <c r="E179" s="3085"/>
    </row>
    <row r="180" spans="1:5" s="1995" customFormat="1">
      <c r="A180" s="3085"/>
      <c r="C180" s="3086"/>
      <c r="E180" s="3085"/>
    </row>
    <row r="181" spans="1:5" s="1995" customFormat="1">
      <c r="A181" s="3085"/>
      <c r="C181" s="3086"/>
      <c r="E181" s="3085"/>
    </row>
    <row r="182" spans="1:5" s="1995" customFormat="1">
      <c r="A182" s="3085"/>
      <c r="C182" s="3086"/>
      <c r="E182" s="3085"/>
    </row>
    <row r="183" spans="1:5" s="1995" customFormat="1">
      <c r="A183" s="3085"/>
      <c r="C183" s="3086"/>
      <c r="E183" s="3085"/>
    </row>
    <row r="184" spans="1:5" s="1995" customFormat="1">
      <c r="A184" s="3085"/>
      <c r="C184" s="3086"/>
      <c r="E184" s="3085"/>
    </row>
    <row r="185" spans="1:5" s="1995" customFormat="1">
      <c r="A185" s="3085"/>
      <c r="C185" s="3086"/>
      <c r="E185" s="3085"/>
    </row>
    <row r="186" spans="1:5" s="1995" customFormat="1">
      <c r="A186" s="3085"/>
      <c r="C186" s="3086"/>
      <c r="E186" s="3085"/>
    </row>
    <row r="187" spans="1:5" s="1995" customFormat="1">
      <c r="A187" s="3085"/>
      <c r="C187" s="3086"/>
      <c r="E187" s="3085"/>
    </row>
    <row r="188" spans="1:5" s="1995" customFormat="1">
      <c r="A188" s="3085"/>
      <c r="C188" s="3086"/>
      <c r="E188" s="3085"/>
    </row>
    <row r="189" spans="1:5" s="1995" customFormat="1">
      <c r="A189" s="3085"/>
      <c r="C189" s="3086"/>
      <c r="E189" s="3085"/>
    </row>
    <row r="190" spans="1:5" s="1995" customFormat="1">
      <c r="A190" s="3085"/>
      <c r="C190" s="3086"/>
      <c r="E190" s="3085"/>
    </row>
    <row r="191" spans="1:5" s="1995" customFormat="1">
      <c r="A191" s="3085"/>
      <c r="C191" s="3086"/>
      <c r="E191" s="3085"/>
    </row>
    <row r="192" spans="1:5" s="1995" customFormat="1">
      <c r="A192" s="3085"/>
      <c r="C192" s="3086"/>
      <c r="E192" s="3085"/>
    </row>
    <row r="193" spans="1:5" s="1995" customFormat="1">
      <c r="A193" s="3085"/>
      <c r="C193" s="3086"/>
      <c r="E193" s="3085"/>
    </row>
    <row r="194" spans="1:5" s="1995" customFormat="1">
      <c r="A194" s="3085"/>
      <c r="C194" s="3086"/>
      <c r="E194" s="3085"/>
    </row>
    <row r="195" spans="1:5" s="1995" customFormat="1">
      <c r="A195" s="3085"/>
      <c r="C195" s="3086"/>
      <c r="E195" s="3085"/>
    </row>
    <row r="196" spans="1:5" s="1995" customFormat="1">
      <c r="A196" s="3085"/>
      <c r="C196" s="3086"/>
      <c r="E196" s="3085"/>
    </row>
    <row r="197" spans="1:5" s="1995" customFormat="1">
      <c r="A197" s="3085"/>
      <c r="C197" s="3086"/>
      <c r="E197" s="3085"/>
    </row>
    <row r="198" spans="1:5" s="1995" customFormat="1">
      <c r="A198" s="3085"/>
      <c r="C198" s="3086"/>
      <c r="E198" s="3085"/>
    </row>
    <row r="199" spans="1:5" s="1995" customFormat="1">
      <c r="A199" s="3085"/>
      <c r="C199" s="3086"/>
      <c r="E199" s="3085"/>
    </row>
    <row r="200" spans="1:5" s="1995" customFormat="1">
      <c r="A200" s="3085"/>
      <c r="C200" s="3086"/>
      <c r="E200" s="3085"/>
    </row>
    <row r="201" spans="1:5" s="1995" customFormat="1">
      <c r="A201" s="3085"/>
      <c r="C201" s="3086"/>
      <c r="E201" s="3085"/>
    </row>
    <row r="202" spans="1:5" s="1995" customFormat="1">
      <c r="A202" s="3085"/>
      <c r="C202" s="3086"/>
      <c r="E202" s="3085"/>
    </row>
    <row r="203" spans="1:5" s="1995" customFormat="1">
      <c r="A203" s="3085"/>
      <c r="C203" s="3086"/>
      <c r="E203" s="3085"/>
    </row>
    <row r="204" spans="1:5" s="1995" customFormat="1">
      <c r="A204" s="3085"/>
      <c r="C204" s="3086"/>
      <c r="E204" s="3085"/>
    </row>
    <row r="205" spans="1:5" s="1995" customFormat="1">
      <c r="A205" s="3085"/>
      <c r="C205" s="3086"/>
      <c r="E205" s="3085"/>
    </row>
    <row r="206" spans="1:5" s="1995" customFormat="1">
      <c r="A206" s="3085"/>
      <c r="C206" s="3086"/>
      <c r="E206" s="3085"/>
    </row>
    <row r="207" spans="1:5" s="1995" customFormat="1">
      <c r="A207" s="3085"/>
      <c r="C207" s="3086"/>
      <c r="E207" s="3085"/>
    </row>
    <row r="208" spans="1:5" s="1995" customFormat="1">
      <c r="A208" s="3085"/>
      <c r="C208" s="3086"/>
      <c r="E208" s="3085"/>
    </row>
    <row r="209" spans="1:5" s="1995" customFormat="1">
      <c r="A209" s="3085"/>
      <c r="C209" s="3086"/>
      <c r="E209" s="3085"/>
    </row>
    <row r="210" spans="1:5" s="1995" customFormat="1">
      <c r="A210" s="3085"/>
      <c r="C210" s="3086"/>
      <c r="E210" s="3085"/>
    </row>
    <row r="211" spans="1:5" s="1995" customFormat="1">
      <c r="A211" s="3085"/>
      <c r="C211" s="3086"/>
      <c r="E211" s="3085"/>
    </row>
    <row r="212" spans="1:5" s="1995" customFormat="1">
      <c r="A212" s="3085"/>
      <c r="C212" s="3086"/>
      <c r="E212" s="3085"/>
    </row>
    <row r="213" spans="1:5" s="1995" customFormat="1">
      <c r="A213" s="3085"/>
      <c r="C213" s="3086"/>
      <c r="E213" s="3085"/>
    </row>
    <row r="214" spans="1:5" s="1995" customFormat="1">
      <c r="A214" s="3085"/>
      <c r="C214" s="3086"/>
      <c r="E214" s="3085"/>
    </row>
    <row r="215" spans="1:5" s="1995" customFormat="1">
      <c r="A215" s="3085"/>
      <c r="C215" s="3086"/>
      <c r="E215" s="3085"/>
    </row>
    <row r="216" spans="1:5" s="1995" customFormat="1">
      <c r="A216" s="3085"/>
      <c r="C216" s="3086"/>
      <c r="E216" s="3085"/>
    </row>
    <row r="217" spans="1:5" s="1995" customFormat="1">
      <c r="A217" s="3085"/>
      <c r="C217" s="3086"/>
      <c r="E217" s="3085"/>
    </row>
    <row r="218" spans="1:5" s="1995" customFormat="1">
      <c r="A218" s="3085"/>
      <c r="C218" s="3086"/>
      <c r="E218" s="3085"/>
    </row>
    <row r="219" spans="1:5" s="1995" customFormat="1">
      <c r="A219" s="3085"/>
      <c r="C219" s="3086"/>
      <c r="E219" s="3085"/>
    </row>
    <row r="220" spans="1:5" s="1995" customFormat="1">
      <c r="A220" s="3085"/>
      <c r="C220" s="3086"/>
      <c r="E220" s="3085"/>
    </row>
    <row r="221" spans="1:5" s="1995" customFormat="1">
      <c r="A221" s="3085"/>
      <c r="C221" s="3086"/>
      <c r="E221" s="3085"/>
    </row>
    <row r="222" spans="1:5" s="1995" customFormat="1">
      <c r="A222" s="3085"/>
      <c r="C222" s="3086"/>
      <c r="E222" s="3085"/>
    </row>
    <row r="223" spans="1:5" s="1995" customFormat="1">
      <c r="A223" s="3085"/>
      <c r="C223" s="3086"/>
      <c r="E223" s="3085"/>
    </row>
    <row r="224" spans="1:5" s="1995" customFormat="1">
      <c r="A224" s="3085"/>
      <c r="C224" s="3086"/>
      <c r="E224" s="3085"/>
    </row>
    <row r="225" spans="1:5" s="1995" customFormat="1">
      <c r="A225" s="3085"/>
      <c r="C225" s="3086"/>
      <c r="E225" s="308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090"/>
      <c r="M1" s="3091"/>
      <c r="N1" s="3091"/>
      <c r="O1" s="3091"/>
      <c r="P1" s="2012"/>
      <c r="Q1" s="2012"/>
      <c r="R1" s="2012"/>
      <c r="S1" s="2012"/>
      <c r="T1" s="2012"/>
      <c r="U1" s="2012"/>
      <c r="V1" s="2012"/>
      <c r="W1" s="2012"/>
      <c r="X1" s="2012"/>
      <c r="Y1" s="2012"/>
      <c r="Z1" s="2012"/>
      <c r="AA1" s="2012"/>
      <c r="AB1" s="2012"/>
      <c r="AC1" s="3092"/>
      <c r="AD1" s="1288"/>
    </row>
    <row r="2" spans="1:30" s="1289" customFormat="1" ht="28.5" customHeight="1">
      <c r="A2" s="416" t="s">
        <v>461</v>
      </c>
      <c r="B2" s="501" t="e">
        <f>F68</f>
        <v>#DIV/0!</v>
      </c>
      <c r="C2" s="3100"/>
      <c r="D2" s="3100"/>
      <c r="E2" s="3102"/>
      <c r="F2" s="3103"/>
      <c r="G2" s="3102"/>
      <c r="H2" s="3102"/>
      <c r="I2" s="3102"/>
      <c r="J2" s="3102"/>
      <c r="K2" s="3104"/>
      <c r="L2" s="2011"/>
      <c r="M2" s="2012"/>
      <c r="N2" s="2012"/>
      <c r="O2" s="2012"/>
      <c r="P2" s="2012"/>
      <c r="Q2" s="2012"/>
      <c r="R2" s="2012"/>
      <c r="S2" s="2012"/>
      <c r="T2" s="2012"/>
      <c r="U2" s="2012"/>
      <c r="V2" s="2012"/>
      <c r="W2" s="2012"/>
      <c r="X2" s="2012"/>
      <c r="Y2" s="2012"/>
      <c r="Z2" s="2012"/>
      <c r="AA2" s="2012"/>
      <c r="AB2" s="2012"/>
      <c r="AC2" s="3092"/>
      <c r="AD2" s="1288"/>
    </row>
    <row r="3" spans="1:30" s="1289" customFormat="1" ht="28.5" customHeight="1">
      <c r="A3" s="1329" t="s">
        <v>1675</v>
      </c>
      <c r="B3" s="503" t="e">
        <f>ROUND(B2*10000/'数据-汇总表'!E3,0)</f>
        <v>#DIV/0!</v>
      </c>
      <c r="C3" s="3101"/>
      <c r="D3" s="3105"/>
      <c r="E3" s="3101"/>
      <c r="F3" s="3101"/>
      <c r="G3" s="3102"/>
      <c r="H3" s="3102"/>
      <c r="I3" s="3102"/>
      <c r="J3" s="3102"/>
      <c r="K3" s="3104"/>
      <c r="L3" s="2011"/>
      <c r="M3" s="2012"/>
      <c r="N3" s="2012"/>
      <c r="O3" s="2012"/>
      <c r="P3" s="2012"/>
      <c r="Q3" s="2012"/>
      <c r="R3" s="2012"/>
      <c r="S3" s="2012"/>
      <c r="T3" s="2012"/>
      <c r="U3" s="2012"/>
      <c r="V3" s="2012"/>
      <c r="W3" s="2012"/>
      <c r="X3" s="2012"/>
      <c r="Y3" s="2012"/>
      <c r="Z3" s="2012"/>
      <c r="AA3" s="2012"/>
      <c r="AB3" s="3093"/>
      <c r="AC3" s="1942"/>
    </row>
    <row r="4" spans="1:30" s="1289" customFormat="1" ht="28.5" customHeight="1">
      <c r="A4" s="504" t="s">
        <v>514</v>
      </c>
      <c r="B4" s="420" t="e">
        <f>IF(B48="单位面积地价",C50,ROUND(B2*10000/'数据-汇总表'!D3,0))</f>
        <v>#DIV/0!</v>
      </c>
      <c r="C4" s="3101"/>
      <c r="D4" s="3105"/>
      <c r="E4" s="3101"/>
      <c r="F4" s="3101"/>
      <c r="G4" s="3102"/>
      <c r="H4" s="3102"/>
      <c r="I4" s="3102"/>
      <c r="J4" s="3102"/>
      <c r="K4" s="3104"/>
      <c r="L4" s="2011"/>
      <c r="M4" s="2012"/>
      <c r="N4" s="2012"/>
      <c r="O4" s="2012"/>
      <c r="P4" s="2012"/>
      <c r="Q4" s="2012"/>
      <c r="R4" s="2012"/>
      <c r="S4" s="2012"/>
      <c r="T4" s="2012"/>
      <c r="U4" s="2012"/>
      <c r="V4" s="2012"/>
      <c r="W4" s="2012"/>
      <c r="X4" s="2012"/>
      <c r="Y4" s="2012"/>
      <c r="Z4" s="2012"/>
      <c r="AA4" s="2012"/>
      <c r="AB4" s="2012"/>
      <c r="AC4" s="1942"/>
    </row>
    <row r="5" spans="1:30" s="1289" customFormat="1" ht="28.5" customHeight="1" thickBot="1">
      <c r="A5" s="422"/>
      <c r="B5" s="423" t="e">
        <f>ROUND(B2/('数据-汇总表'!D3/666.67),0)</f>
        <v>#DIV/0!</v>
      </c>
      <c r="C5" s="424" t="s">
        <v>463</v>
      </c>
      <c r="D5" s="3101"/>
      <c r="E5" s="3101"/>
      <c r="F5" s="3101"/>
      <c r="G5" s="3102"/>
      <c r="H5" s="3102"/>
      <c r="I5" s="3102"/>
      <c r="J5" s="3102"/>
      <c r="K5" s="3104"/>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512" t="s">
        <v>516</v>
      </c>
      <c r="D6" s="3513"/>
      <c r="E6" s="3512" t="s">
        <v>517</v>
      </c>
      <c r="F6" s="3513"/>
      <c r="G6" s="3512" t="s">
        <v>518</v>
      </c>
      <c r="H6" s="3513"/>
      <c r="I6" s="3512" t="s">
        <v>519</v>
      </c>
      <c r="J6" s="3513"/>
      <c r="K6" s="507" t="s">
        <v>520</v>
      </c>
      <c r="L6" s="2013"/>
      <c r="M6" s="2012"/>
      <c r="N6" s="2012"/>
      <c r="O6" s="2014"/>
      <c r="P6" s="3514" t="s">
        <v>521</v>
      </c>
      <c r="Q6" s="3515"/>
      <c r="R6" s="3520" t="s">
        <v>517</v>
      </c>
      <c r="S6" s="3521"/>
      <c r="T6" s="3520" t="s">
        <v>518</v>
      </c>
      <c r="U6" s="3521"/>
      <c r="V6" s="3507" t="s">
        <v>519</v>
      </c>
      <c r="W6" s="3507"/>
      <c r="X6" s="1500"/>
      <c r="Y6" s="3520" t="s">
        <v>521</v>
      </c>
      <c r="Z6" s="3521"/>
      <c r="AA6" s="3509" t="s">
        <v>517</v>
      </c>
      <c r="AB6" s="3510" t="s">
        <v>518</v>
      </c>
      <c r="AC6" s="3509" t="s">
        <v>519</v>
      </c>
    </row>
    <row r="7" spans="1:30" ht="20.25">
      <c r="A7" s="508"/>
      <c r="B7" s="509"/>
      <c r="C7" s="3528" t="s">
        <v>2868</v>
      </c>
      <c r="D7" s="3529"/>
      <c r="E7" s="3528" t="s">
        <v>2869</v>
      </c>
      <c r="F7" s="3529"/>
      <c r="G7" s="3528" t="s">
        <v>2870</v>
      </c>
      <c r="H7" s="3529"/>
      <c r="I7" s="3528" t="s">
        <v>2871</v>
      </c>
      <c r="J7" s="3529"/>
      <c r="K7" s="507"/>
      <c r="L7" s="2013"/>
      <c r="M7" s="2012"/>
      <c r="N7" s="2012"/>
      <c r="O7" s="2014"/>
      <c r="P7" s="3516"/>
      <c r="Q7" s="3517"/>
      <c r="R7" s="3522"/>
      <c r="S7" s="3523"/>
      <c r="T7" s="3522"/>
      <c r="U7" s="3523"/>
      <c r="V7" s="3507"/>
      <c r="W7" s="3507"/>
      <c r="X7" s="1500"/>
      <c r="Y7" s="3522"/>
      <c r="Z7" s="3523"/>
      <c r="AA7" s="3510"/>
      <c r="AB7" s="3510"/>
      <c r="AC7" s="3510"/>
    </row>
    <row r="8" spans="1:30" ht="21" thickBot="1">
      <c r="A8" s="508"/>
      <c r="B8" s="509"/>
      <c r="C8" s="3530" t="s">
        <v>2872</v>
      </c>
      <c r="D8" s="3531"/>
      <c r="E8" s="3530" t="s">
        <v>2872</v>
      </c>
      <c r="F8" s="3531"/>
      <c r="G8" s="3526" t="s">
        <v>2872</v>
      </c>
      <c r="H8" s="3527"/>
      <c r="I8" s="3526" t="s">
        <v>2872</v>
      </c>
      <c r="J8" s="3527"/>
      <c r="K8" s="507" t="s">
        <v>522</v>
      </c>
      <c r="L8" s="2013"/>
      <c r="M8" s="2012"/>
      <c r="N8" s="2012"/>
      <c r="O8" s="2014"/>
      <c r="P8" s="3518"/>
      <c r="Q8" s="3519"/>
      <c r="R8" s="3522"/>
      <c r="S8" s="3523"/>
      <c r="T8" s="3524"/>
      <c r="U8" s="3525"/>
      <c r="V8" s="3507"/>
      <c r="W8" s="3507"/>
      <c r="X8" s="1500"/>
      <c r="Y8" s="3524"/>
      <c r="Z8" s="3525"/>
      <c r="AA8" s="3511"/>
      <c r="AB8" s="3511"/>
      <c r="AC8" s="3511"/>
    </row>
    <row r="9" spans="1:30" s="1202" customFormat="1" ht="21" thickBot="1">
      <c r="A9" s="2627"/>
      <c r="B9" s="2634" t="s">
        <v>523</v>
      </c>
      <c r="C9" s="2626">
        <f>'数据-取费表'!B2</f>
        <v>44266</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537" t="s">
        <v>524</v>
      </c>
      <c r="Q9" s="3539"/>
      <c r="R9" s="1501" t="s">
        <v>8</v>
      </c>
      <c r="S9" s="1502">
        <f t="shared" ref="S9:S17" si="0">F9</f>
        <v>0</v>
      </c>
      <c r="T9" s="1501" t="s">
        <v>8</v>
      </c>
      <c r="U9" s="1502">
        <f t="shared" ref="U9:U17" si="1">H9</f>
        <v>0</v>
      </c>
      <c r="V9" s="1501" t="s">
        <v>8</v>
      </c>
      <c r="W9" s="1502">
        <f t="shared" ref="W9:W17" si="2">J9</f>
        <v>0</v>
      </c>
      <c r="X9" s="1503"/>
      <c r="Y9" s="3537" t="s">
        <v>524</v>
      </c>
      <c r="Z9" s="3538"/>
      <c r="AA9" s="1504" t="e">
        <f>D9/F9</f>
        <v>#DIV/0!</v>
      </c>
      <c r="AB9" s="1504" t="e">
        <f>D9/H9</f>
        <v>#DIV/0!</v>
      </c>
      <c r="AC9" s="1504" t="e">
        <f>D9/J9</f>
        <v>#DIV/0!</v>
      </c>
    </row>
    <row r="10" spans="1:30" s="1202" customFormat="1" ht="21" thickBot="1">
      <c r="A10" s="2628"/>
      <c r="B10" s="2635"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537" t="s">
        <v>527</v>
      </c>
      <c r="Q10" s="3538"/>
      <c r="R10" s="1501" t="s">
        <v>8</v>
      </c>
      <c r="S10" s="1502">
        <f t="shared" si="0"/>
        <v>0</v>
      </c>
      <c r="T10" s="1501" t="s">
        <v>8</v>
      </c>
      <c r="U10" s="1502">
        <f t="shared" si="1"/>
        <v>0</v>
      </c>
      <c r="V10" s="1501" t="s">
        <v>8</v>
      </c>
      <c r="W10" s="1502">
        <f t="shared" si="2"/>
        <v>0</v>
      </c>
      <c r="X10" s="1503"/>
      <c r="Y10" s="3537" t="s">
        <v>527</v>
      </c>
      <c r="Z10" s="3538"/>
      <c r="AA10" s="1504" t="e">
        <f t="shared" ref="AA10:AA47" si="3">D10/F10</f>
        <v>#DIV/0!</v>
      </c>
      <c r="AB10" s="1504" t="e">
        <f t="shared" ref="AB10:AB47" si="4">D10/H10</f>
        <v>#DIV/0!</v>
      </c>
      <c r="AC10" s="1504" t="e">
        <f t="shared" ref="AC10:AC47" si="5">D10/J10</f>
        <v>#DIV/0!</v>
      </c>
    </row>
    <row r="11" spans="1:30" s="1202" customFormat="1" ht="20.25">
      <c r="A11" s="2629"/>
      <c r="B11" s="2636" t="s">
        <v>2712</v>
      </c>
      <c r="C11" s="2623"/>
      <c r="D11" s="251">
        <v>100</v>
      </c>
      <c r="E11" s="519"/>
      <c r="F11" s="251">
        <f>SUMIF(77:77,E11,78:78)-SUMIF(77:77,C11,78:78)+100</f>
        <v>100</v>
      </c>
      <c r="G11" s="519"/>
      <c r="H11" s="251">
        <f>SUMIF(77:77,G11,78:78)-SUMIF(77:77,C11,78:78)+100</f>
        <v>100</v>
      </c>
      <c r="I11" s="519"/>
      <c r="J11" s="251">
        <f>SUMIF(77:77,I11,78:78)-SUMIF(77:77,C11,78:78)+100</f>
        <v>100</v>
      </c>
      <c r="K11" s="517"/>
      <c r="L11" s="2015"/>
      <c r="M11" s="2012"/>
      <c r="N11" s="2012"/>
      <c r="O11" s="2017"/>
      <c r="P11" s="3506" t="s">
        <v>529</v>
      </c>
      <c r="Q11" s="1133" t="str">
        <f t="shared" ref="Q11:Q17" si="6">B11</f>
        <v>用途</v>
      </c>
      <c r="R11" s="1501" t="s">
        <v>8</v>
      </c>
      <c r="S11" s="1502">
        <f t="shared" si="0"/>
        <v>100</v>
      </c>
      <c r="T11" s="1501" t="s">
        <v>8</v>
      </c>
      <c r="U11" s="1502">
        <f t="shared" si="1"/>
        <v>100</v>
      </c>
      <c r="V11" s="1501" t="s">
        <v>8</v>
      </c>
      <c r="W11" s="1502">
        <f t="shared" si="2"/>
        <v>100</v>
      </c>
      <c r="X11" s="1503"/>
      <c r="Y11" s="3431" t="s">
        <v>530</v>
      </c>
      <c r="Z11" s="1132" t="str">
        <f t="shared" ref="Z11:Z17" si="7">Q11</f>
        <v>用途</v>
      </c>
      <c r="AA11" s="1504">
        <f t="shared" si="3"/>
        <v>1</v>
      </c>
      <c r="AB11" s="1504">
        <f t="shared" si="4"/>
        <v>1</v>
      </c>
      <c r="AC11" s="1504">
        <f t="shared" si="5"/>
        <v>1</v>
      </c>
    </row>
    <row r="12" spans="1:30" s="1291" customFormat="1" ht="27">
      <c r="A12" s="2630"/>
      <c r="B12" s="2635" t="s">
        <v>2713</v>
      </c>
      <c r="C12" s="898"/>
      <c r="D12" s="252">
        <v>100</v>
      </c>
      <c r="E12" s="522"/>
      <c r="F12" s="252">
        <f>ROUND(100/'数据-取费表'!G16,0)</f>
        <v>102</v>
      </c>
      <c r="G12" s="523"/>
      <c r="H12" s="252">
        <f>ROUND(100/'数据-取费表'!G16,0)</f>
        <v>102</v>
      </c>
      <c r="I12" s="523"/>
      <c r="J12" s="252">
        <f>ROUND(100/'数据-取费表'!G16,0)</f>
        <v>102</v>
      </c>
      <c r="K12" s="524"/>
      <c r="L12" s="2018"/>
      <c r="M12" s="2012"/>
      <c r="N12" s="2012"/>
      <c r="O12" s="2019"/>
      <c r="P12" s="3506"/>
      <c r="Q12" s="1133" t="str">
        <f t="shared" si="6"/>
        <v>土地使用年限（年）</v>
      </c>
      <c r="R12" s="1501" t="s">
        <v>8</v>
      </c>
      <c r="S12" s="1502">
        <f t="shared" si="0"/>
        <v>102</v>
      </c>
      <c r="T12" s="1501" t="s">
        <v>8</v>
      </c>
      <c r="U12" s="1502">
        <f t="shared" si="1"/>
        <v>102</v>
      </c>
      <c r="V12" s="1501" t="s">
        <v>8</v>
      </c>
      <c r="W12" s="1502">
        <f t="shared" si="2"/>
        <v>102</v>
      </c>
      <c r="X12" s="1503"/>
      <c r="Y12" s="3431"/>
      <c r="Z12" s="1132" t="str">
        <f t="shared" si="7"/>
        <v>土地使用年限（年）</v>
      </c>
      <c r="AA12" s="1504">
        <f t="shared" si="3"/>
        <v>0.98039215686274506</v>
      </c>
      <c r="AB12" s="1504">
        <f t="shared" si="4"/>
        <v>0.98039215686274506</v>
      </c>
      <c r="AC12" s="1504">
        <f t="shared" si="5"/>
        <v>0.98039215686274506</v>
      </c>
    </row>
    <row r="13" spans="1:30" ht="20.25">
      <c r="A13" s="2631"/>
      <c r="B13" s="2635" t="s">
        <v>2714</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0"/>
      <c r="M13" s="2012"/>
      <c r="N13" s="2012"/>
      <c r="O13" s="2021"/>
      <c r="P13" s="3506"/>
      <c r="Q13" s="1133" t="str">
        <f t="shared" si="6"/>
        <v>容积率</v>
      </c>
      <c r="R13" s="1501" t="s">
        <v>8</v>
      </c>
      <c r="S13" s="1502" t="e">
        <f t="shared" si="0"/>
        <v>#N/A</v>
      </c>
      <c r="T13" s="1501" t="s">
        <v>8</v>
      </c>
      <c r="U13" s="1502" t="e">
        <f t="shared" si="1"/>
        <v>#N/A</v>
      </c>
      <c r="V13" s="1501" t="s">
        <v>8</v>
      </c>
      <c r="W13" s="1502" t="e">
        <f t="shared" si="2"/>
        <v>#N/A</v>
      </c>
      <c r="X13" s="1503"/>
      <c r="Y13" s="3431"/>
      <c r="Z13" s="1132" t="str">
        <f t="shared" si="7"/>
        <v>容积率</v>
      </c>
      <c r="AA13" s="1504" t="e">
        <f t="shared" si="3"/>
        <v>#N/A</v>
      </c>
      <c r="AB13" s="1504" t="e">
        <f t="shared" si="4"/>
        <v>#N/A</v>
      </c>
      <c r="AC13" s="1504" t="e">
        <f t="shared" si="5"/>
        <v>#N/A</v>
      </c>
    </row>
    <row r="14" spans="1:30" s="1202" customFormat="1" ht="20.25">
      <c r="A14" s="2628"/>
      <c r="B14" s="2637" t="s">
        <v>2715</v>
      </c>
      <c r="C14" s="2624"/>
      <c r="D14" s="531">
        <v>100</v>
      </c>
      <c r="E14" s="1325"/>
      <c r="F14" s="252">
        <f>SUMIF(84:84,E14,85:85)-SUMIF(84:84,C14,85:85)+100</f>
        <v>100</v>
      </c>
      <c r="G14" s="523"/>
      <c r="H14" s="252">
        <f>SUMIF(84:84,G14,85:85)-SUMIF(84:84,C14,85:85)+100</f>
        <v>100</v>
      </c>
      <c r="I14" s="522"/>
      <c r="J14" s="252">
        <f>SUMIF(84:84,I14,85:85)-SUMIF(84:84,C14,85:85)+100</f>
        <v>100</v>
      </c>
      <c r="K14" s="524"/>
      <c r="L14" s="2015"/>
      <c r="M14" s="2012"/>
      <c r="N14" s="2012"/>
      <c r="O14" s="2017"/>
      <c r="P14" s="3506"/>
      <c r="Q14" s="1133" t="str">
        <f t="shared" si="6"/>
        <v>配建</v>
      </c>
      <c r="R14" s="1501" t="s">
        <v>8</v>
      </c>
      <c r="S14" s="1502">
        <f t="shared" si="0"/>
        <v>100</v>
      </c>
      <c r="T14" s="1501" t="s">
        <v>8</v>
      </c>
      <c r="U14" s="1502">
        <f t="shared" si="1"/>
        <v>100</v>
      </c>
      <c r="V14" s="1501" t="s">
        <v>8</v>
      </c>
      <c r="W14" s="1502">
        <f t="shared" si="2"/>
        <v>100</v>
      </c>
      <c r="X14" s="1503"/>
      <c r="Y14" s="3431"/>
      <c r="Z14" s="1132" t="str">
        <f t="shared" si="7"/>
        <v>配建</v>
      </c>
      <c r="AA14" s="1504">
        <f>D14/F14</f>
        <v>1</v>
      </c>
      <c r="AB14" s="1504">
        <f>D14/H14</f>
        <v>1</v>
      </c>
      <c r="AC14" s="1504">
        <f>D14/J14</f>
        <v>1</v>
      </c>
    </row>
    <row r="15" spans="1:30" ht="20.25">
      <c r="A15" s="2632"/>
      <c r="B15" s="2638">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506"/>
      <c r="Q15" s="1133">
        <f t="shared" si="6"/>
        <v>111</v>
      </c>
      <c r="R15" s="1501" t="s">
        <v>8</v>
      </c>
      <c r="S15" s="1502">
        <f t="shared" si="0"/>
        <v>100</v>
      </c>
      <c r="T15" s="1501" t="s">
        <v>8</v>
      </c>
      <c r="U15" s="1502">
        <f t="shared" si="1"/>
        <v>100</v>
      </c>
      <c r="V15" s="1501" t="s">
        <v>8</v>
      </c>
      <c r="W15" s="1502">
        <f t="shared" si="2"/>
        <v>100</v>
      </c>
      <c r="X15" s="1503"/>
      <c r="Y15" s="3431"/>
      <c r="Z15" s="1132">
        <f t="shared" si="7"/>
        <v>111</v>
      </c>
      <c r="AA15" s="1504">
        <f>D15/F15</f>
        <v>1</v>
      </c>
      <c r="AB15" s="1504">
        <f>D15/H15</f>
        <v>1</v>
      </c>
      <c r="AC15" s="1504">
        <f>D15/J15</f>
        <v>1</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06"/>
      <c r="Q16" s="1133">
        <f t="shared" si="6"/>
        <v>111</v>
      </c>
      <c r="R16" s="1501" t="s">
        <v>8</v>
      </c>
      <c r="S16" s="1502">
        <f t="shared" si="0"/>
        <v>100</v>
      </c>
      <c r="T16" s="1501" t="s">
        <v>8</v>
      </c>
      <c r="U16" s="1502">
        <f t="shared" si="1"/>
        <v>100</v>
      </c>
      <c r="V16" s="1501" t="s">
        <v>8</v>
      </c>
      <c r="W16" s="1502">
        <f t="shared" si="2"/>
        <v>100</v>
      </c>
      <c r="X16" s="1503"/>
      <c r="Y16" s="3431"/>
      <c r="Z16" s="1132">
        <f t="shared" si="7"/>
        <v>111</v>
      </c>
      <c r="AA16" s="1504">
        <f>D16/F16</f>
        <v>1</v>
      </c>
      <c r="AB16" s="1504">
        <f>D16/H16</f>
        <v>1</v>
      </c>
      <c r="AC16" s="1504">
        <f>D16/J16</f>
        <v>1</v>
      </c>
    </row>
    <row r="17" spans="1:29" ht="20.25">
      <c r="A17" s="2625" t="s">
        <v>2710</v>
      </c>
      <c r="B17" s="571" t="s">
        <v>295</v>
      </c>
      <c r="C17" s="541" t="str">
        <f>估价对象房地状况!C15</f>
        <v>较差</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540" t="s">
        <v>534</v>
      </c>
      <c r="Q17" s="1505" t="str">
        <f t="shared" si="6"/>
        <v>居住社区成熟度</v>
      </c>
      <c r="R17" s="1506" t="s">
        <v>8</v>
      </c>
      <c r="S17" s="1507">
        <f t="shared" si="0"/>
        <v>100</v>
      </c>
      <c r="T17" s="1506" t="s">
        <v>8</v>
      </c>
      <c r="U17" s="1507">
        <f t="shared" si="1"/>
        <v>100</v>
      </c>
      <c r="V17" s="1506" t="s">
        <v>8</v>
      </c>
      <c r="W17" s="1507">
        <f t="shared" si="2"/>
        <v>100</v>
      </c>
      <c r="X17" s="1500"/>
      <c r="Y17" s="3540"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541"/>
      <c r="Q18" s="1505"/>
      <c r="R18" s="1506"/>
      <c r="S18" s="1507"/>
      <c r="T18" s="1506"/>
      <c r="U18" s="1507"/>
      <c r="V18" s="1506"/>
      <c r="W18" s="1507"/>
      <c r="X18" s="1500"/>
      <c r="Y18" s="3541"/>
      <c r="Z18" s="1508"/>
      <c r="AA18" s="1509">
        <v>1</v>
      </c>
      <c r="AB18" s="1509">
        <v>1</v>
      </c>
      <c r="AC18" s="1509">
        <v>1</v>
      </c>
    </row>
    <row r="19" spans="1:29" ht="20.25">
      <c r="A19" s="525"/>
      <c r="B19" s="553" t="s">
        <v>535</v>
      </c>
      <c r="C19" s="554" t="str">
        <f>估价对象房地状况!C16</f>
        <v>较差</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41"/>
      <c r="Q19" s="1505" t="str">
        <f>B19</f>
        <v>商业繁华度</v>
      </c>
      <c r="R19" s="1506" t="s">
        <v>8</v>
      </c>
      <c r="S19" s="1507">
        <f>F19</f>
        <v>100</v>
      </c>
      <c r="T19" s="1506" t="s">
        <v>8</v>
      </c>
      <c r="U19" s="1507">
        <f>H19</f>
        <v>100</v>
      </c>
      <c r="V19" s="1506" t="s">
        <v>8</v>
      </c>
      <c r="W19" s="1507">
        <f>J19</f>
        <v>100</v>
      </c>
      <c r="X19" s="1500"/>
      <c r="Y19" s="3541"/>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541"/>
      <c r="Q20" s="1505"/>
      <c r="R20" s="1506"/>
      <c r="S20" s="1507"/>
      <c r="T20" s="1506"/>
      <c r="U20" s="1507"/>
      <c r="V20" s="1506"/>
      <c r="W20" s="1507"/>
      <c r="X20" s="1500"/>
      <c r="Y20" s="3541"/>
      <c r="Z20" s="1508"/>
      <c r="AA20" s="1509">
        <v>1</v>
      </c>
      <c r="AB20" s="1509">
        <v>1</v>
      </c>
      <c r="AC20" s="1509">
        <v>1</v>
      </c>
    </row>
    <row r="21" spans="1:29" ht="20.25">
      <c r="A21" s="525"/>
      <c r="B21" s="553" t="s">
        <v>536</v>
      </c>
      <c r="C21" s="554" t="str">
        <f>估价对象房地状况!C17</f>
        <v xml:space="preserve"> </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41"/>
      <c r="Q21" s="1505" t="str">
        <f>B21</f>
        <v>办公集聚程度</v>
      </c>
      <c r="R21" s="1506" t="s">
        <v>8</v>
      </c>
      <c r="S21" s="1507">
        <f>F21</f>
        <v>100</v>
      </c>
      <c r="T21" s="1506" t="s">
        <v>8</v>
      </c>
      <c r="U21" s="1507">
        <f>H21</f>
        <v>100</v>
      </c>
      <c r="V21" s="1506" t="s">
        <v>8</v>
      </c>
      <c r="W21" s="1507">
        <f>J21</f>
        <v>100</v>
      </c>
      <c r="X21" s="1500"/>
      <c r="Y21" s="3541"/>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541"/>
      <c r="Q22" s="1505"/>
      <c r="R22" s="1506"/>
      <c r="S22" s="1507"/>
      <c r="T22" s="1506"/>
      <c r="U22" s="1507"/>
      <c r="V22" s="1506"/>
      <c r="W22" s="1507"/>
      <c r="X22" s="1500"/>
      <c r="Y22" s="3541"/>
      <c r="Z22" s="1508"/>
      <c r="AA22" s="1509">
        <v>1</v>
      </c>
      <c r="AB22" s="1509">
        <v>1</v>
      </c>
      <c r="AC22" s="1509">
        <v>1</v>
      </c>
    </row>
    <row r="23" spans="1:29" ht="20.25">
      <c r="A23" s="525"/>
      <c r="B23" s="553" t="s">
        <v>537</v>
      </c>
      <c r="C23" s="566" t="str">
        <f>估价对象房地状况!C18</f>
        <v>较差</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541"/>
      <c r="Q23" s="1505" t="str">
        <f>B23</f>
        <v>交通便捷度</v>
      </c>
      <c r="R23" s="1506" t="s">
        <v>8</v>
      </c>
      <c r="S23" s="1507">
        <f>F23</f>
        <v>100</v>
      </c>
      <c r="T23" s="1506" t="s">
        <v>8</v>
      </c>
      <c r="U23" s="1507">
        <f>H23</f>
        <v>100</v>
      </c>
      <c r="V23" s="1506" t="s">
        <v>8</v>
      </c>
      <c r="W23" s="1507">
        <f>J23</f>
        <v>100</v>
      </c>
      <c r="X23" s="1500"/>
      <c r="Y23" s="3541"/>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541"/>
      <c r="Q24" s="1505"/>
      <c r="R24" s="1506"/>
      <c r="S24" s="1507"/>
      <c r="T24" s="1506"/>
      <c r="U24" s="1507"/>
      <c r="V24" s="1506"/>
      <c r="W24" s="1507"/>
      <c r="X24" s="1500"/>
      <c r="Y24" s="3541"/>
      <c r="Z24" s="1508"/>
      <c r="AA24" s="1509">
        <v>1</v>
      </c>
      <c r="AB24" s="1509">
        <v>1</v>
      </c>
      <c r="AC24" s="1509">
        <v>1</v>
      </c>
    </row>
    <row r="25" spans="1:29" ht="27">
      <c r="A25" s="508"/>
      <c r="B25" s="256" t="s">
        <v>538</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541"/>
      <c r="Q25" s="1505" t="str">
        <f t="shared" ref="Q25:Q39" si="8">B25</f>
        <v>区域土地利用方向</v>
      </c>
      <c r="R25" s="1506" t="s">
        <v>8</v>
      </c>
      <c r="S25" s="1507">
        <f>F25</f>
        <v>100</v>
      </c>
      <c r="T25" s="1506" t="s">
        <v>8</v>
      </c>
      <c r="U25" s="1507">
        <f>H25</f>
        <v>100</v>
      </c>
      <c r="V25" s="1506" t="s">
        <v>8</v>
      </c>
      <c r="W25" s="1507">
        <f>J25</f>
        <v>100</v>
      </c>
      <c r="X25" s="1500"/>
      <c r="Y25" s="3541"/>
      <c r="Z25" s="1508" t="str">
        <f>Q25</f>
        <v>区域土地利用方向</v>
      </c>
      <c r="AA25" s="1509">
        <f t="shared" si="3"/>
        <v>1</v>
      </c>
      <c r="AB25" s="1509">
        <f t="shared" si="4"/>
        <v>1</v>
      </c>
      <c r="AC25" s="1509">
        <f t="shared" si="5"/>
        <v>1</v>
      </c>
    </row>
    <row r="26" spans="1:29" ht="20.25">
      <c r="A26" s="508"/>
      <c r="B26" s="993"/>
      <c r="C26" s="547"/>
      <c r="D26" s="550"/>
      <c r="E26" s="551"/>
      <c r="F26" s="548"/>
      <c r="G26" s="549"/>
      <c r="H26" s="548"/>
      <c r="I26" s="551"/>
      <c r="J26" s="548"/>
      <c r="K26" s="524"/>
      <c r="L26" s="2022"/>
      <c r="M26" s="2012"/>
      <c r="N26" s="2012"/>
      <c r="O26" s="2021"/>
      <c r="P26" s="3541"/>
      <c r="Q26" s="1505"/>
      <c r="R26" s="1506"/>
      <c r="S26" s="1507"/>
      <c r="T26" s="1506"/>
      <c r="U26" s="1507"/>
      <c r="V26" s="1506"/>
      <c r="W26" s="1507"/>
      <c r="X26" s="1500"/>
      <c r="Y26" s="3541"/>
      <c r="Z26" s="1508"/>
      <c r="AA26" s="1509"/>
      <c r="AB26" s="1509"/>
      <c r="AC26" s="1509"/>
    </row>
    <row r="27" spans="1:29" ht="27">
      <c r="A27" s="508"/>
      <c r="B27" s="571" t="s">
        <v>539</v>
      </c>
      <c r="C27" s="554" t="str">
        <f>估价对象房地状况!C20</f>
        <v>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541"/>
      <c r="Q27" s="1505" t="str">
        <f t="shared" si="8"/>
        <v>自然及人文环境状况</v>
      </c>
      <c r="R27" s="1506" t="s">
        <v>8</v>
      </c>
      <c r="S27" s="1507">
        <f>F27</f>
        <v>100</v>
      </c>
      <c r="T27" s="1506" t="s">
        <v>8</v>
      </c>
      <c r="U27" s="1507">
        <f>H27</f>
        <v>100</v>
      </c>
      <c r="V27" s="1506" t="s">
        <v>8</v>
      </c>
      <c r="W27" s="1507">
        <f>J27</f>
        <v>100</v>
      </c>
      <c r="X27" s="1500"/>
      <c r="Y27" s="3541"/>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541"/>
      <c r="Q28" s="1505"/>
      <c r="R28" s="1506"/>
      <c r="S28" s="1507"/>
      <c r="T28" s="1506"/>
      <c r="U28" s="1507"/>
      <c r="V28" s="1506"/>
      <c r="W28" s="1507"/>
      <c r="X28" s="1500"/>
      <c r="Y28" s="3541"/>
      <c r="Z28" s="1508"/>
      <c r="AA28" s="1509">
        <v>1</v>
      </c>
      <c r="AB28" s="1509">
        <v>1</v>
      </c>
      <c r="AC28" s="1509">
        <v>1</v>
      </c>
    </row>
    <row r="29" spans="1:29" s="1202" customFormat="1" ht="20.25">
      <c r="A29" s="570"/>
      <c r="B29" s="2433" t="s">
        <v>2527</v>
      </c>
      <c r="C29" s="566" t="str">
        <f>估价对象房地状况!C21</f>
        <v>较差</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541"/>
      <c r="Q29" s="1133" t="str">
        <f t="shared" si="8"/>
        <v>公共配套设施</v>
      </c>
      <c r="R29" s="1501" t="s">
        <v>8</v>
      </c>
      <c r="S29" s="1502">
        <f>F29</f>
        <v>100</v>
      </c>
      <c r="T29" s="1501" t="s">
        <v>8</v>
      </c>
      <c r="U29" s="1502">
        <f>H29</f>
        <v>100</v>
      </c>
      <c r="V29" s="1501" t="s">
        <v>8</v>
      </c>
      <c r="W29" s="1502">
        <f>J29</f>
        <v>100</v>
      </c>
      <c r="X29" s="1503"/>
      <c r="Y29" s="3541"/>
      <c r="Z29" s="1132" t="str">
        <f>Q29</f>
        <v>公共配套设施</v>
      </c>
      <c r="AA29" s="1509">
        <f>D29/F29</f>
        <v>1</v>
      </c>
      <c r="AB29" s="1509">
        <f>D29/H29</f>
        <v>1</v>
      </c>
      <c r="AC29" s="1509">
        <f>D29/J29</f>
        <v>1</v>
      </c>
    </row>
    <row r="30" spans="1:29" s="1202" customFormat="1" ht="20.25">
      <c r="A30" s="570"/>
      <c r="B30" s="559"/>
      <c r="C30" s="572"/>
      <c r="D30" s="550"/>
      <c r="E30" s="569"/>
      <c r="F30" s="548"/>
      <c r="G30" s="547"/>
      <c r="H30" s="548"/>
      <c r="I30" s="569"/>
      <c r="J30" s="548"/>
      <c r="K30" s="524"/>
      <c r="L30" s="2015"/>
      <c r="M30" s="2012"/>
      <c r="N30" s="2012"/>
      <c r="O30" s="2017"/>
      <c r="P30" s="3541"/>
      <c r="Q30" s="1133"/>
      <c r="R30" s="1501"/>
      <c r="S30" s="1502"/>
      <c r="T30" s="1501"/>
      <c r="U30" s="1502"/>
      <c r="V30" s="1501"/>
      <c r="W30" s="1502"/>
      <c r="X30" s="1503"/>
      <c r="Y30" s="3541"/>
      <c r="Z30" s="1132"/>
      <c r="AA30" s="1509">
        <v>1</v>
      </c>
      <c r="AB30" s="1509">
        <v>1</v>
      </c>
      <c r="AC30" s="1509">
        <v>1</v>
      </c>
    </row>
    <row r="31" spans="1:29" s="1202" customFormat="1" ht="20.25">
      <c r="A31" s="570"/>
      <c r="B31" s="2433"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541"/>
      <c r="Q31" s="2426" t="str">
        <f t="shared" ref="Q31" si="9">B31</f>
        <v>基础设施水平</v>
      </c>
      <c r="R31" s="1501" t="s">
        <v>8</v>
      </c>
      <c r="S31" s="1502">
        <f>F31</f>
        <v>100</v>
      </c>
      <c r="T31" s="1501" t="s">
        <v>8</v>
      </c>
      <c r="U31" s="1502">
        <f>H31</f>
        <v>100</v>
      </c>
      <c r="V31" s="1501" t="s">
        <v>8</v>
      </c>
      <c r="W31" s="1502">
        <f>J31</f>
        <v>100</v>
      </c>
      <c r="X31" s="1503"/>
      <c r="Y31" s="3541"/>
      <c r="Z31" s="2425" t="str">
        <f>Q31</f>
        <v>基础设施水平</v>
      </c>
      <c r="AA31" s="1509">
        <f>D31/F31</f>
        <v>1</v>
      </c>
      <c r="AB31" s="1509">
        <f>D31/H31</f>
        <v>1</v>
      </c>
      <c r="AC31" s="1509">
        <f>D31/J31</f>
        <v>1</v>
      </c>
    </row>
    <row r="32" spans="1:29" s="1202" customFormat="1" ht="20.25">
      <c r="A32" s="570"/>
      <c r="B32" s="559"/>
      <c r="C32" s="572"/>
      <c r="D32" s="550"/>
      <c r="E32" s="2434"/>
      <c r="F32" s="548"/>
      <c r="G32" s="572"/>
      <c r="H32" s="548"/>
      <c r="I32" s="572"/>
      <c r="J32" s="548"/>
      <c r="K32" s="524"/>
      <c r="L32" s="2015"/>
      <c r="M32" s="2012"/>
      <c r="N32" s="2012"/>
      <c r="O32" s="2017"/>
      <c r="P32" s="3541"/>
      <c r="Q32" s="2426"/>
      <c r="R32" s="1501"/>
      <c r="S32" s="1502"/>
      <c r="T32" s="1501"/>
      <c r="U32" s="1502"/>
      <c r="V32" s="1501"/>
      <c r="W32" s="1502"/>
      <c r="X32" s="1503"/>
      <c r="Y32" s="3541"/>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4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41"/>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41"/>
      <c r="Q34" s="1505" t="str">
        <f t="shared" si="8"/>
        <v>毗邻道路的类型与等级</v>
      </c>
      <c r="R34" s="1506" t="s">
        <v>8</v>
      </c>
      <c r="S34" s="1507">
        <f t="shared" si="10"/>
        <v>100</v>
      </c>
      <c r="T34" s="1506" t="s">
        <v>8</v>
      </c>
      <c r="U34" s="1507">
        <f t="shared" si="11"/>
        <v>100</v>
      </c>
      <c r="V34" s="1506" t="s">
        <v>8</v>
      </c>
      <c r="W34" s="1507">
        <f t="shared" si="12"/>
        <v>100</v>
      </c>
      <c r="X34" s="1500"/>
      <c r="Y34" s="3541"/>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541"/>
      <c r="Q35" s="1505"/>
      <c r="R35" s="1506"/>
      <c r="S35" s="1507"/>
      <c r="T35" s="1506"/>
      <c r="U35" s="1507"/>
      <c r="V35" s="1506"/>
      <c r="W35" s="1507"/>
      <c r="X35" s="1500"/>
      <c r="Y35" s="3541"/>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41"/>
      <c r="Q36" s="1505" t="str">
        <f t="shared" si="8"/>
        <v>土地级别</v>
      </c>
      <c r="R36" s="1506" t="s">
        <v>8</v>
      </c>
      <c r="S36" s="1507">
        <f t="shared" si="10"/>
        <v>100</v>
      </c>
      <c r="T36" s="1506" t="s">
        <v>8</v>
      </c>
      <c r="U36" s="1507">
        <f t="shared" si="11"/>
        <v>100</v>
      </c>
      <c r="V36" s="1506" t="s">
        <v>8</v>
      </c>
      <c r="W36" s="1507">
        <f t="shared" si="12"/>
        <v>100</v>
      </c>
      <c r="X36" s="1500"/>
      <c r="Y36" s="3541"/>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41"/>
      <c r="Q37" s="1505">
        <f t="shared" si="8"/>
        <v>111</v>
      </c>
      <c r="R37" s="1506" t="s">
        <v>8</v>
      </c>
      <c r="S37" s="1507">
        <f t="shared" si="10"/>
        <v>100</v>
      </c>
      <c r="T37" s="1506" t="s">
        <v>8</v>
      </c>
      <c r="U37" s="1507">
        <f t="shared" si="11"/>
        <v>100</v>
      </c>
      <c r="V37" s="1506" t="s">
        <v>8</v>
      </c>
      <c r="W37" s="1507">
        <f t="shared" si="12"/>
        <v>100</v>
      </c>
      <c r="X37" s="1500"/>
      <c r="Y37" s="3541"/>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42" t="s">
        <v>544</v>
      </c>
      <c r="Q38" s="1505">
        <f t="shared" si="8"/>
        <v>111</v>
      </c>
      <c r="R38" s="1506" t="s">
        <v>8</v>
      </c>
      <c r="S38" s="1507">
        <f t="shared" si="10"/>
        <v>100</v>
      </c>
      <c r="T38" s="1506" t="s">
        <v>8</v>
      </c>
      <c r="U38" s="1507">
        <f t="shared" si="11"/>
        <v>100</v>
      </c>
      <c r="V38" s="1506" t="s">
        <v>8</v>
      </c>
      <c r="W38" s="1507">
        <f t="shared" si="12"/>
        <v>100</v>
      </c>
      <c r="X38" s="1500"/>
      <c r="Y38" s="3543" t="s">
        <v>544</v>
      </c>
      <c r="Z38" s="1508">
        <f t="shared" si="13"/>
        <v>111</v>
      </c>
      <c r="AA38" s="1509">
        <f t="shared" si="3"/>
        <v>1</v>
      </c>
      <c r="AB38" s="1509">
        <f t="shared" si="4"/>
        <v>1</v>
      </c>
      <c r="AC38" s="1509">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43"/>
      <c r="Q39" s="1505">
        <f t="shared" si="8"/>
        <v>111</v>
      </c>
      <c r="R39" s="1510" t="s">
        <v>8</v>
      </c>
      <c r="S39" s="1511">
        <f t="shared" si="10"/>
        <v>100</v>
      </c>
      <c r="T39" s="1510" t="s">
        <v>8</v>
      </c>
      <c r="U39" s="1511">
        <f t="shared" si="11"/>
        <v>100</v>
      </c>
      <c r="V39" s="1510" t="s">
        <v>8</v>
      </c>
      <c r="W39" s="1511">
        <f t="shared" si="12"/>
        <v>100</v>
      </c>
      <c r="X39" s="1512"/>
      <c r="Y39" s="3543"/>
      <c r="Z39" s="1513">
        <f t="shared" si="13"/>
        <v>111</v>
      </c>
      <c r="AA39" s="1509">
        <f t="shared" si="3"/>
        <v>1</v>
      </c>
      <c r="AB39" s="1509">
        <f t="shared" si="4"/>
        <v>1</v>
      </c>
      <c r="AC39" s="1509">
        <f t="shared" si="5"/>
        <v>1</v>
      </c>
    </row>
    <row r="40" spans="1:29" ht="20.25">
      <c r="A40" s="2622" t="s">
        <v>2711</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543"/>
      <c r="Q40" s="1505" t="str">
        <f>B40</f>
        <v>宗地面积</v>
      </c>
      <c r="R40" s="1506" t="s">
        <v>8</v>
      </c>
      <c r="S40" s="1507" t="e">
        <f t="shared" si="10"/>
        <v>#N/A</v>
      </c>
      <c r="T40" s="1506" t="s">
        <v>8</v>
      </c>
      <c r="U40" s="1507" t="e">
        <f t="shared" si="11"/>
        <v>#N/A</v>
      </c>
      <c r="V40" s="1506" t="s">
        <v>8</v>
      </c>
      <c r="W40" s="1507" t="e">
        <f t="shared" si="12"/>
        <v>#N/A</v>
      </c>
      <c r="X40" s="1500"/>
      <c r="Y40" s="3543"/>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543"/>
      <c r="Q41" s="1505" t="str">
        <f t="shared" ref="Q41:Q47" si="14">B41</f>
        <v>宗地形状</v>
      </c>
      <c r="R41" s="1506" t="s">
        <v>8</v>
      </c>
      <c r="S41" s="1507">
        <f t="shared" si="10"/>
        <v>100</v>
      </c>
      <c r="T41" s="1506" t="s">
        <v>8</v>
      </c>
      <c r="U41" s="1507">
        <f t="shared" si="11"/>
        <v>100</v>
      </c>
      <c r="V41" s="1506" t="s">
        <v>8</v>
      </c>
      <c r="W41" s="1507">
        <f t="shared" si="12"/>
        <v>100</v>
      </c>
      <c r="X41" s="1500"/>
      <c r="Y41" s="3543"/>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543"/>
      <c r="Q42" s="1505" t="str">
        <f t="shared" si="14"/>
        <v>临街宽度及深度</v>
      </c>
      <c r="R42" s="1506" t="s">
        <v>8</v>
      </c>
      <c r="S42" s="1507">
        <f t="shared" si="10"/>
        <v>100</v>
      </c>
      <c r="T42" s="1506" t="s">
        <v>8</v>
      </c>
      <c r="U42" s="1507">
        <f t="shared" si="11"/>
        <v>100</v>
      </c>
      <c r="V42" s="1506" t="s">
        <v>8</v>
      </c>
      <c r="W42" s="1507">
        <f t="shared" si="12"/>
        <v>100</v>
      </c>
      <c r="X42" s="1500"/>
      <c r="Y42" s="3543"/>
      <c r="Z42" s="1508" t="str">
        <f t="shared" si="13"/>
        <v>临街宽度及深度</v>
      </c>
      <c r="AA42" s="1509">
        <f t="shared" si="3"/>
        <v>1</v>
      </c>
      <c r="AB42" s="1509">
        <f t="shared" si="4"/>
        <v>1</v>
      </c>
      <c r="AC42" s="1509">
        <f t="shared" si="5"/>
        <v>1</v>
      </c>
    </row>
    <row r="43" spans="1:29" s="1202" customFormat="1" ht="20.25">
      <c r="A43" s="593"/>
      <c r="B43" s="1807"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543"/>
      <c r="Q43" s="1505" t="str">
        <f t="shared" si="14"/>
        <v>宗地开发程度</v>
      </c>
      <c r="R43" s="1501" t="s">
        <v>8</v>
      </c>
      <c r="S43" s="1502">
        <f t="shared" si="10"/>
        <v>100</v>
      </c>
      <c r="T43" s="1501" t="s">
        <v>8</v>
      </c>
      <c r="U43" s="1502">
        <f t="shared" si="11"/>
        <v>100</v>
      </c>
      <c r="V43" s="1501" t="s">
        <v>8</v>
      </c>
      <c r="W43" s="1502">
        <f t="shared" si="12"/>
        <v>100</v>
      </c>
      <c r="X43" s="1503"/>
      <c r="Y43" s="3543"/>
      <c r="Z43" s="1132"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543" t="s">
        <v>544</v>
      </c>
      <c r="Q44" s="1505" t="str">
        <f t="shared" si="14"/>
        <v>工程地质条件</v>
      </c>
      <c r="R44" s="1506" t="s">
        <v>8</v>
      </c>
      <c r="S44" s="1507">
        <f t="shared" si="10"/>
        <v>100</v>
      </c>
      <c r="T44" s="1506" t="s">
        <v>8</v>
      </c>
      <c r="U44" s="1507">
        <f t="shared" si="11"/>
        <v>100</v>
      </c>
      <c r="V44" s="1506" t="s">
        <v>8</v>
      </c>
      <c r="W44" s="1507">
        <f t="shared" si="12"/>
        <v>100</v>
      </c>
      <c r="X44" s="1500"/>
      <c r="Y44" s="3543"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43"/>
      <c r="Q45" s="1505">
        <f t="shared" si="14"/>
        <v>111</v>
      </c>
      <c r="R45" s="1506" t="s">
        <v>8</v>
      </c>
      <c r="S45" s="1507">
        <f t="shared" si="10"/>
        <v>100</v>
      </c>
      <c r="T45" s="1506" t="s">
        <v>8</v>
      </c>
      <c r="U45" s="1507">
        <f t="shared" si="11"/>
        <v>100</v>
      </c>
      <c r="V45" s="1506" t="s">
        <v>8</v>
      </c>
      <c r="W45" s="1507">
        <f t="shared" si="12"/>
        <v>100</v>
      </c>
      <c r="X45" s="1500"/>
      <c r="Y45" s="3543"/>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43"/>
      <c r="Q46" s="1505">
        <f t="shared" si="14"/>
        <v>111</v>
      </c>
      <c r="R46" s="1506" t="s">
        <v>8</v>
      </c>
      <c r="S46" s="1507">
        <f t="shared" si="10"/>
        <v>100</v>
      </c>
      <c r="T46" s="1506" t="s">
        <v>8</v>
      </c>
      <c r="U46" s="1507">
        <f t="shared" si="11"/>
        <v>100</v>
      </c>
      <c r="V46" s="1506" t="s">
        <v>8</v>
      </c>
      <c r="W46" s="1507">
        <f t="shared" si="12"/>
        <v>100</v>
      </c>
      <c r="X46" s="1500"/>
      <c r="Y46" s="3543"/>
      <c r="Z46" s="1508">
        <f t="shared" si="13"/>
        <v>111</v>
      </c>
      <c r="AA46" s="1509">
        <f t="shared" si="3"/>
        <v>1</v>
      </c>
      <c r="AB46" s="1509">
        <f t="shared" si="4"/>
        <v>1</v>
      </c>
      <c r="AC46" s="1509">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43"/>
      <c r="Q47" s="1505">
        <f t="shared" si="14"/>
        <v>111</v>
      </c>
      <c r="R47" s="1510" t="s">
        <v>8</v>
      </c>
      <c r="S47" s="1511">
        <f t="shared" si="10"/>
        <v>100</v>
      </c>
      <c r="T47" s="1510" t="s">
        <v>8</v>
      </c>
      <c r="U47" s="1511">
        <f t="shared" si="11"/>
        <v>100</v>
      </c>
      <c r="V47" s="1510" t="s">
        <v>8</v>
      </c>
      <c r="W47" s="1511">
        <f t="shared" si="12"/>
        <v>100</v>
      </c>
      <c r="X47" s="1512"/>
      <c r="Y47" s="3543"/>
      <c r="Z47" s="1513">
        <f t="shared" si="13"/>
        <v>111</v>
      </c>
      <c r="AA47" s="1509">
        <f t="shared" si="3"/>
        <v>1</v>
      </c>
      <c r="AB47" s="1509">
        <f t="shared" si="4"/>
        <v>1</v>
      </c>
      <c r="AC47" s="1509">
        <f t="shared" si="5"/>
        <v>1</v>
      </c>
    </row>
    <row r="48" spans="1:29" ht="20.25">
      <c r="A48" s="600" t="s">
        <v>550</v>
      </c>
      <c r="B48" s="601" t="s">
        <v>2873</v>
      </c>
      <c r="C48" s="602" t="s">
        <v>1</v>
      </c>
      <c r="D48" s="603"/>
      <c r="E48" s="604"/>
      <c r="F48" s="605"/>
      <c r="G48" s="606"/>
      <c r="H48" s="607"/>
      <c r="I48" s="604"/>
      <c r="J48" s="607"/>
      <c r="K48" s="1293"/>
      <c r="L48" s="2024"/>
      <c r="M48" s="2012"/>
      <c r="N48" s="2012"/>
      <c r="O48" s="2025"/>
      <c r="P48" s="3506" t="str">
        <f>A48</f>
        <v>成交单价</v>
      </c>
      <c r="Q48" s="3506"/>
      <c r="R48" s="3507">
        <f>E48</f>
        <v>0</v>
      </c>
      <c r="S48" s="3507"/>
      <c r="T48" s="3507">
        <f>G48</f>
        <v>0</v>
      </c>
      <c r="U48" s="3507"/>
      <c r="V48" s="3507">
        <f>I48</f>
        <v>0</v>
      </c>
      <c r="W48" s="3507"/>
      <c r="X48" s="1495"/>
      <c r="Y48" s="1514"/>
      <c r="Z48" s="1495"/>
      <c r="AA48" s="1495"/>
      <c r="AB48" s="1495"/>
      <c r="AC48" s="1495"/>
    </row>
    <row r="49" spans="1:29" ht="21" thickBot="1">
      <c r="A49" s="608" t="s">
        <v>2649</v>
      </c>
      <c r="B49" s="609"/>
      <c r="C49" s="610" t="e">
        <f>R50</f>
        <v>#DIV/0!</v>
      </c>
      <c r="D49" s="2896" t="s">
        <v>2938</v>
      </c>
      <c r="E49" s="610" t="e">
        <f>R49</f>
        <v>#DIV/0!</v>
      </c>
      <c r="F49" s="2897"/>
      <c r="G49" s="611" t="e">
        <f>T49</f>
        <v>#DIV/0!</v>
      </c>
      <c r="H49" s="2897"/>
      <c r="I49" s="610" t="e">
        <f>V49</f>
        <v>#DIV/0!</v>
      </c>
      <c r="J49" s="2897"/>
      <c r="K49" s="2898">
        <f>F49+H49+J49</f>
        <v>0</v>
      </c>
      <c r="L49" s="2024"/>
      <c r="M49" s="2012"/>
      <c r="N49" s="2012"/>
      <c r="O49" s="2025"/>
      <c r="P49" s="3506" t="str">
        <f>A49</f>
        <v>比较价格（元/平方米）</v>
      </c>
      <c r="Q49" s="3506"/>
      <c r="R49" s="3508" t="e">
        <f>ROUND(PRODUCT(R48,AA9:AA47),0)</f>
        <v>#DIV/0!</v>
      </c>
      <c r="S49" s="3508"/>
      <c r="T49" s="3508" t="e">
        <f>ROUND(PRODUCT(T48,AB9:AB47),0)</f>
        <v>#DIV/0!</v>
      </c>
      <c r="U49" s="3508"/>
      <c r="V49" s="3508" t="e">
        <f>ROUND(PRODUCT(V48,AC9:AC47),0)</f>
        <v>#DIV/0!</v>
      </c>
      <c r="W49" s="3508"/>
      <c r="X49" s="1495"/>
      <c r="Y49" s="1495"/>
      <c r="Z49" s="1495"/>
      <c r="AA49" s="1495"/>
      <c r="AB49" s="1495"/>
      <c r="AC49" s="1495"/>
    </row>
    <row r="50" spans="1:29" ht="21" thickBot="1">
      <c r="A50" s="612" t="s">
        <v>2874</v>
      </c>
      <c r="B50" s="613"/>
      <c r="C50" s="614" t="e">
        <f>R50</f>
        <v>#DIV/0!</v>
      </c>
      <c r="D50" s="614"/>
      <c r="E50" s="614"/>
      <c r="F50" s="614"/>
      <c r="G50" s="614"/>
      <c r="H50" s="614"/>
      <c r="I50" s="614"/>
      <c r="J50" s="614"/>
      <c r="K50" s="1294"/>
      <c r="L50" s="2024"/>
      <c r="M50" s="2012"/>
      <c r="N50" s="2012"/>
      <c r="O50" s="2025"/>
      <c r="P50" s="3503" t="str">
        <f>A50</f>
        <v>估价对象XX用房的比较价格（楼面单价，元/平方米）</v>
      </c>
      <c r="Q50" s="3504"/>
      <c r="R50" s="3505" t="e">
        <f>ROUND(IF(D49="简单平均",AVERAGE(R49:W49),R49*F49+T49*H49+V49*J49),0)</f>
        <v>#DIV/0!</v>
      </c>
      <c r="S50" s="3505"/>
      <c r="T50" s="3505"/>
      <c r="U50" s="3505"/>
      <c r="V50" s="3505"/>
      <c r="W50" s="3505"/>
      <c r="X50" s="1495"/>
      <c r="Y50" s="1495"/>
      <c r="Z50" s="1495"/>
      <c r="AA50" s="1495"/>
      <c r="AB50" s="1495"/>
      <c r="AC50" s="1495"/>
    </row>
    <row r="51" spans="1:29" ht="20.25">
      <c r="A51" s="3094"/>
      <c r="B51" s="3094"/>
      <c r="C51" s="3094"/>
      <c r="D51" s="3094"/>
      <c r="E51" s="3094"/>
      <c r="F51" s="3094"/>
      <c r="G51" s="3096"/>
      <c r="H51" s="3094"/>
      <c r="I51" s="3094"/>
      <c r="J51" s="3094"/>
      <c r="K51" s="3097"/>
      <c r="L51" s="2029"/>
      <c r="M51" s="2012"/>
      <c r="N51" s="2012"/>
      <c r="O51" s="2025"/>
      <c r="P51" s="2025"/>
      <c r="Q51" s="2025"/>
      <c r="R51" s="2025"/>
      <c r="S51" s="2025"/>
      <c r="T51" s="2025"/>
      <c r="U51" s="2025"/>
      <c r="V51" s="2025"/>
      <c r="W51" s="2025"/>
      <c r="X51" s="2025"/>
      <c r="Y51" s="2025"/>
      <c r="Z51" s="2025"/>
      <c r="AA51" s="2025"/>
      <c r="AB51" s="2025"/>
      <c r="AC51" s="2025"/>
    </row>
    <row r="52" spans="1:29" ht="20.25">
      <c r="A52" s="3094"/>
      <c r="B52" s="3094"/>
      <c r="C52" s="3094"/>
      <c r="D52" s="3094"/>
      <c r="E52" s="3094"/>
      <c r="F52" s="3094"/>
      <c r="G52" s="3094"/>
      <c r="H52" s="3094"/>
      <c r="I52" s="3094"/>
      <c r="J52" s="3094"/>
      <c r="K52" s="3097"/>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097"/>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094"/>
      <c r="B54" s="3094"/>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097"/>
      <c r="L54" s="2029"/>
      <c r="M54" s="2012"/>
      <c r="N54" s="2012"/>
      <c r="O54" s="2025"/>
      <c r="P54" s="2025"/>
      <c r="Q54" s="2025"/>
      <c r="R54" s="2025"/>
      <c r="S54" s="2025"/>
      <c r="T54" s="2025"/>
      <c r="U54" s="2025"/>
      <c r="V54" s="2025"/>
      <c r="W54" s="2025"/>
      <c r="X54" s="2025"/>
      <c r="Y54" s="2025"/>
      <c r="Z54" s="2025"/>
      <c r="AA54" s="2025"/>
      <c r="AB54" s="2025"/>
      <c r="AC54" s="2025"/>
    </row>
    <row r="55" spans="1:29" s="1297" customFormat="1" ht="13.5" customHeight="1">
      <c r="A55" s="3095"/>
      <c r="B55" s="3095"/>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098"/>
      <c r="L55" s="2032"/>
      <c r="M55" s="2012"/>
      <c r="N55" s="2012"/>
      <c r="O55" s="2026"/>
      <c r="P55" s="2026"/>
      <c r="Q55" s="2026"/>
      <c r="R55" s="2026"/>
      <c r="S55" s="2026"/>
      <c r="T55" s="2026"/>
      <c r="U55" s="2026"/>
      <c r="V55" s="2026"/>
      <c r="W55" s="2026"/>
      <c r="X55" s="2026"/>
      <c r="Y55" s="2026"/>
      <c r="Z55" s="2026"/>
      <c r="AA55" s="2026"/>
      <c r="AB55" s="2026"/>
      <c r="AC55" s="2026"/>
    </row>
    <row r="56" spans="1:29" s="1297" customFormat="1" ht="21" thickBot="1">
      <c r="A56" s="2026"/>
      <c r="B56" s="2027"/>
      <c r="C56" s="2030"/>
      <c r="D56" s="2026"/>
      <c r="E56" s="2026"/>
      <c r="F56" s="2026"/>
      <c r="G56" s="2026"/>
      <c r="H56" s="2026"/>
      <c r="I56" s="2026"/>
      <c r="J56" s="2026"/>
      <c r="K56" s="3098"/>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2278</v>
      </c>
      <c r="E57" s="622" t="s">
        <v>556</v>
      </c>
      <c r="F57" s="623" t="s">
        <v>557</v>
      </c>
      <c r="G57" s="3532" t="s">
        <v>2266</v>
      </c>
      <c r="H57" s="3533"/>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8" customFormat="1" ht="12.75">
      <c r="A58" s="624" t="s">
        <v>558</v>
      </c>
      <c r="B58" s="625" t="e">
        <f>C50</f>
        <v>#DIV/0!</v>
      </c>
      <c r="C58" s="626">
        <v>1</v>
      </c>
      <c r="D58" s="2106">
        <v>1</v>
      </c>
      <c r="E58" s="626">
        <f>'数据-汇总表'!E8+'数据-汇总表'!E9</f>
        <v>9740.7800000000007</v>
      </c>
      <c r="F58" s="627" t="e">
        <f t="shared" ref="F58:F67" si="15">ROUND(B58*E58/10000,0)</f>
        <v>#DIV/0!</v>
      </c>
      <c r="G58" s="3534"/>
      <c r="H58" s="3535"/>
      <c r="I58" s="1493">
        <v>1</v>
      </c>
      <c r="J58" s="1493">
        <v>1</v>
      </c>
      <c r="K58" s="3099"/>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559</v>
      </c>
      <c r="B59" s="629" t="e">
        <f>ROUND($C$50*C59*D59,0)</f>
        <v>#DIV/0!</v>
      </c>
      <c r="C59" s="371">
        <f t="shared" ref="C59:C67" si="16">IF($C$57="北京市系数",I59,J59)</f>
        <v>0.6</v>
      </c>
      <c r="D59" s="2107">
        <v>0.25</v>
      </c>
      <c r="E59" s="630">
        <v>0</v>
      </c>
      <c r="F59" s="627" t="e">
        <f t="shared" si="15"/>
        <v>#DIV/0!</v>
      </c>
      <c r="G59" s="3536" t="s">
        <v>2267</v>
      </c>
      <c r="H59" s="1860" t="str">
        <f>项目基本情况!B43</f>
        <v>十一级</v>
      </c>
      <c r="I59" s="1493">
        <f>SUMIF(修正!$A$45:$A$56,H59,修正!B45:B56)</f>
        <v>0.6</v>
      </c>
      <c r="J59" s="1494"/>
      <c r="K59" s="3099"/>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560</v>
      </c>
      <c r="B60" s="629" t="e">
        <f t="shared" ref="B60:B67" si="17">ROUND($C$50*C60*D60,0)</f>
        <v>#DIV/0!</v>
      </c>
      <c r="C60" s="371">
        <f t="shared" si="16"/>
        <v>0.3</v>
      </c>
      <c r="D60" s="2107">
        <v>0.25</v>
      </c>
      <c r="E60" s="630">
        <v>0</v>
      </c>
      <c r="F60" s="627" t="e">
        <f t="shared" si="15"/>
        <v>#DIV/0!</v>
      </c>
      <c r="G60" s="3536"/>
      <c r="H60" s="1860" t="str">
        <f>项目基本情况!B43</f>
        <v>十一级</v>
      </c>
      <c r="I60" s="1493">
        <f>SUMIF(修正!$A$45:$A$56,H60,修正!C45:C56)</f>
        <v>0.3</v>
      </c>
      <c r="J60" s="1494"/>
      <c r="K60" s="3099"/>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561</v>
      </c>
      <c r="B61" s="629" t="e">
        <f t="shared" si="17"/>
        <v>#DIV/0!</v>
      </c>
      <c r="C61" s="371">
        <f t="shared" si="16"/>
        <v>0.2</v>
      </c>
      <c r="D61" s="2107">
        <v>0.25</v>
      </c>
      <c r="E61" s="630">
        <v>0</v>
      </c>
      <c r="F61" s="627" t="e">
        <f t="shared" si="15"/>
        <v>#DIV/0!</v>
      </c>
      <c r="G61" s="3536"/>
      <c r="H61" s="1860" t="str">
        <f>项目基本情况!B43</f>
        <v>十一级</v>
      </c>
      <c r="I61" s="1493">
        <f>SUMIF(修正!$A$45:$A$56,H61,修正!D45:D56)</f>
        <v>0.2</v>
      </c>
      <c r="J61" s="1494"/>
      <c r="K61" s="3099"/>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2.75">
      <c r="A62" s="628" t="s">
        <v>562</v>
      </c>
      <c r="B62" s="629" t="e">
        <f t="shared" si="17"/>
        <v>#DIV/0!</v>
      </c>
      <c r="C62" s="371">
        <f t="shared" si="16"/>
        <v>0.2</v>
      </c>
      <c r="D62" s="2107">
        <v>0.25</v>
      </c>
      <c r="E62" s="630">
        <v>0</v>
      </c>
      <c r="F62" s="627" t="e">
        <f t="shared" si="15"/>
        <v>#DIV/0!</v>
      </c>
      <c r="G62" s="3536"/>
      <c r="H62" s="1860" t="str">
        <f>项目基本情况!B43</f>
        <v>十一级</v>
      </c>
      <c r="I62" s="1493">
        <f>SUMIF(修正!$A$45:$A$56,H62,修正!E45:E56)</f>
        <v>0.2</v>
      </c>
      <c r="J62" s="1494"/>
      <c r="K62" s="3099"/>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2.75">
      <c r="A63" s="2209" t="s">
        <v>2313</v>
      </c>
      <c r="B63" s="629" t="e">
        <f t="shared" si="17"/>
        <v>#DIV/0!</v>
      </c>
      <c r="C63" s="371">
        <f t="shared" si="16"/>
        <v>0.2</v>
      </c>
      <c r="D63" s="2107">
        <v>0.25</v>
      </c>
      <c r="E63" s="632">
        <f>'数据-汇总表'!E11</f>
        <v>0</v>
      </c>
      <c r="F63" s="627" t="e">
        <f t="shared" si="15"/>
        <v>#DIV/0!</v>
      </c>
      <c r="G63" s="1857" t="s">
        <v>2268</v>
      </c>
      <c r="H63" s="1860" t="str">
        <f>项目基本情况!C43</f>
        <v>十一级</v>
      </c>
      <c r="I63" s="1493">
        <f>SUMIF(修正!$A$45:$A$56,H63,修正!F45:F56)</f>
        <v>0.2</v>
      </c>
      <c r="J63" s="1494"/>
      <c r="K63" s="3099"/>
      <c r="L63" s="2034"/>
      <c r="M63" s="2034"/>
      <c r="N63" s="2034"/>
      <c r="O63" s="2034"/>
      <c r="P63" s="2034"/>
      <c r="Q63" s="2034"/>
      <c r="R63" s="2034"/>
      <c r="S63" s="2034"/>
      <c r="T63" s="2034"/>
      <c r="U63" s="2034"/>
      <c r="V63" s="2034"/>
      <c r="W63" s="2034"/>
      <c r="X63" s="2034"/>
      <c r="Y63" s="2034"/>
      <c r="Z63" s="2034"/>
      <c r="AA63" s="2034"/>
      <c r="AB63" s="2034"/>
      <c r="AC63" s="2034"/>
    </row>
    <row r="64" spans="1:29" s="1298" customFormat="1" ht="12.75">
      <c r="A64" s="628" t="s">
        <v>563</v>
      </c>
      <c r="B64" s="629" t="e">
        <f t="shared" si="17"/>
        <v>#DIV/0!</v>
      </c>
      <c r="C64" s="371">
        <f t="shared" si="16"/>
        <v>0.2</v>
      </c>
      <c r="D64" s="2107">
        <v>0.25</v>
      </c>
      <c r="E64" s="632">
        <f>'数据-汇总表'!E12</f>
        <v>0</v>
      </c>
      <c r="F64" s="627" t="e">
        <f t="shared" si="15"/>
        <v>#DIV/0!</v>
      </c>
      <c r="G64" s="1858" t="s">
        <v>1668</v>
      </c>
      <c r="H64" s="1856" t="str">
        <f>IF(G64="商业",项目基本情况!B43,IF(G64="办公",项目基本情况!C43,IF(G64="住宅",项目基本情况!D43,项目基本情况!E43)))</f>
        <v>十一级</v>
      </c>
      <c r="I64" s="1493">
        <f>SUMIF(修正!$A$45:$A$56,H64,修正!G45:G56)</f>
        <v>0.2</v>
      </c>
      <c r="J64" s="1494"/>
      <c r="K64" s="3099"/>
      <c r="L64" s="2034"/>
      <c r="M64" s="2034"/>
      <c r="N64" s="2034"/>
      <c r="O64" s="2034"/>
      <c r="P64" s="2034"/>
      <c r="Q64" s="2034"/>
      <c r="R64" s="2034"/>
      <c r="S64" s="2034"/>
      <c r="T64" s="2034"/>
      <c r="U64" s="2034"/>
      <c r="V64" s="2034"/>
      <c r="W64" s="2034"/>
      <c r="X64" s="2034"/>
      <c r="Y64" s="2034"/>
      <c r="Z64" s="2034"/>
      <c r="AA64" s="2034"/>
      <c r="AB64" s="2034"/>
      <c r="AC64" s="2034"/>
    </row>
    <row r="65" spans="1:29" s="1298" customFormat="1" ht="12.75">
      <c r="A65" s="628" t="s">
        <v>564</v>
      </c>
      <c r="B65" s="629" t="e">
        <f t="shared" si="17"/>
        <v>#DIV/0!</v>
      </c>
      <c r="C65" s="371">
        <f t="shared" si="16"/>
        <v>0.15</v>
      </c>
      <c r="D65" s="2107">
        <v>0.25</v>
      </c>
      <c r="E65" s="632">
        <f>'数据-汇总表'!E13</f>
        <v>861.16</v>
      </c>
      <c r="F65" s="627" t="e">
        <f t="shared" si="15"/>
        <v>#DIV/0!</v>
      </c>
      <c r="G65" s="1858" t="s">
        <v>914</v>
      </c>
      <c r="H65" s="1856" t="str">
        <f>IF(G65="商业",项目基本情况!B43,IF(G65="办公",项目基本情况!C43,IF(G65="住宅",项目基本情况!D43,项目基本情况!E43)))</f>
        <v>十一级</v>
      </c>
      <c r="I65" s="1493">
        <f>SUMIF(修正!$A$45:$A$56,H65,修正!H45:H56)</f>
        <v>0.15</v>
      </c>
      <c r="J65" s="1494"/>
      <c r="K65" s="3099"/>
      <c r="L65" s="2034"/>
      <c r="M65" s="2034"/>
      <c r="N65" s="2034"/>
      <c r="O65" s="2034"/>
      <c r="P65" s="2034"/>
      <c r="Q65" s="2034"/>
      <c r="R65" s="2034"/>
      <c r="S65" s="2034"/>
      <c r="T65" s="2034"/>
      <c r="U65" s="2034"/>
      <c r="V65" s="2034"/>
      <c r="W65" s="2034"/>
      <c r="X65" s="2034"/>
      <c r="Y65" s="2034"/>
      <c r="Z65" s="2034"/>
      <c r="AA65" s="2034"/>
      <c r="AB65" s="2034"/>
      <c r="AC65" s="2034"/>
    </row>
    <row r="66" spans="1:29" s="1298" customFormat="1" ht="12.75">
      <c r="A66" s="628" t="s">
        <v>565</v>
      </c>
      <c r="B66" s="629" t="e">
        <f t="shared" si="17"/>
        <v>#DIV/0!</v>
      </c>
      <c r="C66" s="371">
        <f t="shared" si="16"/>
        <v>0.15</v>
      </c>
      <c r="D66" s="2107">
        <v>0.25</v>
      </c>
      <c r="E66" s="632">
        <f>'数据-汇总表'!E14</f>
        <v>0</v>
      </c>
      <c r="F66" s="627" t="e">
        <f t="shared" si="15"/>
        <v>#DIV/0!</v>
      </c>
      <c r="G66" s="1857" t="s">
        <v>2267</v>
      </c>
      <c r="H66" s="1860" t="str">
        <f>项目基本情况!B43</f>
        <v>十一级</v>
      </c>
      <c r="I66" s="1493">
        <f>SUMIF(修正!$A$45:$A$56,H66,修正!H45:H56)</f>
        <v>0.15</v>
      </c>
      <c r="J66" s="1494"/>
      <c r="K66" s="3099"/>
      <c r="L66" s="2034"/>
      <c r="M66" s="2034"/>
      <c r="N66" s="2034"/>
      <c r="O66" s="2034"/>
      <c r="P66" s="2034"/>
      <c r="Q66" s="2034"/>
      <c r="R66" s="2034"/>
      <c r="S66" s="2034"/>
      <c r="T66" s="2034"/>
      <c r="U66" s="2034"/>
      <c r="V66" s="2034"/>
      <c r="W66" s="2034"/>
      <c r="X66" s="2034"/>
      <c r="Y66" s="2034"/>
      <c r="Z66" s="2034"/>
      <c r="AA66" s="2034"/>
      <c r="AB66" s="2034"/>
      <c r="AC66" s="2034"/>
    </row>
    <row r="67" spans="1:29" s="1298" customFormat="1" ht="13.5" thickBot="1">
      <c r="A67" s="628" t="s">
        <v>566</v>
      </c>
      <c r="B67" s="629" t="e">
        <f t="shared" si="17"/>
        <v>#DIV/0!</v>
      </c>
      <c r="C67" s="371">
        <f t="shared" si="16"/>
        <v>0.15</v>
      </c>
      <c r="D67" s="2107">
        <v>0.25</v>
      </c>
      <c r="E67" s="632">
        <f>'数据-汇总表'!E15</f>
        <v>0</v>
      </c>
      <c r="F67" s="627" t="e">
        <f t="shared" si="15"/>
        <v>#DIV/0!</v>
      </c>
      <c r="G67" s="1859" t="s">
        <v>2268</v>
      </c>
      <c r="H67" s="1861" t="str">
        <f>项目基本情况!C43</f>
        <v>十一级</v>
      </c>
      <c r="I67" s="1493">
        <f>SUMIF(修正!$A$45:$A$56,H67,修正!H45:H56)</f>
        <v>0.15</v>
      </c>
      <c r="J67" s="1494"/>
      <c r="K67" s="3099"/>
      <c r="L67" s="2034"/>
      <c r="M67" s="2034"/>
      <c r="N67" s="2034"/>
      <c r="O67" s="2034"/>
      <c r="P67" s="2034"/>
      <c r="Q67" s="2034"/>
      <c r="R67" s="2034"/>
      <c r="S67" s="2034"/>
      <c r="T67" s="2034"/>
      <c r="U67" s="2034"/>
      <c r="V67" s="2034"/>
      <c r="W67" s="2034"/>
      <c r="X67" s="2034"/>
      <c r="Y67" s="2034"/>
      <c r="Z67" s="2034"/>
      <c r="AA67" s="2034"/>
      <c r="AB67" s="2034"/>
      <c r="AC67" s="2034"/>
    </row>
    <row r="68" spans="1:29" s="1298" customFormat="1" ht="13.5" thickBot="1">
      <c r="A68" s="633" t="s">
        <v>567</v>
      </c>
      <c r="B68" s="634" t="s">
        <v>17</v>
      </c>
      <c r="C68" s="634" t="s">
        <v>18</v>
      </c>
      <c r="D68" s="634" t="s">
        <v>2279</v>
      </c>
      <c r="E68" s="634">
        <f>IF(B48="楼面地价",SUM(E58:E67),'数据-汇总表'!D3)</f>
        <v>9817.3700000000008</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2021-3-1</v>
      </c>
      <c r="D70" s="2514">
        <f>EDATE(C70,-3)</f>
        <v>44166</v>
      </c>
      <c r="E70" s="2514">
        <f t="shared" ref="E70:N70" si="18">EDATE(D70,-3)</f>
        <v>44075</v>
      </c>
      <c r="F70" s="2514">
        <f t="shared" si="18"/>
        <v>43983</v>
      </c>
      <c r="G70" s="2514">
        <f t="shared" si="18"/>
        <v>43891</v>
      </c>
      <c r="H70" s="2514">
        <f t="shared" si="18"/>
        <v>43800</v>
      </c>
      <c r="I70" s="2514">
        <f t="shared" si="18"/>
        <v>43709</v>
      </c>
      <c r="J70" s="2514">
        <f t="shared" si="18"/>
        <v>43617</v>
      </c>
      <c r="K70" s="2514">
        <f t="shared" si="18"/>
        <v>43525</v>
      </c>
      <c r="L70" s="2514">
        <f t="shared" si="18"/>
        <v>43435</v>
      </c>
      <c r="M70" s="2514">
        <f t="shared" si="18"/>
        <v>43344</v>
      </c>
      <c r="N70" s="2514">
        <f t="shared" si="18"/>
        <v>43252</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9" customFormat="1" ht="15">
      <c r="A72" s="2419" t="s">
        <v>2511</v>
      </c>
      <c r="B72" s="2420"/>
      <c r="C72" s="2511" t="str">
        <f>YEAR(C70)&amp;"-"&amp;ROUNDUP(MONTH(C70)/3,0)</f>
        <v>2021-1</v>
      </c>
      <c r="D72" s="2516" t="str">
        <f>YEAR(D70)&amp;"-"&amp;ROUNDUP(MONTH(D70)/3,0)</f>
        <v>2020-4</v>
      </c>
      <c r="E72" s="2516" t="str">
        <f t="shared" ref="E72:N72" si="19">YEAR(E70)&amp;"-"&amp;ROUNDUP(MONTH(E70)/3,0)</f>
        <v>2020-3</v>
      </c>
      <c r="F72" s="2516" t="str">
        <f t="shared" si="19"/>
        <v>2020-2</v>
      </c>
      <c r="G72" s="2516" t="str">
        <f t="shared" si="19"/>
        <v>2020-1</v>
      </c>
      <c r="H72" s="2516" t="str">
        <f t="shared" si="19"/>
        <v>2019-4</v>
      </c>
      <c r="I72" s="2516" t="str">
        <f t="shared" si="19"/>
        <v>2019-3</v>
      </c>
      <c r="J72" s="2516" t="str">
        <f t="shared" si="19"/>
        <v>2019-2</v>
      </c>
      <c r="K72" s="2516" t="str">
        <f t="shared" si="19"/>
        <v>2019-1</v>
      </c>
      <c r="L72" s="2516" t="str">
        <f t="shared" si="19"/>
        <v>2018-4</v>
      </c>
      <c r="M72" s="2516" t="str">
        <f t="shared" si="19"/>
        <v>2018-3</v>
      </c>
      <c r="N72" s="2516" t="str">
        <f t="shared" si="19"/>
        <v>2018-2</v>
      </c>
      <c r="O72" s="2038"/>
      <c r="P72" s="2039"/>
      <c r="Q72" s="2040"/>
      <c r="R72" s="2040"/>
      <c r="S72" s="2040"/>
      <c r="T72" s="2040"/>
      <c r="U72" s="2040"/>
      <c r="V72" s="2040"/>
      <c r="W72" s="2040"/>
      <c r="X72" s="2040"/>
      <c r="Y72" s="2040"/>
      <c r="Z72" s="2040"/>
      <c r="AA72" s="2040"/>
      <c r="AB72" s="2040"/>
      <c r="AC72" s="2040"/>
    </row>
    <row r="73" spans="1:29" s="1202" customFormat="1" ht="27" customHeight="1">
      <c r="A73" s="2521" t="s">
        <v>2603</v>
      </c>
      <c r="B73" s="472" t="str">
        <f>"北京市平均增长率"&amp;TEXT(SUMIF(基准地价!N21:N25,A73,基准地价!P21:P25),"0.00%")</f>
        <v>北京市平均增长率1.68%</v>
      </c>
      <c r="C73" s="882">
        <v>100</v>
      </c>
      <c r="D73" s="721"/>
      <c r="E73" s="721"/>
      <c r="F73" s="721"/>
      <c r="G73" s="721"/>
      <c r="H73" s="721"/>
      <c r="I73" s="721"/>
      <c r="J73" s="721"/>
      <c r="K73" s="721"/>
      <c r="L73" s="721"/>
      <c r="M73" s="2509"/>
      <c r="N73" s="2510"/>
      <c r="O73" s="2041"/>
      <c r="P73" s="2037"/>
      <c r="Q73" s="1903"/>
      <c r="R73" s="1903"/>
      <c r="S73" s="1903"/>
      <c r="T73" s="1903"/>
      <c r="U73" s="1903"/>
      <c r="V73" s="1903"/>
      <c r="W73" s="1903"/>
      <c r="X73" s="1903"/>
      <c r="Y73" s="1903"/>
      <c r="Z73" s="1903"/>
      <c r="AA73" s="1903"/>
      <c r="AB73" s="1903"/>
      <c r="AC73" s="1903"/>
    </row>
    <row r="74" spans="1:29" s="1202" customFormat="1" ht="15" customHeight="1" thickBot="1">
      <c r="A74" s="2512" t="s">
        <v>2602</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2"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2"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2" customFormat="1" ht="15.75" thickTop="1">
      <c r="A84" s="678"/>
      <c r="B84" s="664" t="str">
        <f>B14</f>
        <v>配建</v>
      </c>
      <c r="C84" s="679"/>
      <c r="D84" s="1326"/>
      <c r="E84" s="1327"/>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2"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2"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2"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2"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2" customFormat="1" ht="15.75" thickTop="1">
      <c r="A102" s="678"/>
      <c r="B102" s="1808" t="s">
        <v>2527</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Top="1">
      <c r="A104" s="678"/>
      <c r="B104" s="2439" t="s">
        <v>2529</v>
      </c>
      <c r="C104" s="2440" t="s">
        <v>2530</v>
      </c>
      <c r="D104" s="2440" t="s">
        <v>2531</v>
      </c>
      <c r="E104" s="2440" t="s">
        <v>2532</v>
      </c>
      <c r="F104" s="2440" t="s">
        <v>2533</v>
      </c>
      <c r="G104" s="2440" t="s">
        <v>2534</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2"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2"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2" customFormat="1" ht="15" thickTop="1">
      <c r="A125" s="719"/>
      <c r="B125" s="1808" t="s">
        <v>2407</v>
      </c>
      <c r="C125" s="1326"/>
      <c r="D125" s="1326"/>
      <c r="E125" s="1326"/>
      <c r="F125" s="1326"/>
      <c r="G125" s="1326"/>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2"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2"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461</v>
      </c>
      <c r="B2" s="501" t="e">
        <f>F63</f>
        <v>#DIV/0!</v>
      </c>
      <c r="C2" s="3102"/>
      <c r="D2" s="3102"/>
      <c r="E2" s="3102"/>
      <c r="F2" s="3103"/>
      <c r="G2" s="3102"/>
      <c r="H2" s="3102"/>
      <c r="I2" s="3102"/>
      <c r="J2" s="3102"/>
      <c r="K2" s="3104"/>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c r="A3" s="1330" t="s">
        <v>1676</v>
      </c>
      <c r="B3" s="503" t="e">
        <f>ROUND(B2*10000/'数据-汇总表'!E3,0)</f>
        <v>#DIV/0!</v>
      </c>
      <c r="C3" s="3101"/>
      <c r="D3" s="3101"/>
      <c r="E3" s="3101"/>
      <c r="F3" s="3101"/>
      <c r="G3" s="3102"/>
      <c r="H3" s="3102"/>
      <c r="I3" s="3102"/>
      <c r="J3" s="3102"/>
      <c r="K3" s="3104"/>
      <c r="L3" s="2011"/>
      <c r="M3" s="2012"/>
      <c r="N3" s="2012"/>
      <c r="O3" s="2012"/>
      <c r="P3" s="2012"/>
      <c r="Q3" s="2012"/>
      <c r="R3" s="2012"/>
      <c r="S3" s="2012"/>
      <c r="T3" s="2012"/>
      <c r="U3" s="2012"/>
      <c r="V3" s="2012"/>
      <c r="W3" s="2012"/>
      <c r="X3" s="2012"/>
      <c r="Y3" s="2012"/>
      <c r="Z3" s="2012"/>
      <c r="AA3" s="2012"/>
      <c r="AB3" s="1942"/>
      <c r="AC3" s="1942"/>
    </row>
    <row r="4" spans="1:29" s="1289" customFormat="1" ht="28.5" customHeight="1">
      <c r="A4" s="504" t="s">
        <v>514</v>
      </c>
      <c r="B4" s="420" t="e">
        <f>IF(B43="单位面积地价",C45,ROUND(B2*10000/'数据-汇总表'!D3,0))</f>
        <v>#DIV/0!</v>
      </c>
      <c r="C4" s="3101"/>
      <c r="D4" s="3101"/>
      <c r="E4" s="3101"/>
      <c r="F4" s="3101"/>
      <c r="G4" s="3102"/>
      <c r="H4" s="3102"/>
      <c r="I4" s="3102"/>
      <c r="J4" s="3102"/>
      <c r="K4" s="3104"/>
      <c r="L4" s="2011"/>
      <c r="M4" s="2012"/>
      <c r="N4" s="2012"/>
      <c r="O4" s="2012"/>
      <c r="P4" s="2012"/>
      <c r="Q4" s="2012"/>
      <c r="R4" s="2012"/>
      <c r="S4" s="2012"/>
      <c r="T4" s="2012"/>
      <c r="U4" s="2012"/>
      <c r="V4" s="2012"/>
      <c r="W4" s="2012"/>
      <c r="X4" s="2012"/>
      <c r="Y4" s="2012"/>
      <c r="Z4" s="2012"/>
      <c r="AA4" s="2012"/>
      <c r="AB4" s="2012"/>
      <c r="AC4" s="1942"/>
    </row>
    <row r="5" spans="1:29" s="1289" customFormat="1" ht="28.5" customHeight="1" thickBot="1">
      <c r="A5" s="422"/>
      <c r="B5" s="423" t="e">
        <f>ROUND(B2/('数据-汇总表'!D3/666.67),0)</f>
        <v>#DIV/0!</v>
      </c>
      <c r="C5" s="424" t="s">
        <v>463</v>
      </c>
      <c r="D5" s="3101"/>
      <c r="E5" s="3101"/>
      <c r="F5" s="3101"/>
      <c r="G5" s="3102"/>
      <c r="H5" s="3102"/>
      <c r="I5" s="3102"/>
      <c r="J5" s="3102"/>
      <c r="K5" s="3104"/>
      <c r="L5" s="2011"/>
      <c r="M5" s="2012"/>
      <c r="N5" s="2012"/>
      <c r="O5" s="2012"/>
      <c r="P5" s="2012"/>
      <c r="Q5" s="2012"/>
      <c r="R5" s="2012"/>
      <c r="S5" s="2012"/>
      <c r="T5" s="2012"/>
      <c r="U5" s="2012"/>
      <c r="V5" s="2012"/>
      <c r="W5" s="2012"/>
      <c r="X5" s="2012"/>
      <c r="Y5" s="2012"/>
      <c r="Z5" s="2012"/>
      <c r="AA5" s="2012"/>
      <c r="AB5" s="3093"/>
      <c r="AC5" s="1942"/>
    </row>
    <row r="6" spans="1:29" ht="15">
      <c r="A6" s="505" t="s">
        <v>515</v>
      </c>
      <c r="B6" s="506"/>
      <c r="C6" s="3512" t="s">
        <v>516</v>
      </c>
      <c r="D6" s="3513"/>
      <c r="E6" s="3546" t="s">
        <v>517</v>
      </c>
      <c r="F6" s="3547"/>
      <c r="G6" s="3512" t="s">
        <v>518</v>
      </c>
      <c r="H6" s="3513"/>
      <c r="I6" s="3512" t="s">
        <v>519</v>
      </c>
      <c r="J6" s="3513"/>
      <c r="K6" s="507" t="s">
        <v>520</v>
      </c>
      <c r="L6" s="2013"/>
      <c r="M6" s="2014"/>
      <c r="N6" s="2014"/>
      <c r="O6" s="2014"/>
      <c r="P6" s="3514" t="s">
        <v>521</v>
      </c>
      <c r="Q6" s="3515"/>
      <c r="R6" s="3520" t="s">
        <v>517</v>
      </c>
      <c r="S6" s="3521"/>
      <c r="T6" s="3520" t="s">
        <v>518</v>
      </c>
      <c r="U6" s="3521"/>
      <c r="V6" s="3507" t="s">
        <v>519</v>
      </c>
      <c r="W6" s="3507"/>
      <c r="X6" s="1500"/>
      <c r="Y6" s="3520" t="s">
        <v>521</v>
      </c>
      <c r="Z6" s="3521"/>
      <c r="AA6" s="3509" t="s">
        <v>517</v>
      </c>
      <c r="AB6" s="3510" t="s">
        <v>518</v>
      </c>
      <c r="AC6" s="3509" t="s">
        <v>519</v>
      </c>
    </row>
    <row r="7" spans="1:29" ht="15">
      <c r="A7" s="508"/>
      <c r="B7" s="509"/>
      <c r="C7" s="3528" t="s">
        <v>2868</v>
      </c>
      <c r="D7" s="3529"/>
      <c r="E7" s="3548" t="s">
        <v>2869</v>
      </c>
      <c r="F7" s="3549"/>
      <c r="G7" s="3528" t="s">
        <v>2870</v>
      </c>
      <c r="H7" s="3529"/>
      <c r="I7" s="3528" t="s">
        <v>2871</v>
      </c>
      <c r="J7" s="3529"/>
      <c r="K7" s="507"/>
      <c r="L7" s="2013"/>
      <c r="M7" s="2014"/>
      <c r="N7" s="2014"/>
      <c r="O7" s="2014"/>
      <c r="P7" s="3516"/>
      <c r="Q7" s="3517"/>
      <c r="R7" s="3522"/>
      <c r="S7" s="3523"/>
      <c r="T7" s="3522"/>
      <c r="U7" s="3523"/>
      <c r="V7" s="3507"/>
      <c r="W7" s="3507"/>
      <c r="X7" s="1500"/>
      <c r="Y7" s="3522"/>
      <c r="Z7" s="3523"/>
      <c r="AA7" s="3510"/>
      <c r="AB7" s="3510"/>
      <c r="AC7" s="3510"/>
    </row>
    <row r="8" spans="1:29" ht="15.75" thickBot="1">
      <c r="A8" s="510"/>
      <c r="B8" s="511"/>
      <c r="C8" s="3526" t="s">
        <v>2872</v>
      </c>
      <c r="D8" s="3527"/>
      <c r="E8" s="3544" t="s">
        <v>2872</v>
      </c>
      <c r="F8" s="3545"/>
      <c r="G8" s="3526" t="s">
        <v>2872</v>
      </c>
      <c r="H8" s="3527"/>
      <c r="I8" s="3526" t="s">
        <v>2872</v>
      </c>
      <c r="J8" s="3527"/>
      <c r="K8" s="507" t="s">
        <v>522</v>
      </c>
      <c r="L8" s="2013"/>
      <c r="M8" s="2014"/>
      <c r="N8" s="2014"/>
      <c r="O8" s="2014"/>
      <c r="P8" s="3518"/>
      <c r="Q8" s="3519"/>
      <c r="R8" s="3522"/>
      <c r="S8" s="3523"/>
      <c r="T8" s="3524"/>
      <c r="U8" s="3525"/>
      <c r="V8" s="3507"/>
      <c r="W8" s="3507"/>
      <c r="X8" s="1500"/>
      <c r="Y8" s="3524"/>
      <c r="Z8" s="3525"/>
      <c r="AA8" s="3511"/>
      <c r="AB8" s="3511"/>
      <c r="AC8" s="3511"/>
    </row>
    <row r="9" spans="1:29" s="1202" customFormat="1" ht="15.75" thickBot="1">
      <c r="A9" s="2627"/>
      <c r="B9" s="2634" t="s">
        <v>523</v>
      </c>
      <c r="C9" s="512">
        <f>'数据-取费表'!B2</f>
        <v>44266</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37" t="s">
        <v>524</v>
      </c>
      <c r="Q9" s="3539"/>
      <c r="R9" s="1501" t="s">
        <v>8</v>
      </c>
      <c r="S9" s="1502">
        <f t="shared" ref="S9:S17" si="0">F9</f>
        <v>0</v>
      </c>
      <c r="T9" s="1501" t="s">
        <v>8</v>
      </c>
      <c r="U9" s="1502">
        <f t="shared" ref="U9:U17" si="1">H9</f>
        <v>0</v>
      </c>
      <c r="V9" s="1501" t="s">
        <v>8</v>
      </c>
      <c r="W9" s="1502">
        <f t="shared" ref="W9:W17" si="2">J9</f>
        <v>0</v>
      </c>
      <c r="X9" s="1503"/>
      <c r="Y9" s="3537" t="s">
        <v>524</v>
      </c>
      <c r="Z9" s="3538"/>
      <c r="AA9" s="1504" t="e">
        <f>D9/F9</f>
        <v>#DIV/0!</v>
      </c>
      <c r="AB9" s="1504" t="e">
        <f>D9/H9</f>
        <v>#DIV/0!</v>
      </c>
      <c r="AC9" s="1504" t="e">
        <f>D9/J9</f>
        <v>#DIV/0!</v>
      </c>
    </row>
    <row r="10" spans="1:29" s="1202"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37" t="s">
        <v>527</v>
      </c>
      <c r="Q10" s="3538"/>
      <c r="R10" s="1501" t="s">
        <v>8</v>
      </c>
      <c r="S10" s="1502">
        <f t="shared" si="0"/>
        <v>0</v>
      </c>
      <c r="T10" s="1501" t="s">
        <v>8</v>
      </c>
      <c r="U10" s="1502">
        <f t="shared" si="1"/>
        <v>0</v>
      </c>
      <c r="V10" s="1501" t="s">
        <v>8</v>
      </c>
      <c r="W10" s="1502">
        <f t="shared" si="2"/>
        <v>0</v>
      </c>
      <c r="X10" s="1503"/>
      <c r="Y10" s="3537" t="s">
        <v>527</v>
      </c>
      <c r="Z10" s="3538"/>
      <c r="AA10" s="1504" t="e">
        <f t="shared" ref="AA10:AA42" si="3">D10/F10</f>
        <v>#DIV/0!</v>
      </c>
      <c r="AB10" s="1504" t="e">
        <f t="shared" ref="AB10:AB42" si="4">D10/H10</f>
        <v>#DIV/0!</v>
      </c>
      <c r="AC10" s="1504" t="e">
        <f t="shared" ref="AC10:AC42" si="5">D10/J10</f>
        <v>#DIV/0!</v>
      </c>
    </row>
    <row r="11" spans="1:29" s="1202" customFormat="1" ht="15">
      <c r="A11" s="2629"/>
      <c r="B11" s="2636" t="s">
        <v>2712</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506" t="s">
        <v>529</v>
      </c>
      <c r="Q11" s="1133" t="str">
        <f t="shared" ref="Q11:Q17" si="6">B11</f>
        <v>用途</v>
      </c>
      <c r="R11" s="1501" t="s">
        <v>8</v>
      </c>
      <c r="S11" s="1502">
        <f t="shared" si="0"/>
        <v>100</v>
      </c>
      <c r="T11" s="1501" t="s">
        <v>8</v>
      </c>
      <c r="U11" s="1502">
        <f t="shared" si="1"/>
        <v>100</v>
      </c>
      <c r="V11" s="1501" t="s">
        <v>8</v>
      </c>
      <c r="W11" s="1502">
        <f t="shared" si="2"/>
        <v>100</v>
      </c>
      <c r="X11" s="1503"/>
      <c r="Y11" s="3431" t="s">
        <v>530</v>
      </c>
      <c r="Z11" s="1132" t="str">
        <f t="shared" ref="Z11:Z17" si="7">Q11</f>
        <v>用途</v>
      </c>
      <c r="AA11" s="1504">
        <f t="shared" si="3"/>
        <v>1</v>
      </c>
      <c r="AB11" s="1504">
        <f t="shared" si="4"/>
        <v>1</v>
      </c>
      <c r="AC11" s="1504">
        <f t="shared" si="5"/>
        <v>1</v>
      </c>
    </row>
    <row r="12" spans="1:29" s="1291" customFormat="1" ht="27">
      <c r="A12" s="2630"/>
      <c r="B12" s="2635" t="s">
        <v>2713</v>
      </c>
      <c r="C12" s="521"/>
      <c r="D12" s="252">
        <v>100</v>
      </c>
      <c r="E12" s="521"/>
      <c r="F12" s="252">
        <f>ROUND(100/'数据-取费表'!G16,0)</f>
        <v>102</v>
      </c>
      <c r="G12" s="521"/>
      <c r="H12" s="252">
        <f>ROUND(100/'数据-取费表'!G16,0)</f>
        <v>102</v>
      </c>
      <c r="I12" s="521"/>
      <c r="J12" s="252">
        <f>ROUND(100/'数据-取费表'!G16,0)</f>
        <v>102</v>
      </c>
      <c r="K12" s="524"/>
      <c r="L12" s="2018"/>
      <c r="M12" s="2057"/>
      <c r="N12" s="2057"/>
      <c r="O12" s="2019"/>
      <c r="P12" s="3506"/>
      <c r="Q12" s="1133" t="str">
        <f t="shared" si="6"/>
        <v>土地使用年限（年）</v>
      </c>
      <c r="R12" s="1501" t="s">
        <v>8</v>
      </c>
      <c r="S12" s="1502">
        <f t="shared" si="0"/>
        <v>102</v>
      </c>
      <c r="T12" s="1501" t="s">
        <v>8</v>
      </c>
      <c r="U12" s="1502">
        <f t="shared" si="1"/>
        <v>102</v>
      </c>
      <c r="V12" s="1501" t="s">
        <v>8</v>
      </c>
      <c r="W12" s="1502">
        <f t="shared" si="2"/>
        <v>102</v>
      </c>
      <c r="X12" s="1503"/>
      <c r="Y12" s="3431"/>
      <c r="Z12" s="1132" t="str">
        <f t="shared" si="7"/>
        <v>土地使用年限（年）</v>
      </c>
      <c r="AA12" s="1504">
        <f t="shared" si="3"/>
        <v>0.98039215686274506</v>
      </c>
      <c r="AB12" s="1504">
        <f t="shared" si="4"/>
        <v>0.98039215686274506</v>
      </c>
      <c r="AC12" s="1504">
        <f t="shared" si="5"/>
        <v>0.98039215686274506</v>
      </c>
    </row>
    <row r="13" spans="1:29" ht="15">
      <c r="A13" s="2631"/>
      <c r="B13" s="2635" t="s">
        <v>2714</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506"/>
      <c r="Q13" s="1133" t="str">
        <f t="shared" si="6"/>
        <v>容积率</v>
      </c>
      <c r="R13" s="1501" t="s">
        <v>8</v>
      </c>
      <c r="S13" s="1502" t="e">
        <f t="shared" si="0"/>
        <v>#N/A</v>
      </c>
      <c r="T13" s="1501" t="s">
        <v>8</v>
      </c>
      <c r="U13" s="1502" t="e">
        <f t="shared" si="1"/>
        <v>#N/A</v>
      </c>
      <c r="V13" s="1501" t="s">
        <v>8</v>
      </c>
      <c r="W13" s="1502" t="e">
        <f t="shared" si="2"/>
        <v>#N/A</v>
      </c>
      <c r="X13" s="1503"/>
      <c r="Y13" s="3431"/>
      <c r="Z13" s="1132" t="str">
        <f t="shared" si="7"/>
        <v>容积率</v>
      </c>
      <c r="AA13" s="1504" t="e">
        <f t="shared" si="3"/>
        <v>#N/A</v>
      </c>
      <c r="AB13" s="1504" t="e">
        <f t="shared" si="4"/>
        <v>#N/A</v>
      </c>
      <c r="AC13" s="1504"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506"/>
      <c r="Q14" s="1133">
        <f t="shared" si="6"/>
        <v>111</v>
      </c>
      <c r="R14" s="1501" t="s">
        <v>8</v>
      </c>
      <c r="S14" s="1502">
        <f t="shared" si="0"/>
        <v>100</v>
      </c>
      <c r="T14" s="1501" t="s">
        <v>8</v>
      </c>
      <c r="U14" s="1502">
        <f t="shared" si="1"/>
        <v>100</v>
      </c>
      <c r="V14" s="1501" t="s">
        <v>8</v>
      </c>
      <c r="W14" s="1502">
        <f t="shared" si="2"/>
        <v>100</v>
      </c>
      <c r="X14" s="1503"/>
      <c r="Y14" s="3431"/>
      <c r="Z14" s="1132">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506"/>
      <c r="Q15" s="1133">
        <f t="shared" si="6"/>
        <v>111</v>
      </c>
      <c r="R15" s="1501" t="s">
        <v>8</v>
      </c>
      <c r="S15" s="1502">
        <f t="shared" si="0"/>
        <v>100</v>
      </c>
      <c r="T15" s="1501" t="s">
        <v>8</v>
      </c>
      <c r="U15" s="1502">
        <f t="shared" si="1"/>
        <v>100</v>
      </c>
      <c r="V15" s="1501" t="s">
        <v>8</v>
      </c>
      <c r="W15" s="1502">
        <f t="shared" si="2"/>
        <v>100</v>
      </c>
      <c r="X15" s="1503"/>
      <c r="Y15" s="3431"/>
      <c r="Z15" s="1132">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06"/>
      <c r="Q16" s="1133">
        <f t="shared" si="6"/>
        <v>111</v>
      </c>
      <c r="R16" s="1501" t="s">
        <v>8</v>
      </c>
      <c r="S16" s="1502">
        <f t="shared" si="0"/>
        <v>100</v>
      </c>
      <c r="T16" s="1501" t="s">
        <v>8</v>
      </c>
      <c r="U16" s="1502">
        <f t="shared" si="1"/>
        <v>100</v>
      </c>
      <c r="V16" s="1501" t="s">
        <v>8</v>
      </c>
      <c r="W16" s="1502">
        <f t="shared" si="2"/>
        <v>100</v>
      </c>
      <c r="X16" s="1503"/>
      <c r="Y16" s="3431"/>
      <c r="Z16" s="1132">
        <f t="shared" si="7"/>
        <v>111</v>
      </c>
      <c r="AA16" s="1504">
        <f t="shared" si="3"/>
        <v>1</v>
      </c>
      <c r="AB16" s="1504">
        <f t="shared" si="4"/>
        <v>1</v>
      </c>
      <c r="AC16" s="1504">
        <f t="shared" si="5"/>
        <v>1</v>
      </c>
    </row>
    <row r="17" spans="1:29" ht="57">
      <c r="A17" s="2625" t="s">
        <v>2710</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40" t="s">
        <v>534</v>
      </c>
      <c r="Q17" s="1505" t="str">
        <f t="shared" si="6"/>
        <v>产业集聚程度</v>
      </c>
      <c r="R17" s="1506" t="s">
        <v>8</v>
      </c>
      <c r="S17" s="1507">
        <f t="shared" si="0"/>
        <v>100</v>
      </c>
      <c r="T17" s="1506" t="s">
        <v>8</v>
      </c>
      <c r="U17" s="1507">
        <f t="shared" si="1"/>
        <v>100</v>
      </c>
      <c r="V17" s="1506" t="s">
        <v>8</v>
      </c>
      <c r="W17" s="1507">
        <f t="shared" si="2"/>
        <v>100</v>
      </c>
      <c r="X17" s="1500"/>
      <c r="Y17" s="3540"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541"/>
      <c r="Q18" s="1505"/>
      <c r="R18" s="1506"/>
      <c r="S18" s="1507"/>
      <c r="T18" s="1506"/>
      <c r="U18" s="1507"/>
      <c r="V18" s="1506"/>
      <c r="W18" s="1507"/>
      <c r="X18" s="1500"/>
      <c r="Y18" s="3541"/>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41"/>
      <c r="Q19" s="1505" t="str">
        <f>B19</f>
        <v>交通便捷度</v>
      </c>
      <c r="R19" s="1506" t="s">
        <v>8</v>
      </c>
      <c r="S19" s="1507">
        <f>F19</f>
        <v>100</v>
      </c>
      <c r="T19" s="1506" t="s">
        <v>8</v>
      </c>
      <c r="U19" s="1507">
        <f>H19</f>
        <v>100</v>
      </c>
      <c r="V19" s="1506" t="s">
        <v>8</v>
      </c>
      <c r="W19" s="1507">
        <f>J19</f>
        <v>100</v>
      </c>
      <c r="X19" s="1500"/>
      <c r="Y19" s="3541"/>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541"/>
      <c r="Q20" s="1505"/>
      <c r="R20" s="1506"/>
      <c r="S20" s="1507"/>
      <c r="T20" s="1506"/>
      <c r="U20" s="1507"/>
      <c r="V20" s="1506"/>
      <c r="W20" s="1507"/>
      <c r="X20" s="1500"/>
      <c r="Y20" s="3541"/>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41"/>
      <c r="Q21" s="1505" t="str">
        <f t="shared" ref="Q21:Q35" si="8">B21</f>
        <v>区域土地利用方向</v>
      </c>
      <c r="R21" s="1506" t="s">
        <v>8</v>
      </c>
      <c r="S21" s="1507">
        <f>F21</f>
        <v>100</v>
      </c>
      <c r="T21" s="1506" t="s">
        <v>8</v>
      </c>
      <c r="U21" s="1507">
        <f>H21</f>
        <v>100</v>
      </c>
      <c r="V21" s="1506" t="s">
        <v>8</v>
      </c>
      <c r="W21" s="1507">
        <f>J21</f>
        <v>100</v>
      </c>
      <c r="X21" s="1500"/>
      <c r="Y21" s="3541"/>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2"/>
      <c r="M22" s="2014"/>
      <c r="N22" s="2014"/>
      <c r="O22" s="2021"/>
      <c r="P22" s="3541"/>
      <c r="Q22" s="1505"/>
      <c r="R22" s="1506"/>
      <c r="S22" s="1507"/>
      <c r="T22" s="1506"/>
      <c r="U22" s="1507"/>
      <c r="V22" s="1506"/>
      <c r="W22" s="1507"/>
      <c r="X22" s="1500"/>
      <c r="Y22" s="3541"/>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41"/>
      <c r="Q23" s="1505" t="str">
        <f t="shared" si="8"/>
        <v>环境状况</v>
      </c>
      <c r="R23" s="1506" t="s">
        <v>8</v>
      </c>
      <c r="S23" s="1507">
        <f>F23</f>
        <v>100</v>
      </c>
      <c r="T23" s="1506" t="s">
        <v>8</v>
      </c>
      <c r="U23" s="1507">
        <f>H23</f>
        <v>100</v>
      </c>
      <c r="V23" s="1506" t="s">
        <v>8</v>
      </c>
      <c r="W23" s="1507">
        <f>J23</f>
        <v>100</v>
      </c>
      <c r="X23" s="1500"/>
      <c r="Y23" s="3541"/>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541"/>
      <c r="Q24" s="1505"/>
      <c r="R24" s="1506"/>
      <c r="S24" s="1507"/>
      <c r="T24" s="1506"/>
      <c r="U24" s="1507"/>
      <c r="V24" s="1506"/>
      <c r="W24" s="1507"/>
      <c r="X24" s="1500"/>
      <c r="Y24" s="3541"/>
      <c r="Z24" s="1508"/>
      <c r="AA24" s="1509">
        <v>1</v>
      </c>
      <c r="AB24" s="1509">
        <v>1</v>
      </c>
      <c r="AC24" s="1509">
        <v>1</v>
      </c>
    </row>
    <row r="25" spans="1:29" s="1202" customFormat="1" ht="42.75">
      <c r="A25" s="570"/>
      <c r="B25" s="2435"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41"/>
      <c r="Q25" s="1133" t="str">
        <f t="shared" si="8"/>
        <v>公共配套设施</v>
      </c>
      <c r="R25" s="1501" t="s">
        <v>8</v>
      </c>
      <c r="S25" s="1502">
        <f>F25</f>
        <v>100</v>
      </c>
      <c r="T25" s="1501" t="s">
        <v>8</v>
      </c>
      <c r="U25" s="1502">
        <f>H25</f>
        <v>100</v>
      </c>
      <c r="V25" s="1501" t="s">
        <v>8</v>
      </c>
      <c r="W25" s="1502">
        <f>J25</f>
        <v>100</v>
      </c>
      <c r="X25" s="1503"/>
      <c r="Y25" s="3541"/>
      <c r="Z25" s="1132" t="str">
        <f>Q25</f>
        <v>公共配套设施</v>
      </c>
      <c r="AA25" s="1509">
        <f>D25/F25</f>
        <v>1</v>
      </c>
      <c r="AB25" s="1509">
        <f>D25/H25</f>
        <v>1</v>
      </c>
      <c r="AC25" s="1509">
        <f>D25/J25</f>
        <v>1</v>
      </c>
    </row>
    <row r="26" spans="1:29" s="1202" customFormat="1" ht="15">
      <c r="A26" s="570"/>
      <c r="B26" s="588"/>
      <c r="C26" s="2434"/>
      <c r="D26" s="548"/>
      <c r="E26" s="547"/>
      <c r="F26" s="548"/>
      <c r="G26" s="547"/>
      <c r="H26" s="548"/>
      <c r="I26" s="569"/>
      <c r="J26" s="548"/>
      <c r="K26" s="524"/>
      <c r="L26" s="2015"/>
      <c r="M26" s="2016"/>
      <c r="N26" s="2016"/>
      <c r="O26" s="2017"/>
      <c r="P26" s="3541"/>
      <c r="Q26" s="1133"/>
      <c r="R26" s="1501"/>
      <c r="S26" s="1502"/>
      <c r="T26" s="1501"/>
      <c r="U26" s="1502"/>
      <c r="V26" s="1501"/>
      <c r="W26" s="1502"/>
      <c r="X26" s="1503"/>
      <c r="Y26" s="3541"/>
      <c r="Z26" s="1132"/>
      <c r="AA26" s="1504">
        <v>1</v>
      </c>
      <c r="AB26" s="1504">
        <v>1</v>
      </c>
      <c r="AC26" s="1504">
        <v>1</v>
      </c>
    </row>
    <row r="27" spans="1:29" s="1202" customFormat="1" ht="28.5">
      <c r="A27" s="570"/>
      <c r="B27" s="2435"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41"/>
      <c r="Q27" s="2426" t="str">
        <f t="shared" ref="Q27" si="9">B27</f>
        <v>基础设施水平</v>
      </c>
      <c r="R27" s="1501" t="s">
        <v>8</v>
      </c>
      <c r="S27" s="1502">
        <f>F27</f>
        <v>100</v>
      </c>
      <c r="T27" s="1501" t="s">
        <v>8</v>
      </c>
      <c r="U27" s="1502">
        <f>H27</f>
        <v>100</v>
      </c>
      <c r="V27" s="1501" t="s">
        <v>8</v>
      </c>
      <c r="W27" s="1502">
        <f>J27</f>
        <v>100</v>
      </c>
      <c r="X27" s="1503"/>
      <c r="Y27" s="3541"/>
      <c r="Z27" s="2425" t="str">
        <f>Q27</f>
        <v>基础设施水平</v>
      </c>
      <c r="AA27" s="1509">
        <f>D27/F27</f>
        <v>1</v>
      </c>
      <c r="AB27" s="1509">
        <f>D27/H27</f>
        <v>1</v>
      </c>
      <c r="AC27" s="1509">
        <f>D27/J27</f>
        <v>1</v>
      </c>
    </row>
    <row r="28" spans="1:29" s="1202" customFormat="1" ht="15">
      <c r="A28" s="570"/>
      <c r="B28" s="588"/>
      <c r="C28" s="2434"/>
      <c r="D28" s="548"/>
      <c r="E28" s="572"/>
      <c r="F28" s="548"/>
      <c r="G28" s="572"/>
      <c r="H28" s="548"/>
      <c r="I28" s="572"/>
      <c r="J28" s="548"/>
      <c r="K28" s="524"/>
      <c r="L28" s="2015"/>
      <c r="M28" s="2016"/>
      <c r="N28" s="2016"/>
      <c r="O28" s="2017"/>
      <c r="P28" s="3541"/>
      <c r="Q28" s="2426"/>
      <c r="R28" s="1501"/>
      <c r="S28" s="1502"/>
      <c r="T28" s="1501"/>
      <c r="U28" s="1502"/>
      <c r="V28" s="1501"/>
      <c r="W28" s="1502"/>
      <c r="X28" s="1503"/>
      <c r="Y28" s="3541"/>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4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41"/>
      <c r="Z29" s="1508" t="str">
        <f t="shared" ref="Z29:Z42" si="13">Q29</f>
        <v>临街状况</v>
      </c>
      <c r="AA29" s="1509">
        <f t="shared" si="3"/>
        <v>1</v>
      </c>
      <c r="AB29" s="1509">
        <f t="shared" si="4"/>
        <v>1</v>
      </c>
      <c r="AC29" s="1509">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41"/>
      <c r="Q30" s="1505" t="str">
        <f t="shared" si="8"/>
        <v>毗邻道路的类型与等级</v>
      </c>
      <c r="R30" s="1506" t="s">
        <v>8</v>
      </c>
      <c r="S30" s="1507">
        <f t="shared" si="10"/>
        <v>100</v>
      </c>
      <c r="T30" s="1506" t="s">
        <v>8</v>
      </c>
      <c r="U30" s="1507">
        <f t="shared" si="11"/>
        <v>100</v>
      </c>
      <c r="V30" s="1506" t="s">
        <v>8</v>
      </c>
      <c r="W30" s="1507">
        <f t="shared" si="12"/>
        <v>100</v>
      </c>
      <c r="X30" s="1500"/>
      <c r="Y30" s="3541"/>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541"/>
      <c r="Q31" s="1505"/>
      <c r="R31" s="1506"/>
      <c r="S31" s="1507"/>
      <c r="T31" s="1506"/>
      <c r="U31" s="1507"/>
      <c r="V31" s="1506"/>
      <c r="W31" s="1507"/>
      <c r="X31" s="1500"/>
      <c r="Y31" s="3541"/>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41"/>
      <c r="Q32" s="1505" t="str">
        <f t="shared" si="8"/>
        <v>土地级别</v>
      </c>
      <c r="R32" s="1506" t="s">
        <v>8</v>
      </c>
      <c r="S32" s="1507">
        <f t="shared" si="10"/>
        <v>100</v>
      </c>
      <c r="T32" s="1506" t="s">
        <v>8</v>
      </c>
      <c r="U32" s="1507">
        <f t="shared" si="11"/>
        <v>100</v>
      </c>
      <c r="V32" s="1506" t="s">
        <v>8</v>
      </c>
      <c r="W32" s="1507">
        <f t="shared" si="12"/>
        <v>100</v>
      </c>
      <c r="X32" s="1500"/>
      <c r="Y32" s="3541"/>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41"/>
      <c r="Q33" s="1505">
        <f t="shared" si="8"/>
        <v>111</v>
      </c>
      <c r="R33" s="1506" t="s">
        <v>8</v>
      </c>
      <c r="S33" s="1507">
        <f t="shared" si="10"/>
        <v>100</v>
      </c>
      <c r="T33" s="1506" t="s">
        <v>8</v>
      </c>
      <c r="U33" s="1507">
        <f t="shared" si="11"/>
        <v>100</v>
      </c>
      <c r="V33" s="1506" t="s">
        <v>8</v>
      </c>
      <c r="W33" s="1507">
        <f t="shared" si="12"/>
        <v>100</v>
      </c>
      <c r="X33" s="1500"/>
      <c r="Y33" s="3541"/>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42" t="s">
        <v>544</v>
      </c>
      <c r="Q34" s="1505">
        <f t="shared" si="8"/>
        <v>111</v>
      </c>
      <c r="R34" s="1506" t="s">
        <v>8</v>
      </c>
      <c r="S34" s="1507">
        <f t="shared" si="10"/>
        <v>100</v>
      </c>
      <c r="T34" s="1506" t="s">
        <v>8</v>
      </c>
      <c r="U34" s="1507">
        <f t="shared" si="11"/>
        <v>100</v>
      </c>
      <c r="V34" s="1506" t="s">
        <v>8</v>
      </c>
      <c r="W34" s="1507">
        <f t="shared" si="12"/>
        <v>100</v>
      </c>
      <c r="X34" s="1500"/>
      <c r="Y34" s="3543" t="s">
        <v>544</v>
      </c>
      <c r="Z34" s="1508">
        <f t="shared" si="13"/>
        <v>111</v>
      </c>
      <c r="AA34" s="1509">
        <f t="shared" si="3"/>
        <v>1</v>
      </c>
      <c r="AB34" s="1509">
        <f t="shared" si="4"/>
        <v>1</v>
      </c>
      <c r="AC34" s="1509">
        <f t="shared" si="5"/>
        <v>1</v>
      </c>
    </row>
    <row r="35" spans="1:29" s="1292"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43"/>
      <c r="Q35" s="1505">
        <f t="shared" si="8"/>
        <v>111</v>
      </c>
      <c r="R35" s="1510" t="s">
        <v>8</v>
      </c>
      <c r="S35" s="1511">
        <f t="shared" si="10"/>
        <v>100</v>
      </c>
      <c r="T35" s="1510" t="s">
        <v>8</v>
      </c>
      <c r="U35" s="1511">
        <f t="shared" si="11"/>
        <v>100</v>
      </c>
      <c r="V35" s="1510" t="s">
        <v>8</v>
      </c>
      <c r="W35" s="1511">
        <f t="shared" si="12"/>
        <v>100</v>
      </c>
      <c r="X35" s="1512"/>
      <c r="Y35" s="3543"/>
      <c r="Z35" s="1513">
        <f t="shared" si="13"/>
        <v>111</v>
      </c>
      <c r="AA35" s="1509">
        <f t="shared" si="3"/>
        <v>1</v>
      </c>
      <c r="AB35" s="1509">
        <f t="shared" si="4"/>
        <v>1</v>
      </c>
      <c r="AC35" s="1509">
        <f t="shared" si="5"/>
        <v>1</v>
      </c>
    </row>
    <row r="36" spans="1:29" ht="15">
      <c r="A36" s="2622" t="s">
        <v>2711</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43"/>
      <c r="Q36" s="1505" t="str">
        <f>B36</f>
        <v>宗地面积</v>
      </c>
      <c r="R36" s="1506" t="s">
        <v>8</v>
      </c>
      <c r="S36" s="1507" t="e">
        <f t="shared" si="10"/>
        <v>#N/A</v>
      </c>
      <c r="T36" s="1506" t="s">
        <v>8</v>
      </c>
      <c r="U36" s="1507" t="e">
        <f t="shared" si="11"/>
        <v>#N/A</v>
      </c>
      <c r="V36" s="1506" t="s">
        <v>8</v>
      </c>
      <c r="W36" s="1507" t="e">
        <f t="shared" si="12"/>
        <v>#N/A</v>
      </c>
      <c r="X36" s="1500"/>
      <c r="Y36" s="3543"/>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43"/>
      <c r="Q37" s="1505" t="str">
        <f t="shared" ref="Q37:Q42" si="14">B37</f>
        <v>宗地形状</v>
      </c>
      <c r="R37" s="1506" t="s">
        <v>8</v>
      </c>
      <c r="S37" s="1507">
        <f t="shared" si="10"/>
        <v>100</v>
      </c>
      <c r="T37" s="1506" t="s">
        <v>8</v>
      </c>
      <c r="U37" s="1507">
        <f t="shared" si="11"/>
        <v>100</v>
      </c>
      <c r="V37" s="1506" t="s">
        <v>8</v>
      </c>
      <c r="W37" s="1507">
        <f t="shared" si="12"/>
        <v>100</v>
      </c>
      <c r="X37" s="1500"/>
      <c r="Y37" s="3543"/>
      <c r="Z37" s="1508" t="str">
        <f t="shared" si="13"/>
        <v>宗地形状</v>
      </c>
      <c r="AA37" s="1509">
        <f t="shared" si="3"/>
        <v>1</v>
      </c>
      <c r="AB37" s="1509">
        <f t="shared" si="4"/>
        <v>1</v>
      </c>
      <c r="AC37" s="1509">
        <f t="shared" si="5"/>
        <v>1</v>
      </c>
    </row>
    <row r="38" spans="1:29" s="1202" customFormat="1" ht="15">
      <c r="A38" s="593"/>
      <c r="B38" s="1807"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43"/>
      <c r="Q38" s="1505" t="str">
        <f t="shared" si="14"/>
        <v>宗地开发程度</v>
      </c>
      <c r="R38" s="1501" t="s">
        <v>8</v>
      </c>
      <c r="S38" s="1502">
        <f t="shared" si="10"/>
        <v>100</v>
      </c>
      <c r="T38" s="1501" t="s">
        <v>8</v>
      </c>
      <c r="U38" s="1502">
        <f t="shared" si="11"/>
        <v>100</v>
      </c>
      <c r="V38" s="1501" t="s">
        <v>8</v>
      </c>
      <c r="W38" s="1502">
        <f t="shared" si="12"/>
        <v>100</v>
      </c>
      <c r="X38" s="1503"/>
      <c r="Y38" s="3543"/>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3" t="s">
        <v>595</v>
      </c>
      <c r="Q39" s="1505" t="str">
        <f t="shared" si="14"/>
        <v>工程地质条件</v>
      </c>
      <c r="R39" s="1506" t="s">
        <v>8</v>
      </c>
      <c r="S39" s="1507">
        <f t="shared" si="10"/>
        <v>100</v>
      </c>
      <c r="T39" s="1506" t="s">
        <v>8</v>
      </c>
      <c r="U39" s="1507">
        <f t="shared" si="11"/>
        <v>100</v>
      </c>
      <c r="V39" s="1506" t="s">
        <v>8</v>
      </c>
      <c r="W39" s="1507">
        <f t="shared" si="12"/>
        <v>100</v>
      </c>
      <c r="X39" s="1500"/>
      <c r="Y39" s="3543"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43"/>
      <c r="Q40" s="1505">
        <f t="shared" si="14"/>
        <v>111</v>
      </c>
      <c r="R40" s="1506" t="s">
        <v>8</v>
      </c>
      <c r="S40" s="1507">
        <f t="shared" si="10"/>
        <v>100</v>
      </c>
      <c r="T40" s="1506" t="s">
        <v>8</v>
      </c>
      <c r="U40" s="1507">
        <f t="shared" si="11"/>
        <v>100</v>
      </c>
      <c r="V40" s="1506" t="s">
        <v>8</v>
      </c>
      <c r="W40" s="1507">
        <f t="shared" si="12"/>
        <v>100</v>
      </c>
      <c r="X40" s="1500"/>
      <c r="Y40" s="3543"/>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43"/>
      <c r="Q41" s="1505">
        <f t="shared" si="14"/>
        <v>111</v>
      </c>
      <c r="R41" s="1506" t="s">
        <v>8</v>
      </c>
      <c r="S41" s="1507">
        <f t="shared" si="10"/>
        <v>100</v>
      </c>
      <c r="T41" s="1506" t="s">
        <v>8</v>
      </c>
      <c r="U41" s="1507">
        <f t="shared" si="11"/>
        <v>100</v>
      </c>
      <c r="V41" s="1506" t="s">
        <v>8</v>
      </c>
      <c r="W41" s="1507">
        <f t="shared" si="12"/>
        <v>100</v>
      </c>
      <c r="X41" s="1500"/>
      <c r="Y41" s="3543"/>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43"/>
      <c r="Q42" s="1505">
        <f t="shared" si="14"/>
        <v>111</v>
      </c>
      <c r="R42" s="1510" t="s">
        <v>8</v>
      </c>
      <c r="S42" s="1511">
        <f t="shared" si="10"/>
        <v>100</v>
      </c>
      <c r="T42" s="1510" t="s">
        <v>8</v>
      </c>
      <c r="U42" s="1511">
        <f t="shared" si="11"/>
        <v>100</v>
      </c>
      <c r="V42" s="1510" t="s">
        <v>8</v>
      </c>
      <c r="W42" s="1511">
        <f t="shared" si="12"/>
        <v>100</v>
      </c>
      <c r="X42" s="1512"/>
      <c r="Y42" s="3543"/>
      <c r="Z42" s="1513">
        <f t="shared" si="13"/>
        <v>111</v>
      </c>
      <c r="AA42" s="1509">
        <f t="shared" si="3"/>
        <v>1</v>
      </c>
      <c r="AB42" s="1509">
        <f t="shared" si="4"/>
        <v>1</v>
      </c>
      <c r="AC42" s="1509">
        <f t="shared" si="5"/>
        <v>1</v>
      </c>
    </row>
    <row r="43" spans="1:29" ht="15">
      <c r="A43" s="600" t="s">
        <v>550</v>
      </c>
      <c r="B43" s="601" t="s">
        <v>2873</v>
      </c>
      <c r="C43" s="602" t="s">
        <v>1</v>
      </c>
      <c r="D43" s="603"/>
      <c r="E43" s="604"/>
      <c r="F43" s="605"/>
      <c r="G43" s="606"/>
      <c r="H43" s="607"/>
      <c r="I43" s="604"/>
      <c r="J43" s="607"/>
      <c r="K43" s="1293"/>
      <c r="L43" s="2024"/>
      <c r="M43" s="2014"/>
      <c r="N43" s="2014"/>
      <c r="O43" s="2025"/>
      <c r="P43" s="3506" t="str">
        <f>A43</f>
        <v>成交单价</v>
      </c>
      <c r="Q43" s="3506"/>
      <c r="R43" s="3507">
        <f>E43</f>
        <v>0</v>
      </c>
      <c r="S43" s="3507"/>
      <c r="T43" s="3507">
        <f>G43</f>
        <v>0</v>
      </c>
      <c r="U43" s="3507"/>
      <c r="V43" s="3507">
        <f>I43</f>
        <v>0</v>
      </c>
      <c r="W43" s="3507"/>
      <c r="X43" s="1495"/>
      <c r="Y43" s="1514"/>
      <c r="Z43" s="1495"/>
      <c r="AA43" s="1495"/>
      <c r="AB43" s="1495"/>
      <c r="AC43" s="1495"/>
    </row>
    <row r="44" spans="1:29" ht="15.75" thickBot="1">
      <c r="A44" s="608" t="s">
        <v>2649</v>
      </c>
      <c r="B44" s="609"/>
      <c r="C44" s="610" t="e">
        <f>R45</f>
        <v>#DIV/0!</v>
      </c>
      <c r="D44" s="2896" t="s">
        <v>2938</v>
      </c>
      <c r="E44" s="610" t="e">
        <f>R44</f>
        <v>#DIV/0!</v>
      </c>
      <c r="F44" s="2897"/>
      <c r="G44" s="611" t="e">
        <f>T44</f>
        <v>#DIV/0!</v>
      </c>
      <c r="H44" s="2897"/>
      <c r="I44" s="610" t="e">
        <f>V44</f>
        <v>#DIV/0!</v>
      </c>
      <c r="J44" s="2897"/>
      <c r="K44" s="2898">
        <f>F44+H44+J44</f>
        <v>0</v>
      </c>
      <c r="L44" s="2024"/>
      <c r="M44" s="2014"/>
      <c r="N44" s="2014"/>
      <c r="O44" s="2025"/>
      <c r="P44" s="3506" t="str">
        <f>A44</f>
        <v>比较价格（元/平方米）</v>
      </c>
      <c r="Q44" s="3506"/>
      <c r="R44" s="3508" t="e">
        <f>ROUND(PRODUCT(R43,AA9:AA42),0)</f>
        <v>#DIV/0!</v>
      </c>
      <c r="S44" s="3508"/>
      <c r="T44" s="3508" t="e">
        <f>ROUND(PRODUCT(T43,AB9:AB42),0)</f>
        <v>#DIV/0!</v>
      </c>
      <c r="U44" s="3508"/>
      <c r="V44" s="3508" t="e">
        <f>ROUND(PRODUCT(V43,AC9:AC42),0)</f>
        <v>#DIV/0!</v>
      </c>
      <c r="W44" s="3508"/>
      <c r="X44" s="1495"/>
      <c r="Y44" s="1495"/>
      <c r="Z44" s="1495"/>
      <c r="AA44" s="1495"/>
      <c r="AB44" s="1495"/>
      <c r="AC44" s="1495"/>
    </row>
    <row r="45" spans="1:29" ht="15.75" thickBot="1">
      <c r="A45" s="612" t="s">
        <v>2874</v>
      </c>
      <c r="B45" s="613"/>
      <c r="C45" s="614" t="e">
        <f>R45</f>
        <v>#DIV/0!</v>
      </c>
      <c r="D45" s="614"/>
      <c r="E45" s="614"/>
      <c r="F45" s="614"/>
      <c r="G45" s="614"/>
      <c r="H45" s="614"/>
      <c r="I45" s="614"/>
      <c r="J45" s="614"/>
      <c r="K45" s="1294"/>
      <c r="L45" s="2024"/>
      <c r="M45" s="2014"/>
      <c r="N45" s="2014"/>
      <c r="O45" s="2025"/>
      <c r="P45" s="3503" t="str">
        <f>A45</f>
        <v>估价对象XX用房的比较价格（楼面单价，元/平方米）</v>
      </c>
      <c r="Q45" s="3504"/>
      <c r="R45" s="3555" t="e">
        <f>ROUND(IF(D44="简单平均",AVERAGE(R44:W44),R44*F44+T44*H44+V44*J44),0)</f>
        <v>#DIV/0!</v>
      </c>
      <c r="S45" s="3555"/>
      <c r="T45" s="3555"/>
      <c r="U45" s="3555"/>
      <c r="V45" s="3555"/>
      <c r="W45" s="3555"/>
      <c r="X45" s="1495"/>
      <c r="Y45" s="1495"/>
      <c r="Z45" s="1495"/>
      <c r="AA45" s="1495"/>
      <c r="AB45" s="1495"/>
      <c r="AC45" s="1495"/>
    </row>
    <row r="46" spans="1:29">
      <c r="A46" s="3094"/>
      <c r="B46" s="3094"/>
      <c r="C46" s="3094"/>
      <c r="D46" s="3094"/>
      <c r="E46" s="3094"/>
      <c r="F46" s="3094"/>
      <c r="G46" s="3096"/>
      <c r="H46" s="3094"/>
      <c r="I46" s="3094"/>
      <c r="J46" s="3094"/>
      <c r="K46" s="3097"/>
      <c r="L46" s="2029"/>
      <c r="M46" s="2014"/>
      <c r="N46" s="2014"/>
      <c r="O46" s="2025"/>
      <c r="P46" s="2025"/>
      <c r="Q46" s="2025"/>
      <c r="R46" s="2025"/>
      <c r="S46" s="2025"/>
      <c r="T46" s="2025"/>
      <c r="U46" s="2025"/>
      <c r="V46" s="2025"/>
      <c r="W46" s="2025"/>
      <c r="X46" s="2025"/>
      <c r="Y46" s="2025"/>
      <c r="Z46" s="2025"/>
      <c r="AA46" s="2025"/>
      <c r="AB46" s="2025"/>
      <c r="AC46" s="2025"/>
    </row>
    <row r="47" spans="1:29">
      <c r="A47" s="3094"/>
      <c r="B47" s="3094"/>
      <c r="C47" s="3094"/>
      <c r="D47" s="3094"/>
      <c r="E47" s="3094"/>
      <c r="F47" s="3094"/>
      <c r="G47" s="3094"/>
      <c r="H47" s="3094"/>
      <c r="I47" s="3094"/>
      <c r="J47" s="3094"/>
      <c r="K47" s="3097"/>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094"/>
      <c r="B48" s="3094"/>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097"/>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094"/>
      <c r="B49" s="3094"/>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097"/>
      <c r="L49" s="2029"/>
      <c r="M49" s="2025"/>
      <c r="N49" s="2025"/>
      <c r="O49" s="2025"/>
      <c r="P49" s="2025"/>
      <c r="Q49" s="2025"/>
      <c r="R49" s="2025"/>
      <c r="S49" s="2025"/>
      <c r="T49" s="2025"/>
      <c r="U49" s="2025"/>
      <c r="V49" s="2025"/>
      <c r="W49" s="2025"/>
      <c r="X49" s="2025"/>
      <c r="Y49" s="2025"/>
      <c r="Z49" s="2025"/>
      <c r="AA49" s="2025"/>
      <c r="AB49" s="2025"/>
      <c r="AC49" s="2025"/>
    </row>
    <row r="50" spans="1:29" s="1297" customFormat="1" ht="13.5" customHeight="1">
      <c r="A50" s="3095"/>
      <c r="B50" s="3095"/>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098"/>
      <c r="L50" s="2032"/>
      <c r="M50" s="2026"/>
      <c r="N50" s="2026"/>
      <c r="O50" s="2026"/>
      <c r="P50" s="2026"/>
      <c r="Q50" s="2026"/>
      <c r="R50" s="2026"/>
      <c r="S50" s="2026"/>
      <c r="T50" s="2026"/>
      <c r="U50" s="2026"/>
      <c r="V50" s="2026"/>
      <c r="W50" s="2026"/>
      <c r="X50" s="2026"/>
      <c r="Y50" s="2026"/>
      <c r="Z50" s="2026"/>
      <c r="AA50" s="2026"/>
      <c r="AB50" s="2026"/>
      <c r="AC50" s="2026"/>
    </row>
    <row r="51" spans="1:29" s="1297" customFormat="1" ht="15" thickBot="1">
      <c r="A51" s="3095"/>
      <c r="B51" s="3106"/>
      <c r="C51" s="2030"/>
      <c r="D51" s="2026"/>
      <c r="E51" s="2026"/>
      <c r="F51" s="2026"/>
      <c r="G51" s="2026"/>
      <c r="H51" s="2026"/>
      <c r="I51" s="2026"/>
      <c r="J51" s="2026"/>
      <c r="K51" s="3098"/>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2278</v>
      </c>
      <c r="E52" s="622" t="s">
        <v>556</v>
      </c>
      <c r="F52" s="1863" t="s">
        <v>557</v>
      </c>
      <c r="G52" s="3550" t="s">
        <v>2269</v>
      </c>
      <c r="H52" s="3551"/>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8" customFormat="1" ht="12.75">
      <c r="A53" s="624" t="s">
        <v>558</v>
      </c>
      <c r="B53" s="625" t="e">
        <f>C45</f>
        <v>#DIV/0!</v>
      </c>
      <c r="C53" s="626">
        <v>1</v>
      </c>
      <c r="D53" s="2106">
        <v>1</v>
      </c>
      <c r="E53" s="626">
        <f>'数据-汇总表'!E8+'数据-汇总表'!E9</f>
        <v>9740.7800000000007</v>
      </c>
      <c r="F53" s="1862" t="e">
        <f t="shared" ref="F53:F62" si="15">ROUND(B53*E53/10000,0)</f>
        <v>#DIV/0!</v>
      </c>
      <c r="G53" s="3552"/>
      <c r="H53" s="3553"/>
      <c r="I53" s="1865">
        <v>1</v>
      </c>
      <c r="J53" s="1493">
        <v>1</v>
      </c>
      <c r="K53" s="3099"/>
      <c r="L53" s="2034"/>
      <c r="M53" s="2034"/>
      <c r="N53" s="2034"/>
      <c r="O53" s="2034"/>
      <c r="P53" s="2034"/>
      <c r="Q53" s="2034"/>
      <c r="R53" s="2034"/>
      <c r="S53" s="2034"/>
      <c r="T53" s="2034"/>
      <c r="U53" s="2034"/>
      <c r="V53" s="2034"/>
      <c r="W53" s="2034"/>
      <c r="X53" s="2034"/>
      <c r="Y53" s="2034"/>
      <c r="Z53" s="2034"/>
      <c r="AA53" s="2034"/>
      <c r="AB53" s="2034"/>
      <c r="AC53" s="2034"/>
    </row>
    <row r="54" spans="1:29" s="1298" customFormat="1" ht="12.75">
      <c r="A54" s="628" t="s">
        <v>559</v>
      </c>
      <c r="B54" s="629" t="e">
        <f>ROUND($C$45*C54*D54,0)</f>
        <v>#DIV/0!</v>
      </c>
      <c r="C54" s="371">
        <f t="shared" ref="C54:C62" si="16">IF($C$52="北京市系数",I54,J54)</f>
        <v>0.6</v>
      </c>
      <c r="D54" s="2107">
        <v>0.25</v>
      </c>
      <c r="E54" s="630"/>
      <c r="F54" s="1862" t="e">
        <f t="shared" si="15"/>
        <v>#DIV/0!</v>
      </c>
      <c r="G54" s="3554" t="s">
        <v>2270</v>
      </c>
      <c r="H54" s="1866" t="str">
        <f>项目基本情况!B43</f>
        <v>十一级</v>
      </c>
      <c r="I54" s="1865">
        <f>SUMIF(修正!$A$45:$A$56,H54,修正!B45:B56)</f>
        <v>0.6</v>
      </c>
      <c r="J54" s="1494"/>
      <c r="K54" s="3099"/>
      <c r="L54" s="2034"/>
      <c r="M54" s="2034"/>
      <c r="N54" s="2034"/>
      <c r="O54" s="2034"/>
      <c r="P54" s="2034"/>
      <c r="Q54" s="2034"/>
      <c r="R54" s="2034"/>
      <c r="S54" s="2034"/>
      <c r="T54" s="2034"/>
      <c r="U54" s="2034"/>
      <c r="V54" s="2034"/>
      <c r="W54" s="2034"/>
      <c r="X54" s="2034"/>
      <c r="Y54" s="2034"/>
      <c r="Z54" s="2034"/>
      <c r="AA54" s="2034"/>
      <c r="AB54" s="2034"/>
      <c r="AC54" s="2034"/>
    </row>
    <row r="55" spans="1:29" s="1298" customFormat="1" ht="12.75">
      <c r="A55" s="628" t="s">
        <v>560</v>
      </c>
      <c r="B55" s="629" t="e">
        <f t="shared" ref="B55:B62" si="17">ROUND($C$45*C55*D55,0)</f>
        <v>#DIV/0!</v>
      </c>
      <c r="C55" s="371">
        <f t="shared" si="16"/>
        <v>0.3</v>
      </c>
      <c r="D55" s="2107">
        <v>0.25</v>
      </c>
      <c r="E55" s="630"/>
      <c r="F55" s="1862" t="e">
        <f t="shared" si="15"/>
        <v>#DIV/0!</v>
      </c>
      <c r="G55" s="3554"/>
      <c r="H55" s="1867" t="str">
        <f>项目基本情况!B43</f>
        <v>十一级</v>
      </c>
      <c r="I55" s="1865">
        <f>SUMIF(修正!$A$45:$A$56,H55,修正!C45:C56)</f>
        <v>0.3</v>
      </c>
      <c r="J55" s="1494"/>
      <c r="K55" s="3099"/>
      <c r="L55" s="2034"/>
      <c r="M55" s="2034"/>
      <c r="N55" s="2034"/>
      <c r="O55" s="2034"/>
      <c r="P55" s="2034"/>
      <c r="Q55" s="2034"/>
      <c r="R55" s="2034"/>
      <c r="S55" s="2034"/>
      <c r="T55" s="2034"/>
      <c r="U55" s="2034"/>
      <c r="V55" s="2034"/>
      <c r="W55" s="2034"/>
      <c r="X55" s="2034"/>
      <c r="Y55" s="2034"/>
      <c r="Z55" s="2034"/>
      <c r="AA55" s="2034"/>
      <c r="AB55" s="2034"/>
      <c r="AC55" s="2034"/>
    </row>
    <row r="56" spans="1:29" s="1298" customFormat="1" ht="12.75">
      <c r="A56" s="628" t="s">
        <v>561</v>
      </c>
      <c r="B56" s="629" t="e">
        <f t="shared" si="17"/>
        <v>#DIV/0!</v>
      </c>
      <c r="C56" s="371">
        <f t="shared" si="16"/>
        <v>0.2</v>
      </c>
      <c r="D56" s="2107">
        <v>0.25</v>
      </c>
      <c r="E56" s="630"/>
      <c r="F56" s="1862" t="e">
        <f t="shared" si="15"/>
        <v>#DIV/0!</v>
      </c>
      <c r="G56" s="3554"/>
      <c r="H56" s="1867" t="str">
        <f>项目基本情况!B43</f>
        <v>十一级</v>
      </c>
      <c r="I56" s="1865">
        <f>SUMIF(修正!$A$45:$A$56,H56,修正!D45:D56)</f>
        <v>0.2</v>
      </c>
      <c r="J56" s="1494"/>
      <c r="K56" s="3099"/>
      <c r="L56" s="2034"/>
      <c r="M56" s="2034"/>
      <c r="N56" s="2034"/>
      <c r="O56" s="2034"/>
      <c r="P56" s="2034"/>
      <c r="Q56" s="2034"/>
      <c r="R56" s="2034"/>
      <c r="S56" s="2034"/>
      <c r="T56" s="2034"/>
      <c r="U56" s="2034"/>
      <c r="V56" s="2034"/>
      <c r="W56" s="2034"/>
      <c r="X56" s="2034"/>
      <c r="Y56" s="2034"/>
      <c r="Z56" s="2034"/>
      <c r="AA56" s="2034"/>
      <c r="AB56" s="2034"/>
      <c r="AC56" s="2034"/>
    </row>
    <row r="57" spans="1:29" s="1298" customFormat="1" ht="12.75">
      <c r="A57" s="628" t="s">
        <v>562</v>
      </c>
      <c r="B57" s="629" t="e">
        <f t="shared" si="17"/>
        <v>#DIV/0!</v>
      </c>
      <c r="C57" s="371">
        <f t="shared" si="16"/>
        <v>0.2</v>
      </c>
      <c r="D57" s="2107">
        <v>0.25</v>
      </c>
      <c r="E57" s="630"/>
      <c r="F57" s="1862" t="e">
        <f t="shared" si="15"/>
        <v>#DIV/0!</v>
      </c>
      <c r="G57" s="3554"/>
      <c r="H57" s="1867" t="str">
        <f>项目基本情况!B43</f>
        <v>十一级</v>
      </c>
      <c r="I57" s="1865">
        <f>SUMIF(修正!$A$45:$A$56,H57,修正!E45:E56)</f>
        <v>0.2</v>
      </c>
      <c r="J57" s="1494"/>
      <c r="K57" s="3099"/>
      <c r="L57" s="2034"/>
      <c r="M57" s="2034"/>
      <c r="N57" s="2034"/>
      <c r="O57" s="2034"/>
      <c r="P57" s="2034"/>
      <c r="Q57" s="2034"/>
      <c r="R57" s="2034"/>
      <c r="S57" s="2034"/>
      <c r="T57" s="2034"/>
      <c r="U57" s="2034"/>
      <c r="V57" s="2034"/>
      <c r="W57" s="2034"/>
      <c r="X57" s="2034"/>
      <c r="Y57" s="2034"/>
      <c r="Z57" s="2034"/>
      <c r="AA57" s="2034"/>
      <c r="AB57" s="2034"/>
      <c r="AC57" s="2034"/>
    </row>
    <row r="58" spans="1:29" s="1298" customFormat="1" ht="12.75">
      <c r="A58" s="2209" t="s">
        <v>2313</v>
      </c>
      <c r="B58" s="629" t="e">
        <f t="shared" si="17"/>
        <v>#DIV/0!</v>
      </c>
      <c r="C58" s="371">
        <f t="shared" si="16"/>
        <v>0.2</v>
      </c>
      <c r="D58" s="2107">
        <v>0.25</v>
      </c>
      <c r="E58" s="632">
        <f>'数据-汇总表'!E11</f>
        <v>0</v>
      </c>
      <c r="F58" s="1862" t="e">
        <f t="shared" si="15"/>
        <v>#DIV/0!</v>
      </c>
      <c r="G58" s="1868" t="s">
        <v>2271</v>
      </c>
      <c r="H58" s="1867" t="str">
        <f>项目基本情况!C43</f>
        <v>十一级</v>
      </c>
      <c r="I58" s="1865">
        <f>SUMIF(修正!$A$45:$A$56,H58,修正!F45:F56)</f>
        <v>0.2</v>
      </c>
      <c r="J58" s="1494"/>
      <c r="K58" s="3099"/>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563</v>
      </c>
      <c r="B59" s="629" t="e">
        <f t="shared" si="17"/>
        <v>#DIV/0!</v>
      </c>
      <c r="C59" s="371">
        <f t="shared" si="16"/>
        <v>0.2</v>
      </c>
      <c r="D59" s="2107">
        <v>0.25</v>
      </c>
      <c r="E59" s="632">
        <f>'数据-汇总表'!E12</f>
        <v>0</v>
      </c>
      <c r="F59" s="1862" t="e">
        <f t="shared" si="15"/>
        <v>#DIV/0!</v>
      </c>
      <c r="G59" s="1858" t="s">
        <v>1668</v>
      </c>
      <c r="H59" s="1866" t="str">
        <f>IF(G59="商业",项目基本情况!B43,IF(G59="办公",项目基本情况!C43,IF(G59="住宅",项目基本情况!D43,项目基本情况!E43)))</f>
        <v>十一级</v>
      </c>
      <c r="I59" s="1865">
        <f>SUMIF(修正!$A$45:$A$56,H59,修正!G45:G56)</f>
        <v>0.2</v>
      </c>
      <c r="J59" s="1494"/>
      <c r="K59" s="3099"/>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564</v>
      </c>
      <c r="B60" s="629" t="e">
        <f t="shared" si="17"/>
        <v>#DIV/0!</v>
      </c>
      <c r="C60" s="371">
        <f t="shared" si="16"/>
        <v>0.15</v>
      </c>
      <c r="D60" s="2107">
        <v>0.25</v>
      </c>
      <c r="E60" s="632">
        <f>'数据-汇总表'!E13</f>
        <v>861.16</v>
      </c>
      <c r="F60" s="1862" t="e">
        <f t="shared" si="15"/>
        <v>#DIV/0!</v>
      </c>
      <c r="G60" s="1858" t="s">
        <v>914</v>
      </c>
      <c r="H60" s="1866" t="str">
        <f>IF(G60="商业",项目基本情况!B43,IF(G60="办公",项目基本情况!C43,IF(G60="住宅",项目基本情况!D43,项目基本情况!E43)))</f>
        <v>十一级</v>
      </c>
      <c r="I60" s="1865">
        <f>SUMIF(修正!$A$45:$A$56,H60,修正!H45:H56)</f>
        <v>0.15</v>
      </c>
      <c r="J60" s="1494"/>
      <c r="K60" s="3099"/>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565</v>
      </c>
      <c r="B61" s="629" t="e">
        <f t="shared" si="17"/>
        <v>#DIV/0!</v>
      </c>
      <c r="C61" s="371">
        <f t="shared" si="16"/>
        <v>0.15</v>
      </c>
      <c r="D61" s="2107">
        <v>0.25</v>
      </c>
      <c r="E61" s="632">
        <f>'数据-汇总表'!E14</f>
        <v>0</v>
      </c>
      <c r="F61" s="1862" t="e">
        <f t="shared" si="15"/>
        <v>#DIV/0!</v>
      </c>
      <c r="G61" s="1868" t="s">
        <v>2270</v>
      </c>
      <c r="H61" s="1867" t="str">
        <f>项目基本情况!B43</f>
        <v>十一级</v>
      </c>
      <c r="I61" s="1865">
        <f>SUMIF(修正!$A$45:$A$56,H61,修正!H45:H56)</f>
        <v>0.15</v>
      </c>
      <c r="J61" s="1494"/>
      <c r="K61" s="3099"/>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3.5" thickBot="1">
      <c r="A62" s="628" t="s">
        <v>566</v>
      </c>
      <c r="B62" s="629" t="e">
        <f t="shared" si="17"/>
        <v>#DIV/0!</v>
      </c>
      <c r="C62" s="371">
        <f t="shared" si="16"/>
        <v>0.15</v>
      </c>
      <c r="D62" s="2107">
        <v>0.25</v>
      </c>
      <c r="E62" s="632">
        <f>'数据-汇总表'!E15</f>
        <v>0</v>
      </c>
      <c r="F62" s="1862" t="e">
        <f t="shared" si="15"/>
        <v>#DIV/0!</v>
      </c>
      <c r="G62" s="1869" t="s">
        <v>2271</v>
      </c>
      <c r="H62" s="1870" t="str">
        <f>项目基本情况!C43</f>
        <v>十一级</v>
      </c>
      <c r="I62" s="1865">
        <f>SUMIF(修正!$A$45:$A$56,H62,修正!H45:H56)</f>
        <v>0.15</v>
      </c>
      <c r="J62" s="1494"/>
      <c r="K62" s="3099"/>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3.5" thickBot="1">
      <c r="A63" s="633" t="s">
        <v>567</v>
      </c>
      <c r="B63" s="634" t="s">
        <v>17</v>
      </c>
      <c r="C63" s="634" t="s">
        <v>18</v>
      </c>
      <c r="D63" s="634" t="s">
        <v>2279</v>
      </c>
      <c r="E63" s="634">
        <f>IF(B43="楼面地价",SUM(E53:E62),'数据-汇总表'!D3)</f>
        <v>9817.3700000000008</v>
      </c>
      <c r="F63" s="635" t="e">
        <f>IF(B43="楼面地价",SUM(F53:F62),ROUND(C45*E63/10000,0))</f>
        <v>#DIV/0!</v>
      </c>
      <c r="G63" s="2035"/>
      <c r="H63" s="2035"/>
      <c r="I63" s="2035"/>
      <c r="J63" s="2035"/>
      <c r="K63" s="3107"/>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2021-3-1</v>
      </c>
      <c r="D65" s="2514">
        <f>EDATE(C65,-3)</f>
        <v>44166</v>
      </c>
      <c r="E65" s="2514">
        <f t="shared" ref="E65:N65" si="18">EDATE(D65,-3)</f>
        <v>44075</v>
      </c>
      <c r="F65" s="2514">
        <f t="shared" si="18"/>
        <v>43983</v>
      </c>
      <c r="G65" s="2514">
        <f t="shared" si="18"/>
        <v>43891</v>
      </c>
      <c r="H65" s="2514">
        <f t="shared" si="18"/>
        <v>43800</v>
      </c>
      <c r="I65" s="2514">
        <f t="shared" si="18"/>
        <v>43709</v>
      </c>
      <c r="J65" s="2514">
        <f t="shared" si="18"/>
        <v>43617</v>
      </c>
      <c r="K65" s="2514">
        <f t="shared" si="18"/>
        <v>43525</v>
      </c>
      <c r="L65" s="2514">
        <f t="shared" si="18"/>
        <v>43435</v>
      </c>
      <c r="M65" s="2514">
        <f t="shared" si="18"/>
        <v>43344</v>
      </c>
      <c r="N65" s="2514">
        <f t="shared" si="18"/>
        <v>43252</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9" customFormat="1" ht="15">
      <c r="A67" s="2419" t="s">
        <v>2512</v>
      </c>
      <c r="B67" s="637"/>
      <c r="C67" s="2511" t="str">
        <f>YEAR(C65)&amp;"-"&amp;ROUNDUP(MONTH(C65)/3,0)</f>
        <v>2021-1</v>
      </c>
      <c r="D67" s="2516" t="str">
        <f t="shared" ref="D67:N67" si="19">YEAR(D65)&amp;"-"&amp;ROUNDUP(MONTH(D65)/3,0)</f>
        <v>2020-4</v>
      </c>
      <c r="E67" s="2516" t="str">
        <f t="shared" si="19"/>
        <v>2020-3</v>
      </c>
      <c r="F67" s="2516" t="str">
        <f t="shared" si="19"/>
        <v>2020-2</v>
      </c>
      <c r="G67" s="2516" t="str">
        <f t="shared" si="19"/>
        <v>2020-1</v>
      </c>
      <c r="H67" s="2516" t="str">
        <f t="shared" si="19"/>
        <v>2019-4</v>
      </c>
      <c r="I67" s="2516" t="str">
        <f t="shared" si="19"/>
        <v>2019-3</v>
      </c>
      <c r="J67" s="2516" t="str">
        <f t="shared" si="19"/>
        <v>2019-2</v>
      </c>
      <c r="K67" s="2516" t="str">
        <f t="shared" si="19"/>
        <v>2019-1</v>
      </c>
      <c r="L67" s="2516" t="str">
        <f t="shared" si="19"/>
        <v>2018-4</v>
      </c>
      <c r="M67" s="2516" t="str">
        <f t="shared" si="19"/>
        <v>2018-3</v>
      </c>
      <c r="N67" s="2516" t="str">
        <f t="shared" si="19"/>
        <v>2018-2</v>
      </c>
      <c r="O67" s="2038"/>
      <c r="P67" s="2039"/>
      <c r="Q67" s="2040"/>
      <c r="R67" s="2040"/>
      <c r="S67" s="2040"/>
      <c r="T67" s="2040"/>
      <c r="U67" s="2040"/>
      <c r="V67" s="2040"/>
      <c r="W67" s="2040"/>
      <c r="X67" s="2040"/>
      <c r="Y67" s="2040"/>
      <c r="Z67" s="2040"/>
      <c r="AA67" s="2040"/>
      <c r="AB67" s="2040"/>
      <c r="AC67" s="2040"/>
    </row>
    <row r="68" spans="1:29" s="1202" customFormat="1" ht="27.75" customHeight="1">
      <c r="A68" s="2513" t="s">
        <v>2605</v>
      </c>
      <c r="B68" s="472" t="str">
        <f>"北京市平均增长率"&amp;TEXT(基准地价!P24,"0.00%")</f>
        <v>北京市平均增长率1.19%</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2"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2" customFormat="1" ht="15">
      <c r="A70" s="650" t="s">
        <v>525</v>
      </c>
      <c r="B70" s="639"/>
      <c r="C70" s="651" t="s">
        <v>570</v>
      </c>
      <c r="D70" s="652"/>
      <c r="E70" s="652"/>
      <c r="F70" s="652"/>
      <c r="G70" s="652"/>
      <c r="H70" s="652"/>
      <c r="I70" s="652"/>
      <c r="J70" s="652"/>
      <c r="K70" s="652"/>
      <c r="L70" s="653"/>
      <c r="M70" s="654"/>
      <c r="N70" s="3108"/>
      <c r="O70" s="2041"/>
      <c r="P70" s="2042"/>
      <c r="Q70" s="2037"/>
      <c r="R70" s="1903"/>
      <c r="S70" s="1903"/>
      <c r="T70" s="1903"/>
      <c r="U70" s="1903"/>
      <c r="V70" s="1903"/>
      <c r="W70" s="1903"/>
      <c r="X70" s="1903"/>
      <c r="Y70" s="1903"/>
      <c r="Z70" s="1903"/>
      <c r="AA70" s="1903"/>
      <c r="AB70" s="1903"/>
      <c r="AC70" s="1903"/>
    </row>
    <row r="71" spans="1:29" s="1202" customFormat="1" ht="15.75" thickBot="1">
      <c r="A71" s="650"/>
      <c r="B71" s="639"/>
      <c r="C71" s="640">
        <v>100</v>
      </c>
      <c r="D71" s="641"/>
      <c r="E71" s="641"/>
      <c r="F71" s="641"/>
      <c r="G71" s="641"/>
      <c r="H71" s="641"/>
      <c r="I71" s="641"/>
      <c r="J71" s="641"/>
      <c r="K71" s="641"/>
      <c r="L71" s="641"/>
      <c r="M71" s="643"/>
      <c r="N71" s="3108"/>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109"/>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110"/>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109"/>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110"/>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110"/>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109"/>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110"/>
      <c r="O78" s="2045"/>
      <c r="P78" s="2044"/>
      <c r="Q78" s="2037"/>
      <c r="R78" s="2025"/>
      <c r="S78" s="2025"/>
      <c r="T78" s="2025"/>
      <c r="U78" s="2025"/>
      <c r="V78" s="2025"/>
      <c r="W78" s="2025"/>
      <c r="X78" s="2025"/>
      <c r="Y78" s="2025"/>
      <c r="Z78" s="2025"/>
      <c r="AA78" s="2025"/>
      <c r="AB78" s="2025"/>
      <c r="AC78" s="2025"/>
    </row>
    <row r="79" spans="1:29" s="1292" customFormat="1" ht="15.75" thickTop="1">
      <c r="A79" s="678"/>
      <c r="B79" s="664">
        <f>B14</f>
        <v>111</v>
      </c>
      <c r="C79" s="679"/>
      <c r="D79" s="679"/>
      <c r="E79" s="679"/>
      <c r="F79" s="679"/>
      <c r="G79" s="679"/>
      <c r="H79" s="680"/>
      <c r="I79" s="680"/>
      <c r="J79" s="680"/>
      <c r="K79" s="680"/>
      <c r="L79" s="681"/>
      <c r="M79" s="682"/>
      <c r="N79" s="3111"/>
      <c r="O79" s="2046"/>
      <c r="P79" s="2047"/>
      <c r="Q79" s="2048"/>
      <c r="R79" s="2049"/>
      <c r="S79" s="2049"/>
      <c r="T79" s="2049"/>
      <c r="U79" s="2049"/>
      <c r="V79" s="2049"/>
      <c r="W79" s="2049"/>
      <c r="X79" s="2049"/>
      <c r="Y79" s="2049"/>
      <c r="Z79" s="2049"/>
      <c r="AA79" s="2049"/>
      <c r="AB79" s="2049"/>
      <c r="AC79" s="2049"/>
    </row>
    <row r="80" spans="1:29" s="1292" customFormat="1" ht="15.75" thickBot="1">
      <c r="A80" s="678"/>
      <c r="B80" s="669"/>
      <c r="C80" s="683"/>
      <c r="D80" s="662"/>
      <c r="E80" s="662"/>
      <c r="F80" s="662"/>
      <c r="G80" s="662"/>
      <c r="H80" s="662"/>
      <c r="I80" s="662"/>
      <c r="J80" s="662"/>
      <c r="K80" s="662"/>
      <c r="L80" s="662"/>
      <c r="M80" s="663"/>
      <c r="N80" s="3110"/>
      <c r="O80" s="2045"/>
      <c r="P80" s="2047"/>
      <c r="Q80" s="2048"/>
      <c r="R80" s="2049"/>
      <c r="S80" s="2049"/>
      <c r="T80" s="2049"/>
      <c r="U80" s="2049"/>
      <c r="V80" s="2049"/>
      <c r="W80" s="2049"/>
      <c r="X80" s="2049"/>
      <c r="Y80" s="2049"/>
      <c r="Z80" s="2049"/>
      <c r="AA80" s="2049"/>
      <c r="AB80" s="2049"/>
      <c r="AC80" s="2049"/>
    </row>
    <row r="81" spans="1:29" s="1292" customFormat="1" ht="15.75" thickTop="1">
      <c r="A81" s="678"/>
      <c r="B81" s="664">
        <f>B15</f>
        <v>111</v>
      </c>
      <c r="C81" s="679"/>
      <c r="D81" s="679"/>
      <c r="E81" s="679"/>
      <c r="F81" s="679"/>
      <c r="G81" s="679"/>
      <c r="H81" s="680"/>
      <c r="I81" s="680"/>
      <c r="J81" s="680"/>
      <c r="K81" s="680"/>
      <c r="L81" s="681"/>
      <c r="M81" s="682"/>
      <c r="N81" s="3111"/>
      <c r="O81" s="2046"/>
      <c r="P81" s="2050"/>
      <c r="Q81" s="2051"/>
      <c r="R81" s="2049"/>
      <c r="S81" s="2049"/>
      <c r="T81" s="2049"/>
      <c r="U81" s="2049"/>
      <c r="V81" s="2049"/>
      <c r="W81" s="2049"/>
      <c r="X81" s="2049"/>
      <c r="Y81" s="2049"/>
      <c r="Z81" s="2049"/>
      <c r="AA81" s="2049"/>
      <c r="AB81" s="2049"/>
      <c r="AC81" s="2049"/>
    </row>
    <row r="82" spans="1:29" s="1292" customFormat="1" ht="15.75" thickBot="1">
      <c r="A82" s="678"/>
      <c r="B82" s="669"/>
      <c r="C82" s="683"/>
      <c r="D82" s="683"/>
      <c r="E82" s="683"/>
      <c r="F82" s="683"/>
      <c r="G82" s="683"/>
      <c r="H82" s="684"/>
      <c r="I82" s="684"/>
      <c r="J82" s="684"/>
      <c r="K82" s="684"/>
      <c r="L82" s="684"/>
      <c r="M82" s="685"/>
      <c r="N82" s="3111"/>
      <c r="O82" s="2046"/>
      <c r="P82" s="2047"/>
      <c r="Q82" s="2048"/>
      <c r="R82" s="2049"/>
      <c r="S82" s="2049"/>
      <c r="T82" s="2049"/>
      <c r="U82" s="2049"/>
      <c r="V82" s="2049"/>
      <c r="W82" s="2049"/>
      <c r="X82" s="2049"/>
      <c r="Y82" s="2049"/>
      <c r="Z82" s="2049"/>
      <c r="AA82" s="2049"/>
      <c r="AB82" s="2049"/>
      <c r="AC82" s="2049"/>
    </row>
    <row r="83" spans="1:29" s="1292" customFormat="1" ht="15.75" thickTop="1">
      <c r="A83" s="678"/>
      <c r="B83" s="672">
        <f>B16</f>
        <v>111</v>
      </c>
      <c r="C83" s="652"/>
      <c r="D83" s="652"/>
      <c r="E83" s="652"/>
      <c r="F83" s="652"/>
      <c r="G83" s="652"/>
      <c r="H83" s="686"/>
      <c r="I83" s="686"/>
      <c r="J83" s="686"/>
      <c r="K83" s="686"/>
      <c r="L83" s="687"/>
      <c r="M83" s="688"/>
      <c r="N83" s="3111"/>
      <c r="O83" s="2046"/>
      <c r="P83" s="2052"/>
      <c r="Q83" s="2048"/>
      <c r="R83" s="2049"/>
      <c r="S83" s="2049"/>
      <c r="T83" s="2049"/>
      <c r="U83" s="2049"/>
      <c r="V83" s="2049"/>
      <c r="W83" s="2049"/>
      <c r="X83" s="2049"/>
      <c r="Y83" s="2049"/>
      <c r="Z83" s="2049"/>
      <c r="AA83" s="2049"/>
      <c r="AB83" s="2049"/>
      <c r="AC83" s="2049"/>
    </row>
    <row r="84" spans="1:29" s="1292" customFormat="1" ht="15.75" thickBot="1">
      <c r="A84" s="689"/>
      <c r="B84" s="690"/>
      <c r="C84" s="691"/>
      <c r="D84" s="691"/>
      <c r="E84" s="691"/>
      <c r="F84" s="691"/>
      <c r="G84" s="691"/>
      <c r="H84" s="692"/>
      <c r="I84" s="692"/>
      <c r="J84" s="692"/>
      <c r="K84" s="692"/>
      <c r="L84" s="692"/>
      <c r="M84" s="693"/>
      <c r="N84" s="3111"/>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109"/>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110"/>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109"/>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110"/>
      <c r="O88" s="2045"/>
      <c r="P88" s="2044"/>
      <c r="Q88" s="2037"/>
      <c r="R88" s="2025"/>
      <c r="S88" s="2025"/>
      <c r="T88" s="2025"/>
      <c r="U88" s="2025"/>
      <c r="V88" s="2025"/>
      <c r="W88" s="2025"/>
      <c r="X88" s="2025"/>
      <c r="Y88" s="2025"/>
      <c r="Z88" s="2025"/>
      <c r="AA88" s="2025"/>
      <c r="AB88" s="2025"/>
      <c r="AC88" s="2025"/>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108"/>
      <c r="O89" s="2041"/>
      <c r="P89" s="2044"/>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110"/>
      <c r="O90" s="2045"/>
      <c r="P90" s="2044"/>
      <c r="Q90" s="2037"/>
      <c r="R90" s="1903"/>
      <c r="S90" s="1903"/>
      <c r="T90" s="1903"/>
      <c r="U90" s="1903"/>
      <c r="V90" s="1903"/>
      <c r="W90" s="1903"/>
      <c r="X90" s="1903"/>
      <c r="Y90" s="1903"/>
      <c r="Z90" s="1903"/>
      <c r="AA90" s="1903"/>
      <c r="AB90" s="1903"/>
      <c r="AC90" s="1903"/>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108"/>
      <c r="O91" s="2041"/>
      <c r="P91" s="2044"/>
      <c r="Q91" s="2037"/>
      <c r="R91" s="1903"/>
      <c r="S91" s="1903"/>
      <c r="T91" s="1903"/>
      <c r="U91" s="1903"/>
      <c r="V91" s="1903"/>
      <c r="W91" s="1903"/>
      <c r="X91" s="1903"/>
      <c r="Y91" s="1903"/>
      <c r="Z91" s="1903"/>
      <c r="AA91" s="1903"/>
      <c r="AB91" s="1903"/>
      <c r="AC91" s="1903"/>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110"/>
      <c r="O92" s="2045"/>
      <c r="P92" s="2044"/>
      <c r="Q92" s="2037"/>
      <c r="R92" s="1903"/>
      <c r="S92" s="1903"/>
      <c r="T92" s="1903"/>
      <c r="U92" s="1903"/>
      <c r="V92" s="1903"/>
      <c r="W92" s="1903"/>
      <c r="X92" s="1903"/>
      <c r="Y92" s="1903"/>
      <c r="Z92" s="1903"/>
      <c r="AA92" s="1903"/>
      <c r="AB92" s="1903"/>
      <c r="AC92" s="1903"/>
    </row>
    <row r="93" spans="1:29" s="1292" customFormat="1" ht="15.75" thickTop="1">
      <c r="A93" s="678"/>
      <c r="B93" s="1808" t="s">
        <v>2527</v>
      </c>
      <c r="C93" s="694" t="s">
        <v>573</v>
      </c>
      <c r="D93" s="694" t="s">
        <v>574</v>
      </c>
      <c r="E93" s="694" t="s">
        <v>575</v>
      </c>
      <c r="F93" s="694" t="s">
        <v>576</v>
      </c>
      <c r="G93" s="694" t="s">
        <v>577</v>
      </c>
      <c r="H93" s="704"/>
      <c r="I93" s="704"/>
      <c r="J93" s="704"/>
      <c r="K93" s="704"/>
      <c r="L93" s="705"/>
      <c r="M93" s="706"/>
      <c r="N93" s="3111"/>
      <c r="O93" s="2046"/>
      <c r="P93" s="2047"/>
      <c r="Q93" s="2048"/>
      <c r="R93" s="2049"/>
      <c r="S93" s="2049"/>
      <c r="T93" s="2049"/>
      <c r="U93" s="2049"/>
      <c r="V93" s="2049"/>
      <c r="W93" s="2049"/>
      <c r="X93" s="2049"/>
      <c r="Y93" s="2049"/>
      <c r="Z93" s="2049"/>
      <c r="AA93" s="2049"/>
      <c r="AB93" s="2049"/>
      <c r="AC93" s="2049"/>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111"/>
      <c r="O94" s="2046"/>
      <c r="P94" s="2047"/>
      <c r="Q94" s="2048"/>
      <c r="R94" s="2049"/>
      <c r="S94" s="2049"/>
      <c r="T94" s="2049"/>
      <c r="U94" s="2049"/>
      <c r="V94" s="2049"/>
      <c r="W94" s="2049"/>
      <c r="X94" s="2049"/>
      <c r="Y94" s="2049"/>
      <c r="Z94" s="2049"/>
      <c r="AA94" s="2049"/>
      <c r="AB94" s="2049"/>
      <c r="AC94" s="2049"/>
    </row>
    <row r="95" spans="1:29" s="1292" customFormat="1" ht="15.75" thickTop="1">
      <c r="A95" s="678"/>
      <c r="B95" s="2439" t="s">
        <v>2529</v>
      </c>
      <c r="C95" s="2440" t="s">
        <v>2530</v>
      </c>
      <c r="D95" s="2440" t="s">
        <v>2531</v>
      </c>
      <c r="E95" s="2440" t="s">
        <v>2532</v>
      </c>
      <c r="F95" s="2440" t="s">
        <v>2533</v>
      </c>
      <c r="G95" s="2440" t="s">
        <v>2534</v>
      </c>
      <c r="H95" s="704"/>
      <c r="I95" s="704"/>
      <c r="J95" s="704"/>
      <c r="K95" s="704"/>
      <c r="L95" s="704"/>
      <c r="M95" s="706"/>
      <c r="N95" s="3111"/>
      <c r="O95" s="2046"/>
      <c r="P95" s="2047"/>
      <c r="Q95" s="2048"/>
      <c r="R95" s="2049"/>
      <c r="S95" s="2049"/>
      <c r="T95" s="2049"/>
      <c r="U95" s="2049"/>
      <c r="V95" s="2049"/>
      <c r="W95" s="2049"/>
      <c r="X95" s="2049"/>
      <c r="Y95" s="2049"/>
      <c r="Z95" s="2049"/>
      <c r="AA95" s="2049"/>
      <c r="AB95" s="2049"/>
      <c r="AC95" s="2049"/>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2"/>
      <c r="N96" s="3111"/>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109"/>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110"/>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109"/>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110"/>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109"/>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110"/>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109"/>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110"/>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109"/>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110"/>
      <c r="O106" s="2045"/>
      <c r="P106" s="2044"/>
      <c r="Q106" s="2037"/>
      <c r="R106" s="2025"/>
      <c r="S106" s="2025"/>
      <c r="T106" s="2025"/>
      <c r="U106" s="2025"/>
      <c r="V106" s="2025"/>
      <c r="W106" s="2025"/>
      <c r="X106" s="2025"/>
      <c r="Y106" s="2025"/>
      <c r="Z106" s="2025"/>
      <c r="AA106" s="2025"/>
      <c r="AB106" s="2025"/>
      <c r="AC106" s="2025"/>
    </row>
    <row r="107" spans="1:29" s="1292" customFormat="1" ht="15" thickTop="1">
      <c r="A107" s="719"/>
      <c r="B107" s="720">
        <f>B35</f>
        <v>111</v>
      </c>
      <c r="C107" s="652"/>
      <c r="D107" s="652"/>
      <c r="E107" s="652"/>
      <c r="F107" s="652"/>
      <c r="G107" s="721"/>
      <c r="H107" s="721"/>
      <c r="I107" s="721"/>
      <c r="J107" s="722"/>
      <c r="K107" s="722"/>
      <c r="L107" s="723"/>
      <c r="M107" s="724"/>
      <c r="N107" s="3111"/>
      <c r="O107" s="2046"/>
      <c r="P107" s="2047"/>
      <c r="Q107" s="2048"/>
      <c r="R107" s="2049"/>
      <c r="S107" s="2049"/>
      <c r="T107" s="2049"/>
      <c r="U107" s="2049"/>
      <c r="V107" s="2049"/>
      <c r="W107" s="2049"/>
      <c r="X107" s="2049"/>
      <c r="Y107" s="2049"/>
      <c r="Z107" s="2049"/>
      <c r="AA107" s="2049"/>
      <c r="AB107" s="2049"/>
      <c r="AC107" s="2049"/>
    </row>
    <row r="108" spans="1:29" s="1292" customFormat="1" ht="15.75" thickBot="1">
      <c r="A108" s="678"/>
      <c r="B108" s="672"/>
      <c r="C108" s="691"/>
      <c r="D108" s="691"/>
      <c r="E108" s="691"/>
      <c r="F108" s="691"/>
      <c r="G108" s="585"/>
      <c r="H108" s="585"/>
      <c r="I108" s="585"/>
      <c r="J108" s="585"/>
      <c r="K108" s="585"/>
      <c r="L108" s="585"/>
      <c r="M108" s="725"/>
      <c r="N108" s="3110"/>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109"/>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109"/>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110"/>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109"/>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110"/>
      <c r="O113" s="2045"/>
      <c r="P113" s="2044"/>
      <c r="Q113" s="2037"/>
      <c r="R113" s="2025"/>
      <c r="S113" s="2025"/>
      <c r="T113" s="2025"/>
      <c r="U113" s="2025"/>
      <c r="V113" s="2025"/>
      <c r="W113" s="2025"/>
      <c r="X113" s="2025"/>
      <c r="Y113" s="2025"/>
      <c r="Z113" s="2025"/>
      <c r="AA113" s="2025"/>
      <c r="AB113" s="2025"/>
      <c r="AC113" s="2025"/>
    </row>
    <row r="114" spans="1:29" s="1292" customFormat="1" ht="15" thickTop="1">
      <c r="A114" s="719"/>
      <c r="B114" s="1808" t="s">
        <v>2407</v>
      </c>
      <c r="C114" s="1326"/>
      <c r="D114" s="1326"/>
      <c r="E114" s="1326"/>
      <c r="F114" s="1326"/>
      <c r="G114" s="1326"/>
      <c r="H114" s="709"/>
      <c r="I114" s="709"/>
      <c r="J114" s="709"/>
      <c r="K114" s="710"/>
      <c r="L114" s="711"/>
      <c r="M114" s="712"/>
      <c r="N114" s="3111"/>
      <c r="O114" s="2046"/>
      <c r="P114" s="2047"/>
      <c r="Q114" s="2048"/>
      <c r="R114" s="2049"/>
      <c r="S114" s="2049"/>
      <c r="T114" s="2049"/>
      <c r="U114" s="2049"/>
      <c r="V114" s="2049"/>
      <c r="W114" s="2049"/>
      <c r="X114" s="2049"/>
      <c r="Y114" s="2049"/>
      <c r="Z114" s="2049"/>
      <c r="AA114" s="2049"/>
      <c r="AB114" s="2049"/>
      <c r="AC114" s="2049"/>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111"/>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109"/>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110"/>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109"/>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110"/>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109"/>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110"/>
      <c r="O121" s="2045"/>
      <c r="P121" s="2044"/>
      <c r="Q121" s="2037"/>
      <c r="R121" s="2025"/>
      <c r="S121" s="2025"/>
      <c r="T121" s="2025"/>
      <c r="U121" s="2025"/>
      <c r="V121" s="2025"/>
      <c r="W121" s="2025"/>
      <c r="X121" s="2025"/>
      <c r="Y121" s="2025"/>
      <c r="Z121" s="2025"/>
      <c r="AA121" s="2025"/>
      <c r="AB121" s="2025"/>
      <c r="AC121" s="2025"/>
    </row>
    <row r="122" spans="1:29" s="1292" customFormat="1" ht="15" thickTop="1">
      <c r="A122" s="719"/>
      <c r="B122" s="664">
        <f>B42</f>
        <v>111</v>
      </c>
      <c r="C122" s="652"/>
      <c r="D122" s="652"/>
      <c r="E122" s="652"/>
      <c r="F122" s="652"/>
      <c r="G122" s="680"/>
      <c r="H122" s="680"/>
      <c r="I122" s="680"/>
      <c r="J122" s="680"/>
      <c r="K122" s="680"/>
      <c r="L122" s="681"/>
      <c r="M122" s="682"/>
      <c r="N122" s="3111"/>
      <c r="O122" s="2046"/>
      <c r="P122" s="2047"/>
      <c r="Q122" s="2048"/>
      <c r="R122" s="2049"/>
      <c r="S122" s="2049"/>
      <c r="T122" s="2049"/>
      <c r="U122" s="2049"/>
      <c r="V122" s="2049"/>
      <c r="W122" s="2049"/>
      <c r="X122" s="2049"/>
      <c r="Y122" s="2049"/>
      <c r="Z122" s="2049"/>
      <c r="AA122" s="2049"/>
      <c r="AB122" s="2049"/>
      <c r="AC122" s="2049"/>
    </row>
    <row r="123" spans="1:29" s="1292" customFormat="1" ht="15.75" thickBot="1">
      <c r="A123" s="689"/>
      <c r="B123" s="727"/>
      <c r="C123" s="691"/>
      <c r="D123" s="691"/>
      <c r="E123" s="691"/>
      <c r="F123" s="691"/>
      <c r="G123" s="717"/>
      <c r="H123" s="717"/>
      <c r="I123" s="717"/>
      <c r="J123" s="717"/>
      <c r="K123" s="717"/>
      <c r="L123" s="717"/>
      <c r="M123" s="718"/>
      <c r="N123" s="3111"/>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2919</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02" t="s">
        <v>998</v>
      </c>
      <c r="B18" s="1136" t="s">
        <v>1437</v>
      </c>
      <c r="C18" s="1113" t="s">
        <v>1438</v>
      </c>
      <c r="D18" s="1114"/>
      <c r="E18" s="1136">
        <v>1</v>
      </c>
      <c r="F18" s="1115" t="s">
        <v>1439</v>
      </c>
      <c r="G18" s="1116"/>
      <c r="H18" s="1087"/>
      <c r="I18" s="1087"/>
    </row>
    <row r="19" spans="1:9" s="1528" customFormat="1" ht="19.5" customHeight="1">
      <c r="A19" s="3502"/>
      <c r="B19" s="3502" t="s">
        <v>1440</v>
      </c>
      <c r="C19" s="1113" t="s">
        <v>1441</v>
      </c>
      <c r="D19" s="1114"/>
      <c r="E19" s="1136">
        <v>0.9</v>
      </c>
      <c r="F19" s="1115" t="s">
        <v>1442</v>
      </c>
      <c r="G19" s="1116"/>
      <c r="H19" s="1087"/>
      <c r="I19" s="1087"/>
    </row>
    <row r="20" spans="1:9" s="1528" customFormat="1" ht="19.5" customHeight="1">
      <c r="A20" s="3502"/>
      <c r="B20" s="3502"/>
      <c r="C20" s="1113" t="s">
        <v>1443</v>
      </c>
      <c r="D20" s="1114"/>
      <c r="E20" s="1136">
        <v>1.1000000000000001</v>
      </c>
      <c r="F20" s="1115" t="s">
        <v>1444</v>
      </c>
      <c r="G20" s="1116"/>
      <c r="H20" s="1087"/>
      <c r="I20" s="1087"/>
    </row>
    <row r="21" spans="1:9" s="1528" customFormat="1" ht="19.5" customHeight="1">
      <c r="A21" s="3502"/>
      <c r="B21" s="3502"/>
      <c r="C21" s="1113" t="s">
        <v>1445</v>
      </c>
      <c r="D21" s="1114"/>
      <c r="E21" s="1136">
        <v>0.8</v>
      </c>
      <c r="F21" s="1115" t="s">
        <v>1446</v>
      </c>
      <c r="G21" s="1116"/>
      <c r="H21" s="1087"/>
      <c r="I21" s="1087"/>
    </row>
    <row r="22" spans="1:9" s="1528" customFormat="1" ht="19.5" customHeight="1">
      <c r="A22" s="3502"/>
      <c r="B22" s="3502"/>
      <c r="C22" s="1113" t="s">
        <v>1447</v>
      </c>
      <c r="D22" s="1114"/>
      <c r="E22" s="1136">
        <v>0.5</v>
      </c>
      <c r="F22" s="1115"/>
      <c r="G22" s="1116"/>
      <c r="H22" s="1087"/>
      <c r="I22" s="1087"/>
    </row>
    <row r="23" spans="1:9" s="1528" customFormat="1" ht="19.5" customHeight="1">
      <c r="A23" s="3502" t="s">
        <v>1020</v>
      </c>
      <c r="B23" s="1136" t="s">
        <v>1437</v>
      </c>
      <c r="C23" s="1113" t="s">
        <v>1448</v>
      </c>
      <c r="D23" s="1114"/>
      <c r="E23" s="1136">
        <v>1</v>
      </c>
      <c r="F23" s="1115" t="s">
        <v>1449</v>
      </c>
      <c r="G23" s="1116"/>
      <c r="H23" s="1087"/>
      <c r="I23" s="1087"/>
    </row>
    <row r="24" spans="1:9" s="1528" customFormat="1" ht="19.5" customHeight="1">
      <c r="A24" s="3502"/>
      <c r="B24" s="3502" t="s">
        <v>1440</v>
      </c>
      <c r="C24" s="1113" t="s">
        <v>1450</v>
      </c>
      <c r="D24" s="1114"/>
      <c r="E24" s="1136">
        <v>0.5</v>
      </c>
      <c r="F24" s="1115"/>
      <c r="G24" s="1116"/>
      <c r="H24" s="1087"/>
      <c r="I24" s="1087"/>
    </row>
    <row r="25" spans="1:9" s="1528" customFormat="1" ht="19.5" customHeight="1">
      <c r="A25" s="3502"/>
      <c r="B25" s="3502"/>
      <c r="C25" s="1113" t="s">
        <v>1451</v>
      </c>
      <c r="D25" s="1114"/>
      <c r="E25" s="1136">
        <v>1.1000000000000001</v>
      </c>
      <c r="F25" s="1115"/>
      <c r="G25" s="1116"/>
      <c r="H25" s="1087"/>
      <c r="I25" s="1087"/>
    </row>
    <row r="26" spans="1:9" s="1528" customFormat="1" ht="19.5" customHeight="1">
      <c r="A26" s="3502"/>
      <c r="B26" s="3502"/>
      <c r="C26" s="1113" t="s">
        <v>1452</v>
      </c>
      <c r="D26" s="1114"/>
      <c r="E26" s="1136">
        <v>1.1000000000000001</v>
      </c>
      <c r="F26" s="1115"/>
      <c r="G26" s="1116"/>
      <c r="H26" s="1087"/>
      <c r="I26" s="1087"/>
    </row>
    <row r="27" spans="1:9" s="1528" customFormat="1" ht="19.5" customHeight="1">
      <c r="A27" s="3502"/>
      <c r="B27" s="3502"/>
      <c r="C27" s="1113" t="s">
        <v>1453</v>
      </c>
      <c r="D27" s="1114"/>
      <c r="E27" s="1136">
        <v>0.9</v>
      </c>
      <c r="F27" s="1115" t="s">
        <v>1454</v>
      </c>
      <c r="G27" s="1116"/>
      <c r="H27" s="1087"/>
      <c r="I27" s="1087"/>
    </row>
    <row r="28" spans="1:9" s="1528" customFormat="1" ht="19.5" customHeight="1">
      <c r="A28" s="3502"/>
      <c r="B28" s="3502"/>
      <c r="C28" s="1113" t="s">
        <v>1455</v>
      </c>
      <c r="D28" s="1114"/>
      <c r="E28" s="1136">
        <v>0.9</v>
      </c>
      <c r="F28" s="1115" t="s">
        <v>1456</v>
      </c>
      <c r="G28" s="1116"/>
      <c r="H28" s="1087"/>
      <c r="I28" s="1087"/>
    </row>
    <row r="29" spans="1:9" s="1528" customFormat="1" ht="19.5" customHeight="1">
      <c r="A29" s="3502"/>
      <c r="B29" s="3502"/>
      <c r="C29" s="1113" t="s">
        <v>1457</v>
      </c>
      <c r="D29" s="1114"/>
      <c r="E29" s="1136">
        <v>0.9</v>
      </c>
      <c r="F29" s="1115" t="s">
        <v>1458</v>
      </c>
      <c r="G29" s="1116"/>
      <c r="H29" s="1087"/>
      <c r="I29" s="1087"/>
    </row>
    <row r="30" spans="1:9" s="1528" customFormat="1" ht="19.5" customHeight="1">
      <c r="A30" s="3502"/>
      <c r="B30" s="3502"/>
      <c r="C30" s="1113" t="s">
        <v>1459</v>
      </c>
      <c r="D30" s="1114"/>
      <c r="E30" s="1136">
        <v>0.9</v>
      </c>
      <c r="F30" s="1115" t="s">
        <v>1460</v>
      </c>
      <c r="G30" s="1116"/>
      <c r="H30" s="1087"/>
      <c r="I30" s="1087"/>
    </row>
    <row r="31" spans="1:9" s="1528" customFormat="1" ht="19.5" customHeight="1">
      <c r="A31" s="3502"/>
      <c r="B31" s="3502"/>
      <c r="C31" s="1113" t="s">
        <v>1461</v>
      </c>
      <c r="D31" s="1114"/>
      <c r="E31" s="1136">
        <v>0.8</v>
      </c>
      <c r="F31" s="1115" t="s">
        <v>1462</v>
      </c>
      <c r="G31" s="1116"/>
      <c r="H31" s="1087"/>
      <c r="I31" s="1087"/>
    </row>
    <row r="32" spans="1:9" s="1528" customFormat="1" ht="19.5" customHeight="1">
      <c r="A32" s="3502"/>
      <c r="B32" s="3502"/>
      <c r="C32" s="1113" t="s">
        <v>1463</v>
      </c>
      <c r="D32" s="1114"/>
      <c r="E32" s="1136">
        <v>0.8</v>
      </c>
      <c r="F32" s="1115" t="s">
        <v>1464</v>
      </c>
      <c r="G32" s="1116"/>
      <c r="H32" s="1087"/>
      <c r="I32" s="1087"/>
    </row>
    <row r="33" spans="1:9" s="1528" customFormat="1" ht="19.5" customHeight="1">
      <c r="A33" s="3502" t="s">
        <v>1465</v>
      </c>
      <c r="B33" s="1136" t="s">
        <v>1437</v>
      </c>
      <c r="C33" s="1113" t="s">
        <v>1466</v>
      </c>
      <c r="D33" s="1114"/>
      <c r="E33" s="1136">
        <v>1</v>
      </c>
      <c r="F33" s="1115" t="s">
        <v>1467</v>
      </c>
      <c r="G33" s="1116"/>
      <c r="H33" s="1087"/>
      <c r="I33" s="1087"/>
    </row>
    <row r="34" spans="1:9" s="1528" customFormat="1" ht="19.5" customHeight="1">
      <c r="A34" s="3502"/>
      <c r="B34" s="1136" t="s">
        <v>1440</v>
      </c>
      <c r="C34" s="1113" t="s">
        <v>1468</v>
      </c>
      <c r="D34" s="1114"/>
      <c r="E34" s="1136">
        <v>1.5</v>
      </c>
      <c r="F34" s="1115" t="s">
        <v>1469</v>
      </c>
      <c r="G34" s="1116"/>
      <c r="H34" s="1087"/>
      <c r="I34" s="1087"/>
    </row>
    <row r="35" spans="1:9" s="1528" customFormat="1" ht="19.5" customHeight="1">
      <c r="A35" s="3502" t="s">
        <v>1423</v>
      </c>
      <c r="B35" s="1136" t="s">
        <v>1437</v>
      </c>
      <c r="C35" s="1113" t="s">
        <v>1470</v>
      </c>
      <c r="D35" s="1114"/>
      <c r="E35" s="1136">
        <v>1</v>
      </c>
      <c r="F35" s="1115" t="s">
        <v>1471</v>
      </c>
      <c r="G35" s="1116"/>
      <c r="H35" s="1087"/>
      <c r="I35" s="1087"/>
    </row>
    <row r="36" spans="1:9" s="1528" customFormat="1" ht="19.5" customHeight="1">
      <c r="A36" s="3502"/>
      <c r="B36" s="3502" t="s">
        <v>1440</v>
      </c>
      <c r="C36" s="1113" t="s">
        <v>1472</v>
      </c>
      <c r="D36" s="1114"/>
      <c r="E36" s="1136">
        <v>1</v>
      </c>
      <c r="F36" s="1115" t="s">
        <v>1473</v>
      </c>
      <c r="G36" s="1116"/>
      <c r="H36" s="1087"/>
      <c r="I36" s="1087"/>
    </row>
    <row r="37" spans="1:9" s="1528" customFormat="1" ht="19.5" customHeight="1">
      <c r="A37" s="3502"/>
      <c r="B37" s="3502"/>
      <c r="C37" s="1113" t="s">
        <v>1474</v>
      </c>
      <c r="D37" s="1114"/>
      <c r="E37" s="1136">
        <v>1.5</v>
      </c>
      <c r="F37" s="1115" t="s">
        <v>1475</v>
      </c>
      <c r="G37" s="1116"/>
      <c r="H37" s="1087"/>
      <c r="I37" s="1087"/>
    </row>
    <row r="38" spans="1:9" s="1528" customFormat="1" ht="19.5" customHeight="1">
      <c r="A38" s="3502"/>
      <c r="B38" s="3502"/>
      <c r="C38" s="1113" t="s">
        <v>1476</v>
      </c>
      <c r="D38" s="1114"/>
      <c r="E38" s="1136">
        <v>1</v>
      </c>
      <c r="F38" s="1115" t="s">
        <v>1477</v>
      </c>
      <c r="G38" s="1116"/>
      <c r="H38" s="1087"/>
      <c r="I38" s="1087"/>
    </row>
    <row r="39" spans="1:9" s="1528" customFormat="1" ht="19.5" customHeight="1">
      <c r="A39" s="3502"/>
      <c r="B39" s="3502"/>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02" t="s">
        <v>1492</v>
      </c>
      <c r="C61" s="1050" t="s">
        <v>1493</v>
      </c>
      <c r="D61" s="1050" t="s">
        <v>1494</v>
      </c>
      <c r="E61" s="1121">
        <v>0.5</v>
      </c>
      <c r="F61" s="1136">
        <v>80</v>
      </c>
      <c r="H61" s="1087">
        <f>SUMIF(C59:C119,基准地价!C8,E59:E119)</f>
        <v>0</v>
      </c>
    </row>
    <row r="62" spans="1:8" s="1087" customFormat="1" ht="24">
      <c r="A62" s="1136">
        <v>2</v>
      </c>
      <c r="B62" s="3502"/>
      <c r="C62" s="1050" t="s">
        <v>1495</v>
      </c>
      <c r="D62" s="1050" t="s">
        <v>1496</v>
      </c>
      <c r="E62" s="1121">
        <v>0.5</v>
      </c>
      <c r="F62" s="1136">
        <v>80</v>
      </c>
    </row>
    <row r="63" spans="1:8" s="1087" customFormat="1" ht="36">
      <c r="A63" s="1136">
        <v>3</v>
      </c>
      <c r="B63" s="3502"/>
      <c r="C63" s="1050" t="s">
        <v>1497</v>
      </c>
      <c r="D63" s="1050" t="s">
        <v>1498</v>
      </c>
      <c r="E63" s="1121">
        <v>0.5</v>
      </c>
      <c r="F63" s="1136">
        <v>80</v>
      </c>
    </row>
    <row r="64" spans="1:8" s="1087" customFormat="1" ht="36">
      <c r="A64" s="1136">
        <v>4</v>
      </c>
      <c r="B64" s="3502"/>
      <c r="C64" s="1050" t="s">
        <v>1499</v>
      </c>
      <c r="D64" s="1050" t="s">
        <v>1500</v>
      </c>
      <c r="E64" s="1121">
        <v>0.4</v>
      </c>
      <c r="F64" s="1136">
        <v>60</v>
      </c>
    </row>
    <row r="65" spans="1:6" s="1087" customFormat="1" ht="36">
      <c r="A65" s="1136">
        <v>5</v>
      </c>
      <c r="B65" s="3502"/>
      <c r="C65" s="1050" t="s">
        <v>1501</v>
      </c>
      <c r="D65" s="1050" t="s">
        <v>1502</v>
      </c>
      <c r="E65" s="1121">
        <v>0.2</v>
      </c>
      <c r="F65" s="1136">
        <v>30</v>
      </c>
    </row>
    <row r="66" spans="1:6" s="1087" customFormat="1" ht="36">
      <c r="A66" s="1136">
        <v>6</v>
      </c>
      <c r="B66" s="3502"/>
      <c r="C66" s="1050" t="s">
        <v>1503</v>
      </c>
      <c r="D66" s="1050" t="s">
        <v>1504</v>
      </c>
      <c r="E66" s="1121">
        <v>0.3</v>
      </c>
      <c r="F66" s="1136">
        <v>50</v>
      </c>
    </row>
    <row r="67" spans="1:6" s="1087" customFormat="1" ht="36">
      <c r="A67" s="1136">
        <v>7</v>
      </c>
      <c r="B67" s="3502"/>
      <c r="C67" s="1050" t="s">
        <v>1505</v>
      </c>
      <c r="D67" s="1050" t="s">
        <v>1506</v>
      </c>
      <c r="E67" s="1121">
        <v>0.2</v>
      </c>
      <c r="F67" s="1136">
        <v>30</v>
      </c>
    </row>
    <row r="68" spans="1:6" s="1087" customFormat="1" ht="36">
      <c r="A68" s="1136">
        <v>8</v>
      </c>
      <c r="B68" s="3502"/>
      <c r="C68" s="1050" t="s">
        <v>1507</v>
      </c>
      <c r="D68" s="1050" t="s">
        <v>1508</v>
      </c>
      <c r="E68" s="1121">
        <v>0.2</v>
      </c>
      <c r="F68" s="1136">
        <v>30</v>
      </c>
    </row>
    <row r="69" spans="1:6" s="1087" customFormat="1" ht="36">
      <c r="A69" s="1136">
        <v>9</v>
      </c>
      <c r="B69" s="3502"/>
      <c r="C69" s="1050" t="s">
        <v>1509</v>
      </c>
      <c r="D69" s="1050" t="s">
        <v>1510</v>
      </c>
      <c r="E69" s="1121">
        <v>0.2</v>
      </c>
      <c r="F69" s="1136">
        <v>30</v>
      </c>
    </row>
    <row r="70" spans="1:6" s="1087" customFormat="1" ht="48">
      <c r="A70" s="1136">
        <v>10</v>
      </c>
      <c r="B70" s="3502"/>
      <c r="C70" s="1050" t="s">
        <v>1511</v>
      </c>
      <c r="D70" s="1050" t="s">
        <v>1512</v>
      </c>
      <c r="E70" s="1121">
        <v>0.2</v>
      </c>
      <c r="F70" s="1136">
        <v>30</v>
      </c>
    </row>
    <row r="71" spans="1:6" s="1087" customFormat="1" ht="48">
      <c r="A71" s="1136">
        <v>11</v>
      </c>
      <c r="B71" s="3502"/>
      <c r="C71" s="1050" t="s">
        <v>1513</v>
      </c>
      <c r="D71" s="1050" t="s">
        <v>1514</v>
      </c>
      <c r="E71" s="1121">
        <v>0.2</v>
      </c>
      <c r="F71" s="1136">
        <v>30</v>
      </c>
    </row>
    <row r="72" spans="1:6" s="1087" customFormat="1" ht="36">
      <c r="A72" s="1136">
        <v>12</v>
      </c>
      <c r="B72" s="3502"/>
      <c r="C72" s="1050" t="s">
        <v>1515</v>
      </c>
      <c r="D72" s="1050" t="s">
        <v>1516</v>
      </c>
      <c r="E72" s="1121">
        <v>0.5</v>
      </c>
      <c r="F72" s="1136">
        <v>80</v>
      </c>
    </row>
    <row r="73" spans="1:6" s="1087" customFormat="1" ht="24">
      <c r="A73" s="1136">
        <v>13</v>
      </c>
      <c r="B73" s="3502"/>
      <c r="C73" s="1050" t="s">
        <v>1517</v>
      </c>
      <c r="D73" s="1050" t="s">
        <v>1518</v>
      </c>
      <c r="E73" s="1121">
        <v>0.4</v>
      </c>
      <c r="F73" s="1136">
        <v>60</v>
      </c>
    </row>
    <row r="74" spans="1:6" s="1087" customFormat="1" ht="24">
      <c r="A74" s="1136">
        <v>14</v>
      </c>
      <c r="B74" s="3502"/>
      <c r="C74" s="1050" t="s">
        <v>1519</v>
      </c>
      <c r="D74" s="1050" t="s">
        <v>1520</v>
      </c>
      <c r="E74" s="1121">
        <v>0.2</v>
      </c>
      <c r="F74" s="1136">
        <v>30</v>
      </c>
    </row>
    <row r="75" spans="1:6" s="1087" customFormat="1" ht="24">
      <c r="A75" s="1136">
        <v>15</v>
      </c>
      <c r="B75" s="3502"/>
      <c r="C75" s="1050" t="s">
        <v>1521</v>
      </c>
      <c r="D75" s="1050" t="s">
        <v>1522</v>
      </c>
      <c r="E75" s="1121">
        <v>0.2</v>
      </c>
      <c r="F75" s="1136">
        <v>30</v>
      </c>
    </row>
    <row r="76" spans="1:6" s="1087" customFormat="1" ht="24">
      <c r="A76" s="1136">
        <v>16</v>
      </c>
      <c r="B76" s="3502" t="s">
        <v>1523</v>
      </c>
      <c r="C76" s="1050" t="s">
        <v>1524</v>
      </c>
      <c r="D76" s="1050" t="s">
        <v>1525</v>
      </c>
      <c r="E76" s="1121">
        <v>0.5</v>
      </c>
      <c r="F76" s="1136">
        <v>80</v>
      </c>
    </row>
    <row r="77" spans="1:6" s="1087" customFormat="1" ht="24">
      <c r="A77" s="1136">
        <v>17</v>
      </c>
      <c r="B77" s="3502"/>
      <c r="C77" s="1050" t="s">
        <v>1526</v>
      </c>
      <c r="D77" s="1050" t="s">
        <v>1527</v>
      </c>
      <c r="E77" s="1121">
        <v>0.5</v>
      </c>
      <c r="F77" s="1136">
        <v>80</v>
      </c>
    </row>
    <row r="78" spans="1:6" s="1087" customFormat="1" ht="24">
      <c r="A78" s="1136">
        <v>18</v>
      </c>
      <c r="B78" s="3502"/>
      <c r="C78" s="1050" t="s">
        <v>1528</v>
      </c>
      <c r="D78" s="1050" t="s">
        <v>1529</v>
      </c>
      <c r="E78" s="1121">
        <v>0.2</v>
      </c>
      <c r="F78" s="1136">
        <v>30</v>
      </c>
    </row>
    <row r="79" spans="1:6" s="1087" customFormat="1" ht="24">
      <c r="A79" s="1136">
        <v>19</v>
      </c>
      <c r="B79" s="3502"/>
      <c r="C79" s="1050" t="s">
        <v>1530</v>
      </c>
      <c r="D79" s="1050" t="s">
        <v>1531</v>
      </c>
      <c r="E79" s="1121">
        <v>0.5</v>
      </c>
      <c r="F79" s="1136">
        <v>80</v>
      </c>
    </row>
    <row r="80" spans="1:6" s="1087" customFormat="1" ht="36">
      <c r="A80" s="1136">
        <v>20</v>
      </c>
      <c r="B80" s="3502"/>
      <c r="C80" s="1050" t="s">
        <v>1532</v>
      </c>
      <c r="D80" s="1050" t="s">
        <v>1533</v>
      </c>
      <c r="E80" s="1121">
        <v>0.2</v>
      </c>
      <c r="F80" s="1136">
        <v>30</v>
      </c>
    </row>
    <row r="81" spans="1:6" s="1087" customFormat="1" ht="36">
      <c r="A81" s="1136">
        <v>21</v>
      </c>
      <c r="B81" s="3502"/>
      <c r="C81" s="1050" t="s">
        <v>1534</v>
      </c>
      <c r="D81" s="1050" t="s">
        <v>1535</v>
      </c>
      <c r="E81" s="1121">
        <v>0.2</v>
      </c>
      <c r="F81" s="1136">
        <v>30</v>
      </c>
    </row>
    <row r="82" spans="1:6" s="1087" customFormat="1" ht="48">
      <c r="A82" s="1136">
        <v>22</v>
      </c>
      <c r="B82" s="3502"/>
      <c r="C82" s="1050" t="s">
        <v>1536</v>
      </c>
      <c r="D82" s="1050" t="s">
        <v>1537</v>
      </c>
      <c r="E82" s="1121">
        <v>0.2</v>
      </c>
      <c r="F82" s="1136">
        <v>30</v>
      </c>
    </row>
    <row r="83" spans="1:6" s="1087" customFormat="1" ht="48">
      <c r="A83" s="1136">
        <v>23</v>
      </c>
      <c r="B83" s="3502"/>
      <c r="C83" s="1050" t="s">
        <v>1538</v>
      </c>
      <c r="D83" s="1050" t="s">
        <v>1539</v>
      </c>
      <c r="E83" s="1121">
        <v>0.2</v>
      </c>
      <c r="F83" s="1136">
        <v>30</v>
      </c>
    </row>
    <row r="84" spans="1:6" s="1087" customFormat="1" ht="36">
      <c r="A84" s="1136">
        <v>24</v>
      </c>
      <c r="B84" s="3502"/>
      <c r="C84" s="1050" t="s">
        <v>1540</v>
      </c>
      <c r="D84" s="1050" t="s">
        <v>1541</v>
      </c>
      <c r="E84" s="1121">
        <v>0.2</v>
      </c>
      <c r="F84" s="1136">
        <v>30</v>
      </c>
    </row>
    <row r="85" spans="1:6" s="1087" customFormat="1" ht="36">
      <c r="A85" s="1136">
        <v>25</v>
      </c>
      <c r="B85" s="3502"/>
      <c r="C85" s="1050" t="s">
        <v>1542</v>
      </c>
      <c r="D85" s="1050" t="s">
        <v>1543</v>
      </c>
      <c r="E85" s="1121">
        <v>0.5</v>
      </c>
      <c r="F85" s="1136">
        <v>80</v>
      </c>
    </row>
    <row r="86" spans="1:6" s="1087" customFormat="1" ht="36">
      <c r="A86" s="1136">
        <v>26</v>
      </c>
      <c r="B86" s="3502"/>
      <c r="C86" s="1050" t="s">
        <v>1544</v>
      </c>
      <c r="D86" s="1050" t="s">
        <v>1545</v>
      </c>
      <c r="E86" s="1121">
        <v>0.2</v>
      </c>
      <c r="F86" s="1136">
        <v>30</v>
      </c>
    </row>
    <row r="87" spans="1:6" s="1087" customFormat="1" ht="36">
      <c r="A87" s="1136">
        <v>27</v>
      </c>
      <c r="B87" s="3502"/>
      <c r="C87" s="1050" t="s">
        <v>1546</v>
      </c>
      <c r="D87" s="1050" t="s">
        <v>1547</v>
      </c>
      <c r="E87" s="1121">
        <v>0.2</v>
      </c>
      <c r="F87" s="1136">
        <v>30</v>
      </c>
    </row>
    <row r="88" spans="1:6" s="1087" customFormat="1" ht="36">
      <c r="A88" s="1136">
        <v>28</v>
      </c>
      <c r="B88" s="3502"/>
      <c r="C88" s="1050" t="s">
        <v>1548</v>
      </c>
      <c r="D88" s="1050" t="s">
        <v>1549</v>
      </c>
      <c r="E88" s="1121">
        <v>0.2</v>
      </c>
      <c r="F88" s="1136">
        <v>30</v>
      </c>
    </row>
    <row r="89" spans="1:6" s="1087" customFormat="1" ht="24">
      <c r="A89" s="1136">
        <v>29</v>
      </c>
      <c r="B89" s="3502"/>
      <c r="C89" s="1050" t="s">
        <v>1550</v>
      </c>
      <c r="D89" s="1050" t="s">
        <v>1551</v>
      </c>
      <c r="E89" s="1121">
        <v>0.2</v>
      </c>
      <c r="F89" s="1136">
        <v>30</v>
      </c>
    </row>
    <row r="90" spans="1:6" s="1087" customFormat="1" ht="24">
      <c r="A90" s="1136">
        <v>30</v>
      </c>
      <c r="B90" s="3502"/>
      <c r="C90" s="1050" t="s">
        <v>1552</v>
      </c>
      <c r="D90" s="1050" t="s">
        <v>1553</v>
      </c>
      <c r="E90" s="1121">
        <v>0.2</v>
      </c>
      <c r="F90" s="1136">
        <v>30</v>
      </c>
    </row>
    <row r="91" spans="1:6" s="1087" customFormat="1" ht="36">
      <c r="A91" s="1136">
        <v>31</v>
      </c>
      <c r="B91" s="3502"/>
      <c r="C91" s="1050" t="s">
        <v>1554</v>
      </c>
      <c r="D91" s="1050" t="s">
        <v>1555</v>
      </c>
      <c r="E91" s="1121">
        <v>0.2</v>
      </c>
      <c r="F91" s="1136">
        <v>30</v>
      </c>
    </row>
    <row r="92" spans="1:6" s="1087" customFormat="1" ht="24">
      <c r="A92" s="1136">
        <v>32</v>
      </c>
      <c r="B92" s="3502" t="s">
        <v>1556</v>
      </c>
      <c r="C92" s="1136" t="s">
        <v>1557</v>
      </c>
      <c r="D92" s="1050" t="s">
        <v>1558</v>
      </c>
      <c r="E92" s="1121">
        <v>0.2</v>
      </c>
      <c r="F92" s="1136">
        <v>30</v>
      </c>
    </row>
    <row r="93" spans="1:6" s="1087" customFormat="1" ht="36">
      <c r="A93" s="1136">
        <v>33</v>
      </c>
      <c r="B93" s="3502"/>
      <c r="C93" s="1136" t="s">
        <v>1559</v>
      </c>
      <c r="D93" s="1050" t="s">
        <v>1560</v>
      </c>
      <c r="E93" s="1121">
        <v>0.2</v>
      </c>
      <c r="F93" s="1136">
        <v>30</v>
      </c>
    </row>
    <row r="94" spans="1:6" s="1087" customFormat="1" ht="48">
      <c r="A94" s="1136">
        <v>34</v>
      </c>
      <c r="B94" s="3502"/>
      <c r="C94" s="1136" t="s">
        <v>1561</v>
      </c>
      <c r="D94" s="1050" t="s">
        <v>1562</v>
      </c>
      <c r="E94" s="1121">
        <v>0.2</v>
      </c>
      <c r="F94" s="1136">
        <v>30</v>
      </c>
    </row>
    <row r="95" spans="1:6" s="1087" customFormat="1" ht="36">
      <c r="A95" s="1136">
        <v>35</v>
      </c>
      <c r="B95" s="3502"/>
      <c r="C95" s="1136" t="s">
        <v>1563</v>
      </c>
      <c r="D95" s="1050" t="s">
        <v>1564</v>
      </c>
      <c r="E95" s="1121">
        <v>0.2</v>
      </c>
      <c r="F95" s="1136">
        <v>30</v>
      </c>
    </row>
    <row r="96" spans="1:6" s="1087" customFormat="1" ht="48">
      <c r="A96" s="1136">
        <v>36</v>
      </c>
      <c r="B96" s="3502"/>
      <c r="C96" s="1050" t="s">
        <v>1565</v>
      </c>
      <c r="D96" s="1050" t="s">
        <v>1566</v>
      </c>
      <c r="E96" s="1121">
        <v>0.2</v>
      </c>
      <c r="F96" s="1136">
        <v>30</v>
      </c>
    </row>
    <row r="97" spans="1:6" s="1087" customFormat="1" ht="36">
      <c r="A97" s="1136">
        <v>37</v>
      </c>
      <c r="B97" s="3502"/>
      <c r="C97" s="1136" t="s">
        <v>1567</v>
      </c>
      <c r="D97" s="1050" t="s">
        <v>1568</v>
      </c>
      <c r="E97" s="1121">
        <v>0.2</v>
      </c>
      <c r="F97" s="1136">
        <v>30</v>
      </c>
    </row>
    <row r="98" spans="1:6" s="1087" customFormat="1" ht="36">
      <c r="A98" s="1136">
        <v>38</v>
      </c>
      <c r="B98" s="3502"/>
      <c r="C98" s="1136" t="s">
        <v>1569</v>
      </c>
      <c r="D98" s="1050" t="s">
        <v>1570</v>
      </c>
      <c r="E98" s="1121">
        <v>0.2</v>
      </c>
      <c r="F98" s="1136">
        <v>30</v>
      </c>
    </row>
    <row r="99" spans="1:6" s="1087" customFormat="1" ht="36">
      <c r="A99" s="1136">
        <v>39</v>
      </c>
      <c r="B99" s="3502" t="s">
        <v>1571</v>
      </c>
      <c r="C99" s="1136" t="s">
        <v>1572</v>
      </c>
      <c r="D99" s="1050" t="s">
        <v>1573</v>
      </c>
      <c r="E99" s="1121">
        <v>0.3</v>
      </c>
      <c r="F99" s="1136">
        <v>50</v>
      </c>
    </row>
    <row r="100" spans="1:6" s="1087" customFormat="1" ht="24">
      <c r="A100" s="1136">
        <v>40</v>
      </c>
      <c r="B100" s="3502"/>
      <c r="C100" s="1136" t="s">
        <v>1574</v>
      </c>
      <c r="D100" s="1050" t="s">
        <v>1575</v>
      </c>
      <c r="E100" s="1121">
        <v>0.2</v>
      </c>
      <c r="F100" s="1136">
        <v>30</v>
      </c>
    </row>
    <row r="101" spans="1:6" s="1087" customFormat="1" ht="36">
      <c r="A101" s="1136">
        <v>41</v>
      </c>
      <c r="B101" s="350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02" t="s">
        <v>1586</v>
      </c>
      <c r="C105" s="1136" t="s">
        <v>1587</v>
      </c>
      <c r="D105" s="1050" t="s">
        <v>1588</v>
      </c>
      <c r="E105" s="1121">
        <v>0.2</v>
      </c>
      <c r="F105" s="1136">
        <v>30</v>
      </c>
    </row>
    <row r="106" spans="1:6" s="1087" customFormat="1" ht="36">
      <c r="A106" s="1136">
        <v>46</v>
      </c>
      <c r="B106" s="3502"/>
      <c r="C106" s="1136" t="s">
        <v>1589</v>
      </c>
      <c r="D106" s="1050" t="s">
        <v>1590</v>
      </c>
      <c r="E106" s="1121">
        <v>0.2</v>
      </c>
      <c r="F106" s="1136">
        <v>30</v>
      </c>
    </row>
    <row r="107" spans="1:6" s="1087" customFormat="1" ht="36">
      <c r="A107" s="1136">
        <v>47</v>
      </c>
      <c r="B107" s="3502" t="s">
        <v>1591</v>
      </c>
      <c r="C107" s="1136" t="s">
        <v>1592</v>
      </c>
      <c r="D107" s="1050" t="s">
        <v>1593</v>
      </c>
      <c r="E107" s="1121">
        <v>0.3</v>
      </c>
      <c r="F107" s="1136">
        <v>50</v>
      </c>
    </row>
    <row r="108" spans="1:6" s="1087" customFormat="1" ht="36">
      <c r="A108" s="1136">
        <v>48</v>
      </c>
      <c r="B108" s="350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02" t="s">
        <v>1602</v>
      </c>
      <c r="C111" s="1136" t="s">
        <v>1603</v>
      </c>
      <c r="D111" s="1050" t="s">
        <v>1604</v>
      </c>
      <c r="E111" s="1121">
        <v>0.2</v>
      </c>
      <c r="F111" s="1136">
        <v>30</v>
      </c>
    </row>
    <row r="112" spans="1:6" s="1087" customFormat="1" ht="24">
      <c r="A112" s="1136">
        <v>52</v>
      </c>
      <c r="B112" s="3502"/>
      <c r="C112" s="1136" t="s">
        <v>1605</v>
      </c>
      <c r="D112" s="1050" t="s">
        <v>1606</v>
      </c>
      <c r="E112" s="1121">
        <v>0.2</v>
      </c>
      <c r="F112" s="1136">
        <v>30</v>
      </c>
    </row>
    <row r="113" spans="1:14" s="1087" customFormat="1" ht="24">
      <c r="A113" s="1136">
        <v>53</v>
      </c>
      <c r="B113" s="350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02" t="s">
        <v>1615</v>
      </c>
      <c r="C116" s="1136" t="s">
        <v>1616</v>
      </c>
      <c r="D116" s="1050" t="s">
        <v>1617</v>
      </c>
      <c r="E116" s="1121">
        <v>0.2</v>
      </c>
      <c r="F116" s="1136">
        <v>30</v>
      </c>
    </row>
    <row r="117" spans="1:14" ht="36">
      <c r="A117" s="1136">
        <v>57</v>
      </c>
      <c r="B117" s="350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01" t="s">
        <v>1624</v>
      </c>
      <c r="B121" s="3501"/>
      <c r="C121" s="3501"/>
      <c r="D121" s="3501"/>
      <c r="E121" s="3501"/>
      <c r="F121" s="3501"/>
      <c r="G121" s="3501"/>
      <c r="H121" s="3501"/>
      <c r="I121" s="3501"/>
      <c r="J121" s="350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6" t="s">
        <v>1030</v>
      </c>
      <c r="B1" s="3556"/>
      <c r="C1" s="3556"/>
      <c r="D1" s="3556"/>
      <c r="E1" s="3556"/>
      <c r="F1" s="355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7" t="s">
        <v>1043</v>
      </c>
      <c r="B2" s="3557"/>
      <c r="C2" s="3557"/>
      <c r="D2" s="3557"/>
      <c r="E2" s="3557"/>
      <c r="F2" s="355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1260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1.2383999999999999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60" t="s">
        <v>2065</v>
      </c>
      <c r="B1" s="3560"/>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1087</v>
      </c>
      <c r="B6" s="1771" t="s">
        <v>2074</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2075</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2076</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2077</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2078</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2079</v>
      </c>
      <c r="C72" s="1781"/>
      <c r="D72" s="1781"/>
      <c r="E72" s="1781"/>
      <c r="F72" s="1773">
        <v>0.05</v>
      </c>
    </row>
    <row r="73" spans="1:6" ht="14.25" thickBot="1">
      <c r="A73" s="1767" t="s">
        <v>916</v>
      </c>
      <c r="B73" s="1771" t="s">
        <v>2080</v>
      </c>
      <c r="C73" s="1781"/>
      <c r="D73" s="1781"/>
      <c r="E73" s="1781"/>
      <c r="F73" s="1773">
        <v>0.05</v>
      </c>
    </row>
    <row r="74" spans="1:6" ht="14.25" thickBot="1">
      <c r="A74" s="1767" t="s">
        <v>916</v>
      </c>
      <c r="B74" s="1771" t="s">
        <v>2081</v>
      </c>
      <c r="C74" s="1781"/>
      <c r="D74" s="1781"/>
      <c r="E74" s="1781"/>
      <c r="F74" s="1773">
        <v>0.05</v>
      </c>
    </row>
    <row r="75" spans="1:6" ht="14.25" thickBot="1">
      <c r="A75" s="1775" t="s">
        <v>916</v>
      </c>
      <c r="B75" s="1782" t="s">
        <v>2082</v>
      </c>
      <c r="C75" s="1778"/>
      <c r="D75" s="1778"/>
      <c r="E75" s="1778"/>
      <c r="F75" s="1783">
        <v>0.05</v>
      </c>
    </row>
    <row r="76" spans="1:6" ht="14.25" thickBot="1">
      <c r="A76" s="1767" t="s">
        <v>1398</v>
      </c>
      <c r="B76" s="1768" t="s">
        <v>2083</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2084</v>
      </c>
      <c r="C102" s="1781"/>
      <c r="D102" s="1781"/>
      <c r="E102" s="1781"/>
      <c r="F102" s="1773">
        <v>0.05</v>
      </c>
    </row>
    <row r="103" spans="1:6" ht="24.75" thickBot="1">
      <c r="A103" s="1767" t="s">
        <v>1398</v>
      </c>
      <c r="B103" s="1771" t="s">
        <v>2085</v>
      </c>
      <c r="C103" s="1781"/>
      <c r="D103" s="1781"/>
      <c r="E103" s="1781"/>
      <c r="F103" s="1773">
        <v>0.05</v>
      </c>
    </row>
    <row r="104" spans="1:6" ht="14.25" thickBot="1">
      <c r="A104" s="1767" t="s">
        <v>1398</v>
      </c>
      <c r="B104" s="1771" t="s">
        <v>2086</v>
      </c>
      <c r="C104" s="1781"/>
      <c r="D104" s="1781"/>
      <c r="E104" s="1781"/>
      <c r="F104" s="1773">
        <v>0.05</v>
      </c>
    </row>
    <row r="105" spans="1:6" ht="14.25" thickBot="1">
      <c r="A105" s="1767" t="s">
        <v>1398</v>
      </c>
      <c r="B105" s="1771" t="s">
        <v>2087</v>
      </c>
      <c r="C105" s="1781"/>
      <c r="D105" s="1781"/>
      <c r="E105" s="1781"/>
      <c r="F105" s="1773">
        <v>0.05</v>
      </c>
    </row>
    <row r="106" spans="1:6" ht="14.25" thickBot="1">
      <c r="A106" s="1767" t="s">
        <v>1398</v>
      </c>
      <c r="B106" s="1771" t="s">
        <v>2088</v>
      </c>
      <c r="C106" s="1781"/>
      <c r="D106" s="1781"/>
      <c r="E106" s="1781"/>
      <c r="F106" s="1773">
        <v>0.05</v>
      </c>
    </row>
    <row r="107" spans="1:6" ht="24.75" thickBot="1">
      <c r="A107" s="1767" t="s">
        <v>1398</v>
      </c>
      <c r="B107" s="1771" t="s">
        <v>2089</v>
      </c>
      <c r="C107" s="1781"/>
      <c r="D107" s="1781"/>
      <c r="E107" s="1781"/>
      <c r="F107" s="1773">
        <v>0.05</v>
      </c>
    </row>
    <row r="108" spans="1:6" ht="24.75" thickBot="1">
      <c r="A108" s="1767" t="s">
        <v>1398</v>
      </c>
      <c r="B108" s="1771" t="s">
        <v>2090</v>
      </c>
      <c r="C108" s="1781"/>
      <c r="D108" s="1781"/>
      <c r="E108" s="1781"/>
      <c r="F108" s="1773">
        <v>0.05</v>
      </c>
    </row>
    <row r="109" spans="1:6" ht="24.75" thickBot="1">
      <c r="A109" s="1775" t="s">
        <v>1398</v>
      </c>
      <c r="B109" s="1782" t="s">
        <v>2091</v>
      </c>
      <c r="C109" s="1778"/>
      <c r="D109" s="1778"/>
      <c r="E109" s="1778"/>
      <c r="F109" s="1783">
        <v>0.05</v>
      </c>
    </row>
    <row r="110" spans="1:6" ht="14.25" thickBot="1">
      <c r="A110" s="1767" t="s">
        <v>1400</v>
      </c>
      <c r="B110" s="1768" t="s">
        <v>2092</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2093</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2094</v>
      </c>
      <c r="C138" s="1772">
        <v>0.105</v>
      </c>
      <c r="D138" s="1772">
        <v>0.125</v>
      </c>
      <c r="E138" s="1772">
        <v>0.112</v>
      </c>
      <c r="F138" s="1780"/>
    </row>
    <row r="139" spans="1:6" ht="14.25" thickBot="1">
      <c r="A139" s="1767" t="s">
        <v>1400</v>
      </c>
      <c r="B139" s="1771" t="s">
        <v>2095</v>
      </c>
      <c r="C139" s="1772">
        <v>0.127</v>
      </c>
      <c r="D139" s="1772">
        <v>0.127</v>
      </c>
      <c r="E139" s="1772">
        <v>0.122</v>
      </c>
      <c r="F139" s="1773">
        <v>0.13</v>
      </c>
    </row>
    <row r="140" spans="1:6" ht="14.25" thickBot="1">
      <c r="A140" s="1767" t="s">
        <v>1400</v>
      </c>
      <c r="B140" s="1771" t="s">
        <v>2096</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2097</v>
      </c>
      <c r="C144" s="1785">
        <v>0.126</v>
      </c>
      <c r="D144" s="1785">
        <v>0.126</v>
      </c>
      <c r="E144" s="1785">
        <v>0.121</v>
      </c>
      <c r="F144" s="1780"/>
    </row>
    <row r="145" spans="1:6" ht="14.25" thickBot="1">
      <c r="A145" s="1775" t="s">
        <v>1400</v>
      </c>
      <c r="B145" s="1786" t="s">
        <v>2098</v>
      </c>
      <c r="C145" s="1787"/>
      <c r="D145" s="1787"/>
      <c r="E145" s="1787"/>
      <c r="F145" s="1788">
        <v>0.05</v>
      </c>
    </row>
    <row r="146" spans="1:6" ht="24.75" thickBot="1">
      <c r="A146" s="1789" t="s">
        <v>1400</v>
      </c>
      <c r="B146" s="1774" t="s">
        <v>2099</v>
      </c>
      <c r="C146" s="1781"/>
      <c r="D146" s="1781"/>
      <c r="E146" s="1781"/>
      <c r="F146" s="1790">
        <v>0.05</v>
      </c>
    </row>
    <row r="147" spans="1:6" ht="24.75" thickBot="1">
      <c r="A147" s="1767" t="s">
        <v>1400</v>
      </c>
      <c r="B147" s="1771" t="s">
        <v>2100</v>
      </c>
      <c r="C147" s="1781"/>
      <c r="D147" s="1781"/>
      <c r="E147" s="1781"/>
      <c r="F147" s="1773">
        <v>0.05</v>
      </c>
    </row>
    <row r="148" spans="1:6" ht="24.75" thickBot="1">
      <c r="A148" s="1767" t="s">
        <v>1400</v>
      </c>
      <c r="B148" s="1771" t="s">
        <v>2101</v>
      </c>
      <c r="C148" s="1781"/>
      <c r="D148" s="1781"/>
      <c r="E148" s="1781"/>
      <c r="F148" s="1773">
        <v>0.05</v>
      </c>
    </row>
    <row r="149" spans="1:6" ht="24.75" thickBot="1">
      <c r="A149" s="1767" t="s">
        <v>1400</v>
      </c>
      <c r="B149" s="1771" t="s">
        <v>2102</v>
      </c>
      <c r="C149" s="1781"/>
      <c r="D149" s="1781"/>
      <c r="E149" s="1781"/>
      <c r="F149" s="1773">
        <v>0.05</v>
      </c>
    </row>
    <row r="150" spans="1:6" ht="24.75" thickBot="1">
      <c r="A150" s="1767" t="s">
        <v>1400</v>
      </c>
      <c r="B150" s="1771" t="s">
        <v>2103</v>
      </c>
      <c r="C150" s="1781"/>
      <c r="D150" s="1781"/>
      <c r="E150" s="1781"/>
      <c r="F150" s="1773">
        <v>0.05</v>
      </c>
    </row>
    <row r="151" spans="1:6" ht="24.75" thickBot="1">
      <c r="A151" s="1767" t="s">
        <v>1400</v>
      </c>
      <c r="B151" s="1771" t="s">
        <v>2104</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2105</v>
      </c>
      <c r="C153" s="1781"/>
      <c r="D153" s="1781"/>
      <c r="E153" s="1781"/>
      <c r="F153" s="1773">
        <v>0.05</v>
      </c>
    </row>
    <row r="154" spans="1:6" ht="14.25" thickBot="1">
      <c r="A154" s="1767" t="s">
        <v>1400</v>
      </c>
      <c r="B154" s="1771" t="s">
        <v>2106</v>
      </c>
      <c r="C154" s="1781"/>
      <c r="D154" s="1781"/>
      <c r="E154" s="1781"/>
      <c r="F154" s="1773">
        <v>0.05</v>
      </c>
    </row>
    <row r="155" spans="1:6" ht="24.75" thickBot="1">
      <c r="A155" s="1767" t="s">
        <v>1400</v>
      </c>
      <c r="B155" s="1771" t="s">
        <v>2107</v>
      </c>
      <c r="C155" s="1781"/>
      <c r="D155" s="1781"/>
      <c r="E155" s="1781"/>
      <c r="F155" s="1773">
        <v>0.05</v>
      </c>
    </row>
    <row r="156" spans="1:6" ht="24.75" thickBot="1">
      <c r="A156" s="1767" t="s">
        <v>1400</v>
      </c>
      <c r="B156" s="1771" t="s">
        <v>2108</v>
      </c>
      <c r="C156" s="1781"/>
      <c r="D156" s="1781"/>
      <c r="E156" s="1781"/>
      <c r="F156" s="1773">
        <v>0.05</v>
      </c>
    </row>
    <row r="157" spans="1:6" ht="14.25" thickBot="1">
      <c r="A157" s="1775" t="s">
        <v>1400</v>
      </c>
      <c r="B157" s="1782" t="s">
        <v>2109</v>
      </c>
      <c r="C157" s="1778"/>
      <c r="D157" s="1778"/>
      <c r="E157" s="1778"/>
      <c r="F157" s="1783">
        <v>0.05</v>
      </c>
    </row>
    <row r="158" spans="1:6" ht="14.25" thickBot="1">
      <c r="A158" s="1767" t="s">
        <v>1402</v>
      </c>
      <c r="B158" s="1768" t="s">
        <v>2110</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2111</v>
      </c>
      <c r="C171" s="1772">
        <v>0.127</v>
      </c>
      <c r="D171" s="1772">
        <v>0.126</v>
      </c>
      <c r="E171" s="1772">
        <v>0.126</v>
      </c>
      <c r="F171" s="1773">
        <v>0.11799999999999999</v>
      </c>
    </row>
    <row r="172" spans="1:6" ht="14.25" thickBot="1">
      <c r="A172" s="1767" t="s">
        <v>1402</v>
      </c>
      <c r="B172" s="1771" t="s">
        <v>2112</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2113</v>
      </c>
      <c r="C174" s="1772">
        <v>0.13</v>
      </c>
      <c r="D174" s="1772">
        <v>0.13</v>
      </c>
      <c r="E174" s="1772">
        <v>0.13</v>
      </c>
      <c r="F174" s="1773">
        <v>0.13</v>
      </c>
    </row>
    <row r="175" spans="1:6" ht="14.25" thickBot="1">
      <c r="A175" s="1767" t="s">
        <v>1402</v>
      </c>
      <c r="B175" s="1771" t="s">
        <v>2114</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2115</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2116</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2117</v>
      </c>
      <c r="C185" s="1772">
        <v>0.127</v>
      </c>
      <c r="D185" s="1772">
        <v>0.127</v>
      </c>
      <c r="E185" s="1772">
        <v>0.128</v>
      </c>
      <c r="F185" s="1773">
        <v>0.13</v>
      </c>
    </row>
    <row r="186" spans="1:6" ht="24.75" thickBot="1">
      <c r="A186" s="1767" t="s">
        <v>1402</v>
      </c>
      <c r="B186" s="1771" t="s">
        <v>2118</v>
      </c>
      <c r="C186" s="1781"/>
      <c r="D186" s="1781"/>
      <c r="E186" s="1781"/>
      <c r="F186" s="1773">
        <v>0.05</v>
      </c>
    </row>
    <row r="187" spans="1:6" ht="14.25" thickBot="1">
      <c r="A187" s="1767" t="s">
        <v>1402</v>
      </c>
      <c r="B187" s="1771" t="s">
        <v>2119</v>
      </c>
      <c r="C187" s="1781"/>
      <c r="D187" s="1781"/>
      <c r="E187" s="1781"/>
      <c r="F187" s="1773">
        <v>0.05</v>
      </c>
    </row>
    <row r="188" spans="1:6" ht="14.25" thickBot="1">
      <c r="A188" s="1767" t="s">
        <v>1402</v>
      </c>
      <c r="B188" s="1771" t="s">
        <v>2120</v>
      </c>
      <c r="C188" s="1781"/>
      <c r="D188" s="1781"/>
      <c r="E188" s="1781"/>
      <c r="F188" s="1773">
        <v>0.05</v>
      </c>
    </row>
    <row r="189" spans="1:6" ht="24.75" thickBot="1">
      <c r="A189" s="1767" t="s">
        <v>1402</v>
      </c>
      <c r="B189" s="1771" t="s">
        <v>2121</v>
      </c>
      <c r="C189" s="1781"/>
      <c r="D189" s="1781"/>
      <c r="E189" s="1781"/>
      <c r="F189" s="1773">
        <v>0.05</v>
      </c>
    </row>
    <row r="190" spans="1:6" ht="24.75" thickBot="1">
      <c r="A190" s="1767" t="s">
        <v>1402</v>
      </c>
      <c r="B190" s="1771" t="s">
        <v>2122</v>
      </c>
      <c r="C190" s="1781"/>
      <c r="D190" s="1781"/>
      <c r="E190" s="1781"/>
      <c r="F190" s="1773">
        <v>0.05</v>
      </c>
    </row>
    <row r="191" spans="1:6" ht="24.75" thickBot="1">
      <c r="A191" s="1767" t="s">
        <v>1402</v>
      </c>
      <c r="B191" s="1771" t="s">
        <v>2123</v>
      </c>
      <c r="C191" s="1781"/>
      <c r="D191" s="1781"/>
      <c r="E191" s="1781"/>
      <c r="F191" s="1773">
        <v>0.05</v>
      </c>
    </row>
    <row r="192" spans="1:6" ht="24.75" thickBot="1">
      <c r="A192" s="1767" t="s">
        <v>1402</v>
      </c>
      <c r="B192" s="1771" t="s">
        <v>2124</v>
      </c>
      <c r="C192" s="1781"/>
      <c r="D192" s="1781"/>
      <c r="E192" s="1781"/>
      <c r="F192" s="1773">
        <v>0.05</v>
      </c>
    </row>
    <row r="193" spans="1:6" ht="24.75" thickBot="1">
      <c r="A193" s="1767" t="s">
        <v>1402</v>
      </c>
      <c r="B193" s="1771" t="s">
        <v>2125</v>
      </c>
      <c r="C193" s="1781"/>
      <c r="D193" s="1781"/>
      <c r="E193" s="1781"/>
      <c r="F193" s="1773">
        <v>0.05</v>
      </c>
    </row>
    <row r="194" spans="1:6" ht="24.75" thickBot="1">
      <c r="A194" s="1767" t="s">
        <v>1402</v>
      </c>
      <c r="B194" s="1771" t="s">
        <v>2126</v>
      </c>
      <c r="C194" s="1781"/>
      <c r="D194" s="1781"/>
      <c r="E194" s="1781"/>
      <c r="F194" s="1773">
        <v>0.05</v>
      </c>
    </row>
    <row r="195" spans="1:6" ht="14.25" thickBot="1">
      <c r="A195" s="1767" t="s">
        <v>1402</v>
      </c>
      <c r="B195" s="1771" t="s">
        <v>2127</v>
      </c>
      <c r="C195" s="1781"/>
      <c r="D195" s="1781"/>
      <c r="E195" s="1781"/>
      <c r="F195" s="1773">
        <v>0.05</v>
      </c>
    </row>
    <row r="196" spans="1:6" ht="24.75" thickBot="1">
      <c r="A196" s="1767" t="s">
        <v>1402</v>
      </c>
      <c r="B196" s="1771" t="s">
        <v>2128</v>
      </c>
      <c r="C196" s="1781"/>
      <c r="D196" s="1781"/>
      <c r="E196" s="1781"/>
      <c r="F196" s="1773">
        <v>0.05</v>
      </c>
    </row>
    <row r="197" spans="1:6" ht="24.75" thickBot="1">
      <c r="A197" s="1767" t="s">
        <v>1402</v>
      </c>
      <c r="B197" s="1771" t="s">
        <v>2129</v>
      </c>
      <c r="C197" s="1781"/>
      <c r="D197" s="1781"/>
      <c r="E197" s="1781"/>
      <c r="F197" s="1773">
        <v>0.05</v>
      </c>
    </row>
    <row r="198" spans="1:6" ht="24.75" thickBot="1">
      <c r="A198" s="1767" t="s">
        <v>1402</v>
      </c>
      <c r="B198" s="1771" t="s">
        <v>2130</v>
      </c>
      <c r="C198" s="1781"/>
      <c r="D198" s="1781"/>
      <c r="E198" s="1781"/>
      <c r="F198" s="1773">
        <v>0.05</v>
      </c>
    </row>
    <row r="199" spans="1:6" ht="24.75" thickBot="1">
      <c r="A199" s="1767" t="s">
        <v>1402</v>
      </c>
      <c r="B199" s="1771" t="s">
        <v>2131</v>
      </c>
      <c r="C199" s="1781"/>
      <c r="D199" s="1781"/>
      <c r="E199" s="1781"/>
      <c r="F199" s="1773">
        <v>0.05</v>
      </c>
    </row>
    <row r="200" spans="1:6" ht="24.75" thickBot="1">
      <c r="A200" s="1767" t="s">
        <v>1402</v>
      </c>
      <c r="B200" s="1771" t="s">
        <v>2132</v>
      </c>
      <c r="C200" s="1781"/>
      <c r="D200" s="1781"/>
      <c r="E200" s="1781"/>
      <c r="F200" s="1773">
        <v>0.05</v>
      </c>
    </row>
    <row r="201" spans="1:6" ht="24.75" thickBot="1">
      <c r="A201" s="1767" t="s">
        <v>1402</v>
      </c>
      <c r="B201" s="1771" t="s">
        <v>2133</v>
      </c>
      <c r="C201" s="1781"/>
      <c r="D201" s="1781"/>
      <c r="E201" s="1781"/>
      <c r="F201" s="1773">
        <v>0.05</v>
      </c>
    </row>
    <row r="202" spans="1:6" ht="24.75" thickBot="1">
      <c r="A202" s="1767" t="s">
        <v>1402</v>
      </c>
      <c r="B202" s="1771" t="s">
        <v>2134</v>
      </c>
      <c r="C202" s="1781"/>
      <c r="D202" s="1781"/>
      <c r="E202" s="1781"/>
      <c r="F202" s="1773">
        <v>0.05</v>
      </c>
    </row>
    <row r="203" spans="1:6" ht="24.75" thickBot="1">
      <c r="A203" s="1767" t="s">
        <v>1402</v>
      </c>
      <c r="B203" s="1771" t="s">
        <v>2135</v>
      </c>
      <c r="C203" s="1781"/>
      <c r="D203" s="1781"/>
      <c r="E203" s="1781"/>
      <c r="F203" s="1773">
        <v>0.05</v>
      </c>
    </row>
    <row r="204" spans="1:6" ht="14.25" thickBot="1">
      <c r="A204" s="1767" t="s">
        <v>1402</v>
      </c>
      <c r="B204" s="1771" t="s">
        <v>2136</v>
      </c>
      <c r="C204" s="1781"/>
      <c r="D204" s="1781"/>
      <c r="E204" s="1781"/>
      <c r="F204" s="1773">
        <v>0.05</v>
      </c>
    </row>
    <row r="205" spans="1:6" ht="14.25" thickBot="1">
      <c r="A205" s="1775" t="s">
        <v>1402</v>
      </c>
      <c r="B205" s="1782" t="s">
        <v>2137</v>
      </c>
      <c r="C205" s="1778"/>
      <c r="D205" s="1778"/>
      <c r="E205" s="1778"/>
      <c r="F205" s="1783">
        <v>0.05</v>
      </c>
    </row>
    <row r="206" spans="1:6" ht="14.25" thickBot="1">
      <c r="A206" s="1767" t="s">
        <v>1404</v>
      </c>
      <c r="B206" s="1768" t="s">
        <v>2138</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2139</v>
      </c>
      <c r="C210" s="1772">
        <v>0.15</v>
      </c>
      <c r="D210" s="1772">
        <v>0.15</v>
      </c>
      <c r="E210" s="1772">
        <v>0.15</v>
      </c>
      <c r="F210" s="1773">
        <v>0.13800000000000001</v>
      </c>
    </row>
    <row r="211" spans="1:6" ht="14.25" thickBot="1">
      <c r="A211" s="1767" t="s">
        <v>1404</v>
      </c>
      <c r="B211" s="1771" t="s">
        <v>2140</v>
      </c>
      <c r="C211" s="1772">
        <v>0.13700000000000001</v>
      </c>
      <c r="D211" s="1772">
        <v>0.13500000000000001</v>
      </c>
      <c r="E211" s="1772">
        <v>0.13600000000000001</v>
      </c>
      <c r="F211" s="1773">
        <v>0.1</v>
      </c>
    </row>
    <row r="212" spans="1:6" ht="14.25" thickBot="1">
      <c r="A212" s="1767" t="s">
        <v>1404</v>
      </c>
      <c r="B212" s="1771" t="s">
        <v>2141</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2142</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2143</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2144</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2145</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2146</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2147</v>
      </c>
      <c r="C231" s="1772">
        <v>0.128</v>
      </c>
      <c r="D231" s="1772">
        <v>0.125</v>
      </c>
      <c r="E231" s="1772">
        <v>0.13200000000000001</v>
      </c>
      <c r="F231" s="1780"/>
    </row>
    <row r="232" spans="1:6" ht="14.25" thickBot="1">
      <c r="A232" s="1767" t="s">
        <v>1404</v>
      </c>
      <c r="B232" s="1771" t="s">
        <v>2148</v>
      </c>
      <c r="C232" s="1772">
        <v>0.14499999999999999</v>
      </c>
      <c r="D232" s="1772">
        <v>0.14399999999999999</v>
      </c>
      <c r="E232" s="1772">
        <v>0.14599999999999999</v>
      </c>
      <c r="F232" s="1773">
        <v>0.13800000000000001</v>
      </c>
    </row>
    <row r="233" spans="1:6" ht="14.25" thickBot="1">
      <c r="A233" s="1767" t="s">
        <v>1404</v>
      </c>
      <c r="B233" s="1771" t="s">
        <v>2149</v>
      </c>
      <c r="C233" s="1772">
        <v>0.14499999999999999</v>
      </c>
      <c r="D233" s="1772">
        <v>0.14299999999999999</v>
      </c>
      <c r="E233" s="1772">
        <v>0.14199999999999999</v>
      </c>
      <c r="F233" s="1780"/>
    </row>
    <row r="234" spans="1:6" ht="14.25" thickBot="1">
      <c r="A234" s="1767" t="s">
        <v>1404</v>
      </c>
      <c r="B234" s="1771" t="s">
        <v>2150</v>
      </c>
      <c r="C234" s="1772">
        <v>0.14000000000000001</v>
      </c>
      <c r="D234" s="1772">
        <v>0.14000000000000001</v>
      </c>
      <c r="E234" s="1772">
        <v>0.14399999999999999</v>
      </c>
      <c r="F234" s="1780"/>
    </row>
    <row r="235" spans="1:6" ht="14.25" thickBot="1">
      <c r="A235" s="1767" t="s">
        <v>1404</v>
      </c>
      <c r="B235" s="1771" t="s">
        <v>2151</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2152</v>
      </c>
      <c r="C237" s="1781"/>
      <c r="D237" s="1781"/>
      <c r="E237" s="1781"/>
      <c r="F237" s="1773">
        <v>0.05</v>
      </c>
    </row>
    <row r="238" spans="1:6" ht="24.75" thickBot="1">
      <c r="A238" s="1767" t="s">
        <v>1404</v>
      </c>
      <c r="B238" s="1771" t="s">
        <v>2153</v>
      </c>
      <c r="C238" s="1781"/>
      <c r="D238" s="1781"/>
      <c r="E238" s="1781"/>
      <c r="F238" s="1773">
        <v>0.05</v>
      </c>
    </row>
    <row r="239" spans="1:6" ht="24.75" thickBot="1">
      <c r="A239" s="1767" t="s">
        <v>1404</v>
      </c>
      <c r="B239" s="1771" t="s">
        <v>2154</v>
      </c>
      <c r="C239" s="1781"/>
      <c r="D239" s="1781"/>
      <c r="E239" s="1781"/>
      <c r="F239" s="1773">
        <v>0.05</v>
      </c>
    </row>
    <row r="240" spans="1:6" ht="24.75" thickBot="1">
      <c r="A240" s="1767" t="s">
        <v>1404</v>
      </c>
      <c r="B240" s="1771" t="s">
        <v>2155</v>
      </c>
      <c r="C240" s="1781"/>
      <c r="D240" s="1781"/>
      <c r="E240" s="1781"/>
      <c r="F240" s="1773">
        <v>0.05</v>
      </c>
    </row>
    <row r="241" spans="1:6" ht="24.75" thickBot="1">
      <c r="A241" s="1767" t="s">
        <v>1404</v>
      </c>
      <c r="B241" s="1771" t="s">
        <v>2156</v>
      </c>
      <c r="C241" s="1781"/>
      <c r="D241" s="1781"/>
      <c r="E241" s="1781"/>
      <c r="F241" s="1773">
        <v>0.05</v>
      </c>
    </row>
    <row r="242" spans="1:6" ht="24.75" thickBot="1">
      <c r="A242" s="1767" t="s">
        <v>1404</v>
      </c>
      <c r="B242" s="1771" t="s">
        <v>2157</v>
      </c>
      <c r="C242" s="1781"/>
      <c r="D242" s="1781"/>
      <c r="E242" s="1781"/>
      <c r="F242" s="1773">
        <v>0.05</v>
      </c>
    </row>
    <row r="243" spans="1:6" ht="24.75" thickBot="1">
      <c r="A243" s="1767" t="s">
        <v>1404</v>
      </c>
      <c r="B243" s="1771" t="s">
        <v>2158</v>
      </c>
      <c r="C243" s="1781"/>
      <c r="D243" s="1781"/>
      <c r="E243" s="1781"/>
      <c r="F243" s="1773">
        <v>0.05</v>
      </c>
    </row>
    <row r="244" spans="1:6" ht="24.75" thickBot="1">
      <c r="A244" s="1775" t="s">
        <v>1404</v>
      </c>
      <c r="B244" s="1782" t="s">
        <v>2159</v>
      </c>
      <c r="C244" s="1778"/>
      <c r="D244" s="1778"/>
      <c r="E244" s="1778"/>
      <c r="F244" s="1783">
        <v>0.05</v>
      </c>
    </row>
    <row r="245" spans="1:6" ht="14.25" thickBot="1">
      <c r="A245" s="1767" t="s">
        <v>1406</v>
      </c>
      <c r="B245" s="1768" t="s">
        <v>2160</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2161</v>
      </c>
      <c r="C247" s="1772">
        <v>0.15</v>
      </c>
      <c r="D247" s="1772">
        <v>0.15</v>
      </c>
      <c r="E247" s="1772">
        <v>0.15</v>
      </c>
      <c r="F247" s="1773">
        <v>0.15</v>
      </c>
    </row>
    <row r="248" spans="1:6" ht="14.25" thickBot="1">
      <c r="A248" s="1767" t="s">
        <v>1406</v>
      </c>
      <c r="B248" s="1771" t="s">
        <v>2162</v>
      </c>
      <c r="C248" s="1772">
        <v>0.15</v>
      </c>
      <c r="D248" s="1772">
        <v>0.15</v>
      </c>
      <c r="E248" s="1772">
        <v>0.15</v>
      </c>
      <c r="F248" s="1773">
        <v>0.14000000000000001</v>
      </c>
    </row>
    <row r="249" spans="1:6" ht="14.25" thickBot="1">
      <c r="A249" s="1767" t="s">
        <v>1406</v>
      </c>
      <c r="B249" s="1771" t="s">
        <v>2163</v>
      </c>
      <c r="C249" s="1772">
        <v>0.15</v>
      </c>
      <c r="D249" s="1772">
        <v>0.14899999999999999</v>
      </c>
      <c r="E249" s="1772">
        <v>0.15</v>
      </c>
      <c r="F249" s="1773">
        <v>0.1</v>
      </c>
    </row>
    <row r="250" spans="1:6" ht="14.25" thickBot="1">
      <c r="A250" s="1767" t="s">
        <v>1406</v>
      </c>
      <c r="B250" s="1771" t="s">
        <v>2164</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2165</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2166</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2167</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2168</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2169</v>
      </c>
      <c r="C273" s="1772">
        <v>0.14199999999999999</v>
      </c>
      <c r="D273" s="1772">
        <v>0.14299999999999999</v>
      </c>
      <c r="E273" s="1772">
        <v>0.15</v>
      </c>
      <c r="F273" s="1773">
        <v>0.1</v>
      </c>
    </row>
    <row r="274" spans="1:6" ht="14.25" thickBot="1">
      <c r="A274" s="1767" t="s">
        <v>1406</v>
      </c>
      <c r="B274" s="1771" t="s">
        <v>2170</v>
      </c>
      <c r="C274" s="1772">
        <v>0.14799999999999999</v>
      </c>
      <c r="D274" s="1772">
        <v>0.14799999999999999</v>
      </c>
      <c r="E274" s="1772">
        <v>0.15</v>
      </c>
      <c r="F274" s="1773">
        <v>6.7000000000000004E-2</v>
      </c>
    </row>
    <row r="275" spans="1:6" ht="14.25" thickBot="1">
      <c r="A275" s="1767" t="s">
        <v>1406</v>
      </c>
      <c r="B275" s="1771" t="s">
        <v>2171</v>
      </c>
      <c r="C275" s="1772">
        <v>0.15</v>
      </c>
      <c r="D275" s="1772">
        <v>0.15</v>
      </c>
      <c r="E275" s="1772">
        <v>0.15</v>
      </c>
      <c r="F275" s="1773">
        <v>0.15</v>
      </c>
    </row>
    <row r="276" spans="1:6" ht="14.25" thickBot="1">
      <c r="A276" s="1767" t="s">
        <v>1406</v>
      </c>
      <c r="B276" s="1771" t="s">
        <v>2172</v>
      </c>
      <c r="C276" s="1772">
        <v>0.14499999999999999</v>
      </c>
      <c r="D276" s="1772">
        <v>0.14299999999999999</v>
      </c>
      <c r="E276" s="1772">
        <v>0.15</v>
      </c>
      <c r="F276" s="1773">
        <v>5.8999999999999997E-2</v>
      </c>
    </row>
    <row r="277" spans="1:6" ht="14.25" thickBot="1">
      <c r="A277" s="1767" t="s">
        <v>1406</v>
      </c>
      <c r="B277" s="1771" t="s">
        <v>2173</v>
      </c>
      <c r="C277" s="1772">
        <v>0.15</v>
      </c>
      <c r="D277" s="1772">
        <v>0.15</v>
      </c>
      <c r="E277" s="1772">
        <v>0.15</v>
      </c>
      <c r="F277" s="1773">
        <v>0.121</v>
      </c>
    </row>
    <row r="278" spans="1:6" ht="14.25" thickBot="1">
      <c r="A278" s="1767" t="s">
        <v>1406</v>
      </c>
      <c r="B278" s="1771" t="s">
        <v>2174</v>
      </c>
      <c r="C278" s="1772">
        <v>0.15</v>
      </c>
      <c r="D278" s="1772">
        <v>0.15</v>
      </c>
      <c r="E278" s="1772">
        <v>0.15</v>
      </c>
      <c r="F278" s="1773">
        <v>0.13800000000000001</v>
      </c>
    </row>
    <row r="279" spans="1:6" ht="24.75" thickBot="1">
      <c r="A279" s="1767" t="s">
        <v>1406</v>
      </c>
      <c r="B279" s="1771" t="s">
        <v>2175</v>
      </c>
      <c r="C279" s="1781"/>
      <c r="D279" s="1781"/>
      <c r="E279" s="1781"/>
      <c r="F279" s="1773">
        <v>0.05</v>
      </c>
    </row>
    <row r="280" spans="1:6" ht="24.75" thickBot="1">
      <c r="A280" s="1767" t="s">
        <v>1406</v>
      </c>
      <c r="B280" s="1771" t="s">
        <v>2176</v>
      </c>
      <c r="C280" s="1781"/>
      <c r="D280" s="1781"/>
      <c r="E280" s="1781"/>
      <c r="F280" s="1773">
        <v>0.05</v>
      </c>
    </row>
    <row r="281" spans="1:6" ht="24.75" thickBot="1">
      <c r="A281" s="1767" t="s">
        <v>1406</v>
      </c>
      <c r="B281" s="1771" t="s">
        <v>2177</v>
      </c>
      <c r="C281" s="1781"/>
      <c r="D281" s="1781"/>
      <c r="E281" s="1781"/>
      <c r="F281" s="1773">
        <v>0.05</v>
      </c>
    </row>
    <row r="282" spans="1:6" ht="24.75" thickBot="1">
      <c r="A282" s="1767" t="s">
        <v>1406</v>
      </c>
      <c r="B282" s="1771" t="s">
        <v>2178</v>
      </c>
      <c r="C282" s="1781"/>
      <c r="D282" s="1781"/>
      <c r="E282" s="1781"/>
      <c r="F282" s="1773">
        <v>0.05</v>
      </c>
    </row>
    <row r="283" spans="1:6" ht="24.75" thickBot="1">
      <c r="A283" s="1767" t="s">
        <v>1406</v>
      </c>
      <c r="B283" s="1771" t="s">
        <v>2179</v>
      </c>
      <c r="C283" s="1781"/>
      <c r="D283" s="1781"/>
      <c r="E283" s="1781"/>
      <c r="F283" s="1773">
        <v>0.05</v>
      </c>
    </row>
    <row r="284" spans="1:6" ht="24.75" thickBot="1">
      <c r="A284" s="1767" t="s">
        <v>1406</v>
      </c>
      <c r="B284" s="1771" t="s">
        <v>2180</v>
      </c>
      <c r="C284" s="1781"/>
      <c r="D284" s="1781"/>
      <c r="E284" s="1781"/>
      <c r="F284" s="1773">
        <v>0.05</v>
      </c>
    </row>
    <row r="285" spans="1:6" ht="24.75" thickBot="1">
      <c r="A285" s="1767" t="s">
        <v>1406</v>
      </c>
      <c r="B285" s="1771" t="s">
        <v>2181</v>
      </c>
      <c r="C285" s="1781"/>
      <c r="D285" s="1781"/>
      <c r="E285" s="1781"/>
      <c r="F285" s="1773">
        <v>0.05</v>
      </c>
    </row>
    <row r="286" spans="1:6" ht="24.75" thickBot="1">
      <c r="A286" s="1767" t="s">
        <v>1406</v>
      </c>
      <c r="B286" s="1771" t="s">
        <v>2182</v>
      </c>
      <c r="C286" s="1781"/>
      <c r="D286" s="1781"/>
      <c r="E286" s="1781"/>
      <c r="F286" s="1773">
        <v>0.05</v>
      </c>
    </row>
    <row r="287" spans="1:6" ht="24.75" thickBot="1">
      <c r="A287" s="1767" t="s">
        <v>1406</v>
      </c>
      <c r="B287" s="1771" t="s">
        <v>2183</v>
      </c>
      <c r="C287" s="1781"/>
      <c r="D287" s="1781"/>
      <c r="E287" s="1781"/>
      <c r="F287" s="1773">
        <v>0.05</v>
      </c>
    </row>
    <row r="288" spans="1:6" ht="24.75" thickBot="1">
      <c r="A288" s="1767" t="s">
        <v>1406</v>
      </c>
      <c r="B288" s="1771" t="s">
        <v>2184</v>
      </c>
      <c r="C288" s="1781"/>
      <c r="D288" s="1781"/>
      <c r="E288" s="1781"/>
      <c r="F288" s="1773">
        <v>0.05</v>
      </c>
    </row>
    <row r="289" spans="1:6" ht="24.75" thickBot="1">
      <c r="A289" s="1775" t="s">
        <v>1406</v>
      </c>
      <c r="B289" s="1782" t="s">
        <v>2185</v>
      </c>
      <c r="C289" s="1778"/>
      <c r="D289" s="1778"/>
      <c r="E289" s="1778"/>
      <c r="F289" s="1783">
        <v>0.05</v>
      </c>
    </row>
    <row r="290" spans="1:6" ht="14.25" thickBot="1">
      <c r="A290" s="1767" t="s">
        <v>1410</v>
      </c>
      <c r="B290" s="1768" t="s">
        <v>2186</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2187</v>
      </c>
      <c r="C292" s="1772">
        <v>0.15</v>
      </c>
      <c r="D292" s="1772">
        <v>0.15</v>
      </c>
      <c r="E292" s="1772">
        <v>0.15</v>
      </c>
      <c r="F292" s="1773">
        <v>0.14699999999999999</v>
      </c>
    </row>
    <row r="293" spans="1:6" ht="14.25" thickBot="1">
      <c r="A293" s="1767" t="s">
        <v>1410</v>
      </c>
      <c r="B293" s="1771" t="s">
        <v>2188</v>
      </c>
      <c r="C293" s="1781"/>
      <c r="D293" s="1781"/>
      <c r="E293" s="1781"/>
      <c r="F293" s="1773">
        <v>0.1</v>
      </c>
    </row>
    <row r="294" spans="1:6" ht="14.25" thickBot="1">
      <c r="A294" s="1767" t="s">
        <v>1410</v>
      </c>
      <c r="B294" s="1771" t="s">
        <v>2189</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2190</v>
      </c>
      <c r="C296" s="1772">
        <v>0.15</v>
      </c>
      <c r="D296" s="1772">
        <v>0.15</v>
      </c>
      <c r="E296" s="1772">
        <v>0.15</v>
      </c>
      <c r="F296" s="1773">
        <v>0.15</v>
      </c>
    </row>
    <row r="297" spans="1:6" ht="14.25" thickBot="1">
      <c r="A297" s="1767" t="s">
        <v>1410</v>
      </c>
      <c r="B297" s="1771" t="s">
        <v>2191</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2192</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2193</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2194</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2195</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2196</v>
      </c>
      <c r="C310" s="1772">
        <v>0.15</v>
      </c>
      <c r="D310" s="1772">
        <v>0.15</v>
      </c>
      <c r="E310" s="1772">
        <v>0.15</v>
      </c>
      <c r="F310" s="1773">
        <v>0.13700000000000001</v>
      </c>
    </row>
    <row r="311" spans="1:6" ht="14.25" thickBot="1">
      <c r="A311" s="1767" t="s">
        <v>1410</v>
      </c>
      <c r="B311" s="1771" t="s">
        <v>2197</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2198</v>
      </c>
      <c r="C313" s="1772">
        <v>0.15</v>
      </c>
      <c r="D313" s="1772">
        <v>0.15</v>
      </c>
      <c r="E313" s="1772">
        <v>0.15</v>
      </c>
      <c r="F313" s="1773">
        <v>0.15</v>
      </c>
    </row>
    <row r="314" spans="1:6" ht="24.75" thickBot="1">
      <c r="A314" s="1767" t="s">
        <v>1410</v>
      </c>
      <c r="B314" s="1771" t="s">
        <v>2199</v>
      </c>
      <c r="C314" s="1781"/>
      <c r="D314" s="1781"/>
      <c r="E314" s="1781"/>
      <c r="F314" s="1773">
        <v>0.05</v>
      </c>
    </row>
    <row r="315" spans="1:6" ht="24.75" thickBot="1">
      <c r="A315" s="1767" t="s">
        <v>1410</v>
      </c>
      <c r="B315" s="1771" t="s">
        <v>2200</v>
      </c>
      <c r="C315" s="1781"/>
      <c r="D315" s="1781"/>
      <c r="E315" s="1781"/>
      <c r="F315" s="1773">
        <v>0.05</v>
      </c>
    </row>
    <row r="316" spans="1:6" ht="24.75" thickBot="1">
      <c r="A316" s="1775" t="s">
        <v>1410</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1098</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1167</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1187</v>
      </c>
      <c r="C328" s="1772">
        <v>0.15</v>
      </c>
      <c r="D328" s="1772">
        <v>0.15</v>
      </c>
      <c r="E328" s="1772">
        <v>0.15</v>
      </c>
      <c r="F328" s="1773">
        <v>0.14099999999999999</v>
      </c>
    </row>
    <row r="329" spans="1:6" ht="14.25" thickBot="1">
      <c r="A329" s="1767" t="s">
        <v>2202</v>
      </c>
      <c r="B329" s="1771" t="s">
        <v>1197</v>
      </c>
      <c r="C329" s="1772">
        <v>0.15</v>
      </c>
      <c r="D329" s="1772">
        <v>0.15</v>
      </c>
      <c r="E329" s="1772">
        <v>0.15</v>
      </c>
      <c r="F329" s="1773">
        <v>0.15</v>
      </c>
    </row>
    <row r="330" spans="1:6" ht="14.25" thickBot="1">
      <c r="A330" s="1767" t="s">
        <v>2202</v>
      </c>
      <c r="B330" s="1771" t="s">
        <v>1207</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1227</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1247</v>
      </c>
      <c r="C334" s="1772">
        <v>0.15</v>
      </c>
      <c r="D334" s="1772">
        <v>0.15</v>
      </c>
      <c r="E334" s="1772">
        <v>0.15</v>
      </c>
      <c r="F334" s="1773">
        <v>0.15</v>
      </c>
    </row>
    <row r="335" spans="1:6" ht="14.25" thickBot="1">
      <c r="A335" s="1767" t="s">
        <v>2202</v>
      </c>
      <c r="B335" s="1771" t="s">
        <v>1257</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1275</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7" sqref="J7:J33"/>
    </sheetView>
  </sheetViews>
  <sheetFormatPr defaultColWidth="9" defaultRowHeight="12.75"/>
  <cols>
    <col min="1" max="6" width="9" style="2871"/>
    <col min="7" max="7" width="9" style="2877"/>
    <col min="8" max="13" width="9" style="2871"/>
    <col min="14" max="14" width="9" style="2877"/>
    <col min="15" max="18" width="9" style="2871"/>
    <col min="19" max="19" width="9" style="2877"/>
    <col min="20" max="16384" width="9" style="2871"/>
  </cols>
  <sheetData>
    <row r="1" spans="1:34">
      <c r="A1" s="3183"/>
      <c r="B1" s="3571" t="s">
        <v>2554</v>
      </c>
      <c r="C1" s="3571"/>
      <c r="D1" s="3571"/>
      <c r="E1" s="3571"/>
      <c r="F1" s="3571"/>
      <c r="G1" s="3568" t="s">
        <v>2555</v>
      </c>
      <c r="H1" s="3568"/>
      <c r="I1" s="3568"/>
      <c r="J1" s="3568"/>
      <c r="K1" s="3568"/>
      <c r="L1" s="3568"/>
      <c r="M1" s="3183"/>
      <c r="N1" s="3568" t="s">
        <v>2556</v>
      </c>
      <c r="O1" s="3568"/>
      <c r="P1" s="3568"/>
      <c r="Q1" s="3568"/>
      <c r="R1" s="3183"/>
      <c r="S1" s="3568" t="s">
        <v>2557</v>
      </c>
      <c r="T1" s="3568"/>
      <c r="U1" s="3568"/>
      <c r="V1" s="3568"/>
      <c r="W1" s="3183"/>
      <c r="X1" s="3567" t="s">
        <v>2595</v>
      </c>
      <c r="Y1" s="3568"/>
      <c r="Z1" s="3568"/>
      <c r="AA1" s="3568"/>
      <c r="AB1" s="3568"/>
      <c r="AC1" s="3183"/>
      <c r="AD1" s="3567" t="s">
        <v>2599</v>
      </c>
      <c r="AE1" s="3568"/>
      <c r="AF1" s="3568"/>
      <c r="AG1" s="3568"/>
      <c r="AH1" s="3568"/>
    </row>
    <row r="2" spans="1:34" ht="14.25" thickBot="1">
      <c r="A2" s="3184"/>
      <c r="B2" s="2861" t="s">
        <v>2558</v>
      </c>
      <c r="C2" s="2861" t="s">
        <v>2597</v>
      </c>
      <c r="D2" s="2862" t="s">
        <v>1635</v>
      </c>
      <c r="E2" s="2862" t="s">
        <v>1938</v>
      </c>
      <c r="F2" s="2861" t="s">
        <v>2598</v>
      </c>
      <c r="G2" s="3185"/>
      <c r="H2" s="3184"/>
      <c r="I2" s="2861" t="s">
        <v>2558</v>
      </c>
      <c r="J2" s="2862" t="s">
        <v>2893</v>
      </c>
      <c r="K2" s="2862" t="s">
        <v>1938</v>
      </c>
      <c r="L2" s="2861" t="s">
        <v>2598</v>
      </c>
      <c r="M2" s="3184"/>
      <c r="N2" s="2861" t="s">
        <v>2558</v>
      </c>
      <c r="O2" s="2862" t="s">
        <v>2893</v>
      </c>
      <c r="P2" s="2862" t="s">
        <v>1938</v>
      </c>
      <c r="Q2" s="2861" t="s">
        <v>2598</v>
      </c>
      <c r="R2" s="3184"/>
      <c r="S2" s="2861" t="s">
        <v>2558</v>
      </c>
      <c r="T2" s="2862" t="s">
        <v>2893</v>
      </c>
      <c r="U2" s="2862" t="s">
        <v>1938</v>
      </c>
      <c r="V2" s="2861" t="s">
        <v>2598</v>
      </c>
      <c r="W2" s="3184"/>
      <c r="X2" s="2861" t="s">
        <v>2558</v>
      </c>
      <c r="Y2" s="2861" t="s">
        <v>2597</v>
      </c>
      <c r="Z2" s="2862" t="s">
        <v>1635</v>
      </c>
      <c r="AA2" s="2862" t="s">
        <v>1938</v>
      </c>
      <c r="AB2" s="2861" t="s">
        <v>2598</v>
      </c>
      <c r="AC2" s="3184"/>
      <c r="AD2" s="2861" t="s">
        <v>2558</v>
      </c>
      <c r="AE2" s="2861" t="s">
        <v>2597</v>
      </c>
      <c r="AF2" s="2862" t="s">
        <v>1635</v>
      </c>
      <c r="AG2" s="2862" t="s">
        <v>1938</v>
      </c>
      <c r="AH2" s="2861" t="s">
        <v>2598</v>
      </c>
    </row>
    <row r="3" spans="1:34" ht="14.25">
      <c r="A3" s="2863" t="s">
        <v>2900</v>
      </c>
      <c r="B3" s="2864"/>
      <c r="C3" s="2864"/>
      <c r="D3" s="2865"/>
      <c r="E3" s="2865"/>
      <c r="F3" s="2864"/>
      <c r="G3" s="3186"/>
      <c r="H3" s="3187"/>
      <c r="I3" s="2866">
        <f>ROUND(AVERAGE($I4:$I33),2)</f>
        <v>1.68</v>
      </c>
      <c r="J3" s="2866">
        <f>ROUND(AVERAGE($J4:$J33),2)</f>
        <v>1.1000000000000001</v>
      </c>
      <c r="K3" s="2866">
        <f>ROUND(AVERAGE($K4:$K33),2)</f>
        <v>1.85</v>
      </c>
      <c r="L3" s="2866">
        <f>ROUND(AVERAGE($L4:$L33),2)</f>
        <v>1.19</v>
      </c>
      <c r="M3" s="3188"/>
      <c r="N3" s="3186"/>
      <c r="O3" s="3188"/>
      <c r="P3" s="3188"/>
      <c r="Q3" s="3188"/>
      <c r="R3" s="3188"/>
      <c r="S3" s="3186"/>
      <c r="T3" s="3188"/>
      <c r="U3" s="3188"/>
      <c r="V3" s="3188"/>
      <c r="W3" s="2867"/>
      <c r="X3" s="3189">
        <f>ROUND(SUMPRODUCT(PRODUCT(1+N3:N$32)),4)</f>
        <v>1.571</v>
      </c>
      <c r="Y3" s="3189">
        <f>ROUND(SUMPRODUCT(PRODUCT(1+O3:O$32)),4)</f>
        <v>1.3420000000000001</v>
      </c>
      <c r="Z3" s="3189">
        <f t="shared" ref="Z3:Z32" si="0">Y3</f>
        <v>1.3420000000000001</v>
      </c>
      <c r="AA3" s="3189">
        <f>ROUND(SUMPRODUCT(PRODUCT(1+P3:P$32)),4)</f>
        <v>1.6415999999999999</v>
      </c>
      <c r="AB3" s="3189">
        <f>ROUND(SUMPRODUCT(PRODUCT(1+Q3:Q$32)),4)</f>
        <v>1.389</v>
      </c>
      <c r="AC3" s="3188"/>
      <c r="AD3" s="3190">
        <f>ROUND(AVERAGE(I3:I$33)/100,4)</f>
        <v>1.6799999999999999E-2</v>
      </c>
      <c r="AE3" s="3190">
        <f>ROUND(AVERAGE(J3:J$33)/100,4)</f>
        <v>1.0999999999999999E-2</v>
      </c>
      <c r="AF3" s="3190">
        <f t="shared" ref="AF3:AF32" si="1">AE3</f>
        <v>1.0999999999999999E-2</v>
      </c>
      <c r="AG3" s="3190">
        <f>ROUND(AVERAGE(K3:K$33)/100,4)</f>
        <v>1.8499999999999999E-2</v>
      </c>
      <c r="AH3" s="3190">
        <f>ROUND(AVERAGE(L3:L$33)/100,4)</f>
        <v>1.1900000000000001E-2</v>
      </c>
    </row>
    <row r="4" spans="1:34" ht="14.25">
      <c r="A4" s="2870"/>
      <c r="B4" s="2868"/>
      <c r="C4" s="2868"/>
      <c r="D4" s="2869"/>
      <c r="E4" s="2869"/>
      <c r="F4" s="2868"/>
      <c r="G4" s="3191"/>
      <c r="H4" s="3192"/>
      <c r="I4" s="3193"/>
      <c r="J4" s="3193"/>
      <c r="K4" s="3193"/>
      <c r="L4" s="3193"/>
      <c r="M4" s="2870"/>
      <c r="N4" s="3191"/>
      <c r="O4" s="2870"/>
      <c r="P4" s="2870"/>
      <c r="Q4" s="2870"/>
      <c r="R4" s="2870"/>
      <c r="S4" s="3191"/>
      <c r="T4" s="2870"/>
      <c r="U4" s="2870"/>
      <c r="V4" s="2870"/>
      <c r="W4" s="2870"/>
      <c r="X4" s="3194"/>
      <c r="Y4" s="3194"/>
      <c r="Z4" s="3194"/>
      <c r="AA4" s="3194"/>
      <c r="AB4" s="3194"/>
      <c r="AC4" s="2870"/>
      <c r="AD4" s="3195"/>
      <c r="AE4" s="3195"/>
      <c r="AF4" s="3195"/>
      <c r="AG4" s="3195"/>
      <c r="AH4" s="3195"/>
    </row>
    <row r="5" spans="1:34">
      <c r="A5" s="3196" t="s">
        <v>3180</v>
      </c>
      <c r="B5" s="3197">
        <f t="shared" ref="B5:C17" si="2">B6*(1+N5)</f>
        <v>483.1434279321756</v>
      </c>
      <c r="C5" s="3197">
        <f t="shared" si="2"/>
        <v>345.93622669144776</v>
      </c>
      <c r="D5" s="3197">
        <f t="shared" ref="D5:D68" si="3">C5</f>
        <v>345.93622669144776</v>
      </c>
      <c r="E5" s="3197">
        <f t="shared" ref="E5:F17" si="4">E6*(1+P5)</f>
        <v>694.24498562544113</v>
      </c>
      <c r="F5" s="3197">
        <f t="shared" si="4"/>
        <v>319.35475932716082</v>
      </c>
      <c r="G5" s="3191">
        <v>2021</v>
      </c>
      <c r="H5" s="3198">
        <v>1</v>
      </c>
      <c r="I5" s="3199">
        <v>0</v>
      </c>
      <c r="J5" s="3199">
        <v>0</v>
      </c>
      <c r="K5" s="3199">
        <v>0</v>
      </c>
      <c r="L5" s="3199">
        <v>0</v>
      </c>
      <c r="M5" s="3200"/>
      <c r="N5" s="3201">
        <f t="shared" ref="N5:Q20" si="5">I5/100</f>
        <v>0</v>
      </c>
      <c r="O5" s="3201">
        <f t="shared" si="5"/>
        <v>0</v>
      </c>
      <c r="P5" s="3201">
        <f t="shared" si="5"/>
        <v>0</v>
      </c>
      <c r="Q5" s="3201">
        <f t="shared" si="5"/>
        <v>0</v>
      </c>
      <c r="R5" s="3200"/>
      <c r="S5" s="3202">
        <f>B5/B6-1</f>
        <v>0</v>
      </c>
      <c r="T5" s="3200">
        <f>C5/C6-1</f>
        <v>0</v>
      </c>
      <c r="U5" s="3200">
        <f>E5/E6-1</f>
        <v>0</v>
      </c>
      <c r="V5" s="3200">
        <f>F5/F6-1</f>
        <v>0</v>
      </c>
      <c r="W5" s="2872" t="s">
        <v>2901</v>
      </c>
      <c r="X5" s="3203">
        <f>ROUND(IF([6]项目基本情况!B5="出让",SUMPRODUCT(PRODUCT(1+N5:N$33)),SUMPRODUCT(PRODUCT(1+N5:N$32))),4)</f>
        <v>1.571</v>
      </c>
      <c r="Y5" s="3203">
        <f>ROUND(IF([6]项目基本情况!B5="出让",SUMPRODUCT(PRODUCT(1+O5:O$33)),SUMPRODUCT(PRODUCT(1+O5:O$32))),4)</f>
        <v>1.3420000000000001</v>
      </c>
      <c r="Z5" s="3203">
        <f t="shared" ref="Z5:Z17" si="6">Y5</f>
        <v>1.3420000000000001</v>
      </c>
      <c r="AA5" s="3203">
        <f>ROUND(IF([6]项目基本情况!B5="出让",SUMPRODUCT(PRODUCT(1+P5:P$33)),SUMPRODUCT(PRODUCT(1+P5:P$32))),4)</f>
        <v>1.6415999999999999</v>
      </c>
      <c r="AB5" s="3203">
        <f>ROUND(IF([6]项目基本情况!B5="出让",SUMPRODUCT(PRODUCT(1+Q5:Q$33)),SUMPRODUCT(PRODUCT(1+Q5:Q$32))),4)</f>
        <v>1.389</v>
      </c>
      <c r="AC5" s="3200"/>
      <c r="AD5" s="3204">
        <f>ROUND(AVERAGE(I5:I$33)/100,4)</f>
        <v>1.6799999999999999E-2</v>
      </c>
      <c r="AE5" s="3204">
        <f>ROUND(AVERAGE(J5:J$33)/100,4)</f>
        <v>1.0999999999999999E-2</v>
      </c>
      <c r="AF5" s="3204">
        <f t="shared" ref="AF5:AF17" si="7">AE5</f>
        <v>1.0999999999999999E-2</v>
      </c>
      <c r="AG5" s="3204">
        <f>ROUND(AVERAGE(K5:K$33)/100,4)</f>
        <v>1.8499999999999999E-2</v>
      </c>
      <c r="AH5" s="3204">
        <f>ROUND(AVERAGE(L5:L$33)/100,4)</f>
        <v>1.1900000000000001E-2</v>
      </c>
    </row>
    <row r="6" spans="1:34">
      <c r="A6" s="3205" t="s">
        <v>2969</v>
      </c>
      <c r="B6" s="3206">
        <f t="shared" si="2"/>
        <v>483.1434279321756</v>
      </c>
      <c r="C6" s="3206">
        <f t="shared" si="2"/>
        <v>345.93622669144776</v>
      </c>
      <c r="D6" s="3206">
        <f t="shared" si="3"/>
        <v>345.93622669144776</v>
      </c>
      <c r="E6" s="3206">
        <f t="shared" si="4"/>
        <v>694.24498562544113</v>
      </c>
      <c r="F6" s="3206">
        <f t="shared" si="4"/>
        <v>319.35475932716082</v>
      </c>
      <c r="G6" s="3191">
        <v>2020</v>
      </c>
      <c r="H6" s="2859">
        <v>4</v>
      </c>
      <c r="I6" s="2859">
        <v>0</v>
      </c>
      <c r="J6" s="2859">
        <v>0</v>
      </c>
      <c r="K6" s="2859">
        <v>0</v>
      </c>
      <c r="L6" s="2860">
        <v>0</v>
      </c>
      <c r="M6" s="3194"/>
      <c r="N6" s="3207">
        <f t="shared" si="5"/>
        <v>0</v>
      </c>
      <c r="O6" s="3195">
        <f t="shared" si="5"/>
        <v>0</v>
      </c>
      <c r="P6" s="3195">
        <f t="shared" si="5"/>
        <v>0</v>
      </c>
      <c r="Q6" s="3195">
        <f t="shared" si="5"/>
        <v>0</v>
      </c>
      <c r="R6" s="3208"/>
      <c r="S6" s="3209"/>
      <c r="T6" s="3210"/>
      <c r="U6" s="3210"/>
      <c r="V6" s="3210"/>
      <c r="W6" s="3194"/>
      <c r="X6" s="3194">
        <f>ROUND(IF([6]项目基本情况!B6="出让",SUMPRODUCT(PRODUCT(1+N6:N$33)),SUMPRODUCT(PRODUCT(1+N6:N$32))),4)</f>
        <v>1.571</v>
      </c>
      <c r="Y6" s="3194">
        <f>ROUND(IF([6]项目基本情况!B6="出让",SUMPRODUCT(PRODUCT(1+O6:O$33)),SUMPRODUCT(PRODUCT(1+O6:O$32))),4)</f>
        <v>1.3420000000000001</v>
      </c>
      <c r="Z6" s="3194">
        <f t="shared" si="6"/>
        <v>1.3420000000000001</v>
      </c>
      <c r="AA6" s="3194">
        <f>ROUND(IF([6]项目基本情况!B6="出让",SUMPRODUCT(PRODUCT(1+P6:P$33)),SUMPRODUCT(PRODUCT(1+P6:P$32))),4)</f>
        <v>1.6415999999999999</v>
      </c>
      <c r="AB6" s="3194">
        <f>ROUND(IF([6]项目基本情况!B6="出让",SUMPRODUCT(PRODUCT(1+Q6:Q$33)),SUMPRODUCT(PRODUCT(1+Q6:Q$32))),4)</f>
        <v>1.389</v>
      </c>
      <c r="AC6" s="3194"/>
      <c r="AD6" s="3195">
        <f>ROUND(AVERAGE(I6:I$33)/100,4)</f>
        <v>1.7399999999999999E-2</v>
      </c>
      <c r="AE6" s="3195">
        <f>ROUND(AVERAGE(J6:J$33)/100,4)</f>
        <v>1.14E-2</v>
      </c>
      <c r="AF6" s="3195">
        <f t="shared" si="7"/>
        <v>1.14E-2</v>
      </c>
      <c r="AG6" s="3195">
        <f>ROUND(AVERAGE(K6:K$33)/100,4)</f>
        <v>1.9199999999999998E-2</v>
      </c>
      <c r="AH6" s="3195">
        <f>ROUND(AVERAGE(L6:L$33)/100,4)</f>
        <v>1.23E-2</v>
      </c>
    </row>
    <row r="7" spans="1:34">
      <c r="A7" s="3205" t="s">
        <v>2968</v>
      </c>
      <c r="B7" s="3206">
        <f t="shared" si="2"/>
        <v>483.1434279321756</v>
      </c>
      <c r="C7" s="3206">
        <f t="shared" si="2"/>
        <v>345.93622669144776</v>
      </c>
      <c r="D7" s="3206">
        <f t="shared" si="3"/>
        <v>345.93622669144776</v>
      </c>
      <c r="E7" s="3206">
        <f t="shared" si="4"/>
        <v>694.24498562544113</v>
      </c>
      <c r="F7" s="3206">
        <f t="shared" si="4"/>
        <v>319.35475932716082</v>
      </c>
      <c r="G7" s="3191">
        <v>2020</v>
      </c>
      <c r="H7" s="2859">
        <v>3</v>
      </c>
      <c r="I7" s="2859">
        <v>0.36</v>
      </c>
      <c r="J7" s="2859">
        <v>-0.39</v>
      </c>
      <c r="K7" s="2859">
        <v>0.49</v>
      </c>
      <c r="L7" s="2860">
        <v>7.0000000000000007E-2</v>
      </c>
      <c r="M7" s="3194"/>
      <c r="N7" s="3207">
        <f t="shared" si="5"/>
        <v>3.5999999999999999E-3</v>
      </c>
      <c r="O7" s="3195">
        <f t="shared" si="5"/>
        <v>-3.9000000000000003E-3</v>
      </c>
      <c r="P7" s="3195">
        <f t="shared" si="5"/>
        <v>4.8999999999999998E-3</v>
      </c>
      <c r="Q7" s="3195">
        <f t="shared" si="5"/>
        <v>7.000000000000001E-4</v>
      </c>
      <c r="R7" s="3208"/>
      <c r="S7" s="3209"/>
      <c r="T7" s="3210"/>
      <c r="U7" s="3210"/>
      <c r="V7" s="3210"/>
      <c r="W7" s="3194"/>
      <c r="X7" s="3194">
        <f>ROUND(IF([6]项目基本情况!B7="出让",SUMPRODUCT(PRODUCT(1+N7:N$33)),SUMPRODUCT(PRODUCT(1+N7:N$32))),4)</f>
        <v>1.571</v>
      </c>
      <c r="Y7" s="3194">
        <f>ROUND(IF([6]项目基本情况!B7="出让",SUMPRODUCT(PRODUCT(1+O7:O$33)),SUMPRODUCT(PRODUCT(1+O7:O$32))),4)</f>
        <v>1.3420000000000001</v>
      </c>
      <c r="Z7" s="3194">
        <f t="shared" si="6"/>
        <v>1.3420000000000001</v>
      </c>
      <c r="AA7" s="3194">
        <f>ROUND(IF([6]项目基本情况!B7="出让",SUMPRODUCT(PRODUCT(1+P7:P$33)),SUMPRODUCT(PRODUCT(1+P7:P$32))),4)</f>
        <v>1.6415999999999999</v>
      </c>
      <c r="AB7" s="3194">
        <f>ROUND(IF([6]项目基本情况!B7="出让",SUMPRODUCT(PRODUCT(1+Q7:Q$33)),SUMPRODUCT(PRODUCT(1+Q7:Q$32))),4)</f>
        <v>1.389</v>
      </c>
      <c r="AC7" s="3194"/>
      <c r="AD7" s="3195">
        <f>ROUND(AVERAGE(I7:I$33)/100,4)</f>
        <v>1.8100000000000002E-2</v>
      </c>
      <c r="AE7" s="3195">
        <f>ROUND(AVERAGE(J7:J$33)/100,4)</f>
        <v>1.1900000000000001E-2</v>
      </c>
      <c r="AF7" s="3195">
        <f t="shared" si="7"/>
        <v>1.1900000000000001E-2</v>
      </c>
      <c r="AG7" s="3195">
        <f>ROUND(AVERAGE(K7:K$33)/100,4)</f>
        <v>1.9900000000000001E-2</v>
      </c>
      <c r="AH7" s="3195">
        <f>ROUND(AVERAGE(L7:L$33)/100,4)</f>
        <v>1.2800000000000001E-2</v>
      </c>
    </row>
    <row r="8" spans="1:34">
      <c r="A8" s="3205" t="s">
        <v>2930</v>
      </c>
      <c r="B8" s="3206">
        <f t="shared" si="2"/>
        <v>481.4103506697644</v>
      </c>
      <c r="C8" s="3206">
        <f t="shared" si="2"/>
        <v>347.29066026648707</v>
      </c>
      <c r="D8" s="3206">
        <f t="shared" si="3"/>
        <v>347.29066026648707</v>
      </c>
      <c r="E8" s="3206">
        <f t="shared" si="4"/>
        <v>690.85977273901995</v>
      </c>
      <c r="F8" s="3206">
        <f t="shared" si="4"/>
        <v>319.13136737000184</v>
      </c>
      <c r="G8" s="3191">
        <v>2020</v>
      </c>
      <c r="H8" s="2859">
        <v>2</v>
      </c>
      <c r="I8" s="2859">
        <v>0.31</v>
      </c>
      <c r="J8" s="2859">
        <v>-0.78</v>
      </c>
      <c r="K8" s="2859">
        <v>0.5</v>
      </c>
      <c r="L8" s="2860">
        <v>0.47</v>
      </c>
      <c r="M8" s="3194"/>
      <c r="N8" s="3207">
        <f t="shared" si="5"/>
        <v>3.0999999999999999E-3</v>
      </c>
      <c r="O8" s="3195">
        <f t="shared" si="5"/>
        <v>-7.8000000000000005E-3</v>
      </c>
      <c r="P8" s="3195">
        <f t="shared" si="5"/>
        <v>5.0000000000000001E-3</v>
      </c>
      <c r="Q8" s="3195">
        <f t="shared" si="5"/>
        <v>4.6999999999999993E-3</v>
      </c>
      <c r="R8" s="3208"/>
      <c r="S8" s="3209"/>
      <c r="T8" s="3210"/>
      <c r="U8" s="3210"/>
      <c r="V8" s="3210"/>
      <c r="W8" s="3194"/>
      <c r="X8" s="3194">
        <f>ROUND(IF([6]项目基本情况!B8="出让",SUMPRODUCT(PRODUCT(1+N8:N$33)),SUMPRODUCT(PRODUCT(1+N8:N$32))),4)</f>
        <v>1.5652999999999999</v>
      </c>
      <c r="Y8" s="3194">
        <f>ROUND(IF([6]项目基本情况!B8="出让",SUMPRODUCT(PRODUCT(1+O8:O$33)),SUMPRODUCT(PRODUCT(1+O8:O$32))),4)</f>
        <v>1.3472</v>
      </c>
      <c r="Z8" s="3194">
        <f t="shared" si="6"/>
        <v>1.3472</v>
      </c>
      <c r="AA8" s="3194">
        <f>ROUND(IF([6]项目基本情况!B8="出让",SUMPRODUCT(PRODUCT(1+P8:P$33)),SUMPRODUCT(PRODUCT(1+P8:P$32))),4)</f>
        <v>1.6335999999999999</v>
      </c>
      <c r="AB8" s="3194">
        <f>ROUND(IF([6]项目基本情况!B8="出让",SUMPRODUCT(PRODUCT(1+Q8:Q$33)),SUMPRODUCT(PRODUCT(1+Q8:Q$32))),4)</f>
        <v>1.3880999999999999</v>
      </c>
      <c r="AC8" s="3194"/>
      <c r="AD8" s="3195">
        <f>ROUND(AVERAGE(I8:I$33)/100,4)</f>
        <v>1.8599999999999998E-2</v>
      </c>
      <c r="AE8" s="3195">
        <f>ROUND(AVERAGE(J8:J$33)/100,4)</f>
        <v>1.2500000000000001E-2</v>
      </c>
      <c r="AF8" s="3195">
        <f t="shared" si="7"/>
        <v>1.2500000000000001E-2</v>
      </c>
      <c r="AG8" s="3195">
        <f>ROUND(AVERAGE(K8:K$33)/100,4)</f>
        <v>2.0400000000000001E-2</v>
      </c>
      <c r="AH8" s="3195">
        <f>ROUND(AVERAGE(L8:L$33)/100,4)</f>
        <v>1.32E-2</v>
      </c>
    </row>
    <row r="9" spans="1:34">
      <c r="A9" s="3205" t="s">
        <v>2928</v>
      </c>
      <c r="B9" s="3206">
        <f t="shared" si="2"/>
        <v>479.92259063878413</v>
      </c>
      <c r="C9" s="3206">
        <f t="shared" si="2"/>
        <v>350.02082268341775</v>
      </c>
      <c r="D9" s="3206">
        <f t="shared" si="3"/>
        <v>350.02082268341775</v>
      </c>
      <c r="E9" s="3206">
        <f t="shared" si="4"/>
        <v>687.42265944181099</v>
      </c>
      <c r="F9" s="3206">
        <f t="shared" si="4"/>
        <v>317.63846657708956</v>
      </c>
      <c r="G9" s="3191">
        <v>2020</v>
      </c>
      <c r="H9" s="2859">
        <v>1</v>
      </c>
      <c r="I9" s="2859">
        <v>0.12</v>
      </c>
      <c r="J9" s="2859">
        <v>-0.4</v>
      </c>
      <c r="K9" s="2859">
        <v>0.21</v>
      </c>
      <c r="L9" s="2860">
        <v>0.27</v>
      </c>
      <c r="M9" s="3194"/>
      <c r="N9" s="3207">
        <f t="shared" si="5"/>
        <v>1.1999999999999999E-3</v>
      </c>
      <c r="O9" s="3195">
        <f t="shared" si="5"/>
        <v>-4.0000000000000001E-3</v>
      </c>
      <c r="P9" s="3195">
        <f t="shared" si="5"/>
        <v>2.0999999999999999E-3</v>
      </c>
      <c r="Q9" s="3195">
        <f t="shared" si="5"/>
        <v>2.7000000000000001E-3</v>
      </c>
      <c r="R9" s="3208"/>
      <c r="S9" s="3209">
        <f>B9/B10-1</f>
        <v>1.2000000000000899E-3</v>
      </c>
      <c r="T9" s="3210">
        <f>C9/C10-1</f>
        <v>-4.0000000000000036E-3</v>
      </c>
      <c r="U9" s="3210">
        <f>E9/E10-1</f>
        <v>2.0999999999999908E-3</v>
      </c>
      <c r="V9" s="3210">
        <f>F9/F10-1</f>
        <v>2.6999999999999247E-3</v>
      </c>
      <c r="W9" s="3194"/>
      <c r="X9" s="3194">
        <f>ROUND(IF([6]项目基本情况!B8="出让",SUMPRODUCT(PRODUCT(1+N9:N$33)),SUMPRODUCT(PRODUCT(1+N9:N$32))),4)</f>
        <v>1.5605</v>
      </c>
      <c r="Y9" s="3194">
        <f>ROUND(IF([6]项目基本情况!B8="出让",SUMPRODUCT(PRODUCT(1+O9:O$33)),SUMPRODUCT(PRODUCT(1+O9:O$32))),4)</f>
        <v>1.3577999999999999</v>
      </c>
      <c r="Z9" s="3194">
        <f t="shared" si="6"/>
        <v>1.3577999999999999</v>
      </c>
      <c r="AA9" s="3194">
        <f>ROUND(IF([6]项目基本情况!B8="出让",SUMPRODUCT(PRODUCT(1+P9:P$33)),SUMPRODUCT(PRODUCT(1+P9:P$32))),4)</f>
        <v>1.6254999999999999</v>
      </c>
      <c r="AB9" s="3194">
        <f>ROUND(IF([6]项目基本情况!B8="出让",SUMPRODUCT(PRODUCT(1+Q9:Q$33)),SUMPRODUCT(PRODUCT(1+Q9:Q$32))),4)</f>
        <v>1.3815999999999999</v>
      </c>
      <c r="AC9" s="3194"/>
      <c r="AD9" s="3195">
        <f>ROUND(AVERAGE(I9:I$33)/100,4)</f>
        <v>1.9199999999999998E-2</v>
      </c>
      <c r="AE9" s="3195">
        <f>ROUND(AVERAGE(J9:J$33)/100,4)</f>
        <v>1.3299999999999999E-2</v>
      </c>
      <c r="AF9" s="3195">
        <f t="shared" si="7"/>
        <v>1.3299999999999999E-2</v>
      </c>
      <c r="AG9" s="3195">
        <f>ROUND(AVERAGE(K9:K$33)/100,4)</f>
        <v>2.1100000000000001E-2</v>
      </c>
      <c r="AH9" s="3195">
        <f>ROUND(AVERAGE(L9:L$33)/100,4)</f>
        <v>1.3599999999999999E-2</v>
      </c>
    </row>
    <row r="10" spans="1:34">
      <c r="A10" s="3205" t="s">
        <v>2925</v>
      </c>
      <c r="B10" s="3206">
        <f t="shared" si="2"/>
        <v>479.34737379023579</v>
      </c>
      <c r="C10" s="3206">
        <f t="shared" si="2"/>
        <v>351.4265287986122</v>
      </c>
      <c r="D10" s="3206">
        <f t="shared" si="3"/>
        <v>351.4265287986122</v>
      </c>
      <c r="E10" s="3206">
        <f t="shared" si="4"/>
        <v>685.98209703803116</v>
      </c>
      <c r="F10" s="3206">
        <f t="shared" si="4"/>
        <v>316.78315206651001</v>
      </c>
      <c r="G10" s="3191">
        <v>2019</v>
      </c>
      <c r="H10" s="2859">
        <v>4</v>
      </c>
      <c r="I10" s="2859">
        <v>0.45</v>
      </c>
      <c r="J10" s="2859">
        <v>-0.12</v>
      </c>
      <c r="K10" s="2859">
        <v>0.54</v>
      </c>
      <c r="L10" s="2860">
        <v>0.48</v>
      </c>
      <c r="M10" s="3194"/>
      <c r="N10" s="3207">
        <f t="shared" si="5"/>
        <v>4.5000000000000005E-3</v>
      </c>
      <c r="O10" s="3195">
        <f t="shared" si="5"/>
        <v>-1.1999999999999999E-3</v>
      </c>
      <c r="P10" s="3195">
        <f t="shared" si="5"/>
        <v>5.4000000000000003E-3</v>
      </c>
      <c r="Q10" s="3195">
        <f t="shared" si="5"/>
        <v>4.7999999999999996E-3</v>
      </c>
      <c r="R10" s="3208"/>
      <c r="S10" s="3209"/>
      <c r="T10" s="3210"/>
      <c r="U10" s="3210"/>
      <c r="V10" s="3210"/>
      <c r="W10" s="3194"/>
      <c r="X10" s="3194">
        <f>ROUND(IF([6]项目基本情况!B8="出让",SUMPRODUCT(PRODUCT(1+N10:N$33)),SUMPRODUCT(PRODUCT(1+N10:N$32))),4)</f>
        <v>1.5586</v>
      </c>
      <c r="Y10" s="3194">
        <f>ROUND(IF([6]项目基本情况!B8="出让",SUMPRODUCT(PRODUCT(1+O10:O$33)),SUMPRODUCT(PRODUCT(1+O10:O$32))),4)</f>
        <v>1.3633</v>
      </c>
      <c r="Z10" s="3194">
        <f t="shared" si="6"/>
        <v>1.3633</v>
      </c>
      <c r="AA10" s="3194">
        <f>ROUND(IF([6]项目基本情况!B8="出让",SUMPRODUCT(PRODUCT(1+P10:P$33)),SUMPRODUCT(PRODUCT(1+P10:P$32))),4)</f>
        <v>1.6221000000000001</v>
      </c>
      <c r="AB10" s="3194">
        <f>ROUND(IF([6]项目基本情况!B8="出让",SUMPRODUCT(PRODUCT(1+Q10:Q$33)),SUMPRODUCT(PRODUCT(1+Q10:Q$32))),4)</f>
        <v>1.3777999999999999</v>
      </c>
      <c r="AC10" s="3194"/>
      <c r="AD10" s="3195">
        <f>ROUND(AVERAGE(I10:I$33)/100,4)</f>
        <v>0.02</v>
      </c>
      <c r="AE10" s="3195">
        <f>ROUND(AVERAGE(J10:J$33)/100,4)</f>
        <v>1.4E-2</v>
      </c>
      <c r="AF10" s="3195">
        <f t="shared" si="7"/>
        <v>1.4E-2</v>
      </c>
      <c r="AG10" s="3195">
        <f>ROUND(AVERAGE(K10:K$33)/100,4)</f>
        <v>2.1899999999999999E-2</v>
      </c>
      <c r="AH10" s="3195">
        <f>ROUND(AVERAGE(L10:L$33)/100,4)</f>
        <v>1.4E-2</v>
      </c>
    </row>
    <row r="11" spans="1:34" ht="13.5" thickBot="1">
      <c r="A11" s="3205" t="s">
        <v>2924</v>
      </c>
      <c r="B11" s="3206">
        <f t="shared" si="2"/>
        <v>477.19997390765138</v>
      </c>
      <c r="C11" s="3206">
        <f t="shared" si="2"/>
        <v>351.84874729536665</v>
      </c>
      <c r="D11" s="3206">
        <f t="shared" si="3"/>
        <v>351.84874729536665</v>
      </c>
      <c r="E11" s="3206">
        <f t="shared" si="4"/>
        <v>682.29768951465201</v>
      </c>
      <c r="F11" s="3206">
        <f t="shared" si="4"/>
        <v>315.26985675409043</v>
      </c>
      <c r="G11" s="3191">
        <v>2019</v>
      </c>
      <c r="H11" s="2859">
        <v>3</v>
      </c>
      <c r="I11" s="2859">
        <v>0.61</v>
      </c>
      <c r="J11" s="2859">
        <v>0.67</v>
      </c>
      <c r="K11" s="2859">
        <v>0.6</v>
      </c>
      <c r="L11" s="2860">
        <v>1.03</v>
      </c>
      <c r="M11" s="3194"/>
      <c r="N11" s="3207">
        <f t="shared" si="5"/>
        <v>6.0999999999999995E-3</v>
      </c>
      <c r="O11" s="3195">
        <f t="shared" si="5"/>
        <v>6.7000000000000002E-3</v>
      </c>
      <c r="P11" s="3195">
        <f t="shared" si="5"/>
        <v>6.0000000000000001E-3</v>
      </c>
      <c r="Q11" s="3195">
        <f t="shared" si="5"/>
        <v>1.03E-2</v>
      </c>
      <c r="R11" s="3208"/>
      <c r="S11" s="3209"/>
      <c r="T11" s="3210"/>
      <c r="U11" s="3210"/>
      <c r="V11" s="3210"/>
      <c r="W11" s="3194"/>
      <c r="X11" s="3194">
        <f>ROUND(IF([6]项目基本情况!B8="出让",SUMPRODUCT(PRODUCT(1+N11:N$33)),SUMPRODUCT(PRODUCT(1+N11:N$32))),4)</f>
        <v>1.5516000000000001</v>
      </c>
      <c r="Y11" s="3194">
        <f>ROUND(IF([6]项目基本情况!B8="出让",SUMPRODUCT(PRODUCT(1+O11:O$33)),SUMPRODUCT(PRODUCT(1+O11:O$32))),4)</f>
        <v>1.3649</v>
      </c>
      <c r="Z11" s="3194">
        <f t="shared" si="6"/>
        <v>1.3649</v>
      </c>
      <c r="AA11" s="3194">
        <f>ROUND(IF([6]项目基本情况!B8="出让",SUMPRODUCT(PRODUCT(1+P11:P$33)),SUMPRODUCT(PRODUCT(1+P11:P$32))),4)</f>
        <v>1.6133999999999999</v>
      </c>
      <c r="AB11" s="3194">
        <f>ROUND(IF([6]项目基本情况!B8="出让",SUMPRODUCT(PRODUCT(1+Q11:Q$33)),SUMPRODUCT(PRODUCT(1+Q11:Q$32))),4)</f>
        <v>1.3713</v>
      </c>
      <c r="AC11" s="3194"/>
      <c r="AD11" s="3195">
        <f>ROUND(AVERAGE(I11:I$33)/100,4)</f>
        <v>2.07E-2</v>
      </c>
      <c r="AE11" s="3195">
        <f>ROUND(AVERAGE(J11:J$33)/100,4)</f>
        <v>1.47E-2</v>
      </c>
      <c r="AF11" s="3195">
        <f t="shared" si="7"/>
        <v>1.47E-2</v>
      </c>
      <c r="AG11" s="3195">
        <f>ROUND(AVERAGE(K11:K$33)/100,4)</f>
        <v>2.2599999999999999E-2</v>
      </c>
      <c r="AH11" s="3195">
        <f>ROUND(AVERAGE(L11:L$33)/100,4)</f>
        <v>1.44E-2</v>
      </c>
    </row>
    <row r="12" spans="1:34">
      <c r="A12" s="3205" t="s">
        <v>2921</v>
      </c>
      <c r="B12" s="3206">
        <f t="shared" si="2"/>
        <v>474.30670301923408</v>
      </c>
      <c r="C12" s="3206">
        <f t="shared" si="2"/>
        <v>349.50705005996491</v>
      </c>
      <c r="D12" s="3206">
        <f t="shared" si="3"/>
        <v>349.50705005996491</v>
      </c>
      <c r="E12" s="3206">
        <f t="shared" si="4"/>
        <v>678.22831959706957</v>
      </c>
      <c r="F12" s="3206">
        <f t="shared" si="4"/>
        <v>312.0556832169558</v>
      </c>
      <c r="G12" s="3191">
        <v>2019</v>
      </c>
      <c r="H12" s="3211">
        <v>2</v>
      </c>
      <c r="I12" s="3211">
        <v>1.53</v>
      </c>
      <c r="J12" s="3211">
        <v>1.01</v>
      </c>
      <c r="K12" s="3211">
        <v>1.62</v>
      </c>
      <c r="L12" s="3212">
        <v>1.25</v>
      </c>
      <c r="M12" s="3194"/>
      <c r="N12" s="3207">
        <f t="shared" si="5"/>
        <v>1.5300000000000001E-2</v>
      </c>
      <c r="O12" s="3195">
        <f t="shared" si="5"/>
        <v>1.01E-2</v>
      </c>
      <c r="P12" s="3195">
        <f t="shared" si="5"/>
        <v>1.6200000000000003E-2</v>
      </c>
      <c r="Q12" s="3195">
        <f t="shared" si="5"/>
        <v>1.2500000000000001E-2</v>
      </c>
      <c r="R12" s="3208"/>
      <c r="S12" s="3209"/>
      <c r="T12" s="3210"/>
      <c r="U12" s="3210"/>
      <c r="V12" s="3210"/>
      <c r="W12" s="3194"/>
      <c r="X12" s="3194">
        <f>ROUND(IF([6]项目基本情况!B8="出让",SUMPRODUCT(PRODUCT(1+N12:N$33)),SUMPRODUCT(PRODUCT(1+N12:N$32))),4)</f>
        <v>1.5422</v>
      </c>
      <c r="Y12" s="3194">
        <f>ROUND(IF([6]项目基本情况!B8="出让",SUMPRODUCT(PRODUCT(1+O12:O$33)),SUMPRODUCT(PRODUCT(1+O12:O$32))),4)</f>
        <v>1.3557999999999999</v>
      </c>
      <c r="Z12" s="3194">
        <f t="shared" si="6"/>
        <v>1.3557999999999999</v>
      </c>
      <c r="AA12" s="3194">
        <f>ROUND(IF([6]项目基本情况!B8="出让",SUMPRODUCT(PRODUCT(1+P12:P$33)),SUMPRODUCT(PRODUCT(1+P12:P$32))),4)</f>
        <v>1.6036999999999999</v>
      </c>
      <c r="AB12" s="3194">
        <f>ROUND(IF([6]项目基本情况!B8="出让",SUMPRODUCT(PRODUCT(1+Q12:Q$33)),SUMPRODUCT(PRODUCT(1+Q12:Q$32))),4)</f>
        <v>1.3573</v>
      </c>
      <c r="AC12" s="3194"/>
      <c r="AD12" s="3195">
        <f>ROUND(AVERAGE(I12:I$33)/100,4)</f>
        <v>2.1299999999999999E-2</v>
      </c>
      <c r="AE12" s="3195">
        <f>ROUND(AVERAGE(J12:J$33)/100,4)</f>
        <v>1.4999999999999999E-2</v>
      </c>
      <c r="AF12" s="3195">
        <f t="shared" si="7"/>
        <v>1.4999999999999999E-2</v>
      </c>
      <c r="AG12" s="3195">
        <f>ROUND(AVERAGE(K12:K$33)/100,4)</f>
        <v>2.3300000000000001E-2</v>
      </c>
      <c r="AH12" s="3195">
        <f>ROUND(AVERAGE(L12:L$33)/100,4)</f>
        <v>1.46E-2</v>
      </c>
    </row>
    <row r="13" spans="1:34" ht="13.5" thickBot="1">
      <c r="A13" s="3205" t="s">
        <v>2920</v>
      </c>
      <c r="B13" s="3206">
        <f t="shared" si="2"/>
        <v>467.15916775261894</v>
      </c>
      <c r="C13" s="3206">
        <f t="shared" si="2"/>
        <v>346.01232557169084</v>
      </c>
      <c r="D13" s="3206">
        <f t="shared" si="3"/>
        <v>346.01232557169084</v>
      </c>
      <c r="E13" s="3206">
        <f t="shared" si="4"/>
        <v>667.41617752122568</v>
      </c>
      <c r="F13" s="3206">
        <f t="shared" si="4"/>
        <v>308.20314391798104</v>
      </c>
      <c r="G13" s="3191">
        <v>2019</v>
      </c>
      <c r="H13" s="2859">
        <v>1</v>
      </c>
      <c r="I13" s="2859">
        <v>0.6</v>
      </c>
      <c r="J13" s="2859">
        <v>0.37</v>
      </c>
      <c r="K13" s="2859">
        <v>0.63</v>
      </c>
      <c r="L13" s="2860">
        <v>1.1299999999999999</v>
      </c>
      <c r="M13" s="3194"/>
      <c r="N13" s="3207">
        <f t="shared" si="5"/>
        <v>6.0000000000000001E-3</v>
      </c>
      <c r="O13" s="3195">
        <f t="shared" si="5"/>
        <v>3.7000000000000002E-3</v>
      </c>
      <c r="P13" s="3195">
        <f t="shared" si="5"/>
        <v>6.3E-3</v>
      </c>
      <c r="Q13" s="3195">
        <f t="shared" si="5"/>
        <v>1.1299999999999999E-2</v>
      </c>
      <c r="R13" s="3208"/>
      <c r="S13" s="3209">
        <f>B13/B14-1</f>
        <v>6.0000000000000053E-3</v>
      </c>
      <c r="T13" s="3210">
        <f>C13/C14-1</f>
        <v>3.7000000000000366E-3</v>
      </c>
      <c r="U13" s="3210">
        <f>E13/E14-1</f>
        <v>6.2999999999999723E-3</v>
      </c>
      <c r="V13" s="3210">
        <f>F13/F14-1</f>
        <v>1.1300000000000088E-2</v>
      </c>
      <c r="W13" s="3194"/>
      <c r="X13" s="3194">
        <f>ROUND(IF([6]项目基本情况!B8="出让",SUMPRODUCT(PRODUCT(1+N13:N$33)),SUMPRODUCT(PRODUCT(1+N13:N$32))),4)</f>
        <v>1.5189999999999999</v>
      </c>
      <c r="Y13" s="3194">
        <f>ROUND(IF([6]项目基本情况!B8="出让",SUMPRODUCT(PRODUCT(1+O13:O$33)),SUMPRODUCT(PRODUCT(1+O13:O$32))),4)</f>
        <v>1.3423</v>
      </c>
      <c r="Z13" s="3194">
        <f t="shared" si="6"/>
        <v>1.3423</v>
      </c>
      <c r="AA13" s="3194">
        <f>ROUND(IF([6]项目基本情况!B8="出让",SUMPRODUCT(PRODUCT(1+P13:P$33)),SUMPRODUCT(PRODUCT(1+P13:P$32))),4)</f>
        <v>1.5782</v>
      </c>
      <c r="AB13" s="3194">
        <f>ROUND(IF([6]项目基本情况!B8="出让",SUMPRODUCT(PRODUCT(1+Q13:Q$33)),SUMPRODUCT(PRODUCT(1+Q13:Q$32))),4)</f>
        <v>1.3405</v>
      </c>
      <c r="AC13" s="3194"/>
      <c r="AD13" s="3195">
        <f>ROUND(AVERAGE(I13:I$33)/100,4)</f>
        <v>2.1600000000000001E-2</v>
      </c>
      <c r="AE13" s="3195">
        <f>ROUND(AVERAGE(J13:J$33)/100,4)</f>
        <v>1.5299999999999999E-2</v>
      </c>
      <c r="AF13" s="3195">
        <f t="shared" si="7"/>
        <v>1.5299999999999999E-2</v>
      </c>
      <c r="AG13" s="3195">
        <f>ROUND(AVERAGE(K13:K$33)/100,4)</f>
        <v>2.3699999999999999E-2</v>
      </c>
      <c r="AH13" s="3195">
        <f>ROUND(AVERAGE(L13:L$33)/100,4)</f>
        <v>1.47E-2</v>
      </c>
    </row>
    <row r="14" spans="1:34">
      <c r="A14" s="3205" t="s">
        <v>2917</v>
      </c>
      <c r="B14" s="2873">
        <f t="shared" si="2"/>
        <v>464.37293017158942</v>
      </c>
      <c r="C14" s="2873">
        <f t="shared" si="2"/>
        <v>344.73679941385956</v>
      </c>
      <c r="D14" s="2873">
        <f t="shared" si="3"/>
        <v>344.73679941385956</v>
      </c>
      <c r="E14" s="2873">
        <f t="shared" si="4"/>
        <v>663.2377795103107</v>
      </c>
      <c r="F14" s="2874">
        <f t="shared" si="4"/>
        <v>304.75936311478398</v>
      </c>
      <c r="G14" s="3562">
        <v>2018</v>
      </c>
      <c r="H14" s="3211">
        <v>4</v>
      </c>
      <c r="I14" s="3211">
        <v>0.96</v>
      </c>
      <c r="J14" s="3211">
        <v>1.03</v>
      </c>
      <c r="K14" s="3211">
        <v>0.92</v>
      </c>
      <c r="L14" s="3212">
        <v>1.29</v>
      </c>
      <c r="M14" s="3194"/>
      <c r="N14" s="3207">
        <f t="shared" si="5"/>
        <v>9.5999999999999992E-3</v>
      </c>
      <c r="O14" s="3195">
        <f t="shared" si="5"/>
        <v>1.03E-2</v>
      </c>
      <c r="P14" s="3195">
        <f t="shared" si="5"/>
        <v>9.1999999999999998E-3</v>
      </c>
      <c r="Q14" s="3195">
        <f t="shared" si="5"/>
        <v>1.29E-2</v>
      </c>
      <c r="R14" s="3208"/>
      <c r="S14" s="3213"/>
      <c r="T14" s="3214"/>
      <c r="U14" s="3214"/>
      <c r="V14" s="3214"/>
      <c r="W14" s="3194"/>
      <c r="X14" s="3194">
        <f>ROUND(SUMPRODUCT(PRODUCT(1+N14:N$32)),4)</f>
        <v>1.5099</v>
      </c>
      <c r="Y14" s="3194">
        <f>ROUND(SUMPRODUCT(PRODUCT(1+O14:O$32)),4)</f>
        <v>1.3372999999999999</v>
      </c>
      <c r="Z14" s="3194">
        <f t="shared" si="6"/>
        <v>1.3372999999999999</v>
      </c>
      <c r="AA14" s="3194">
        <f>ROUND(SUMPRODUCT(PRODUCT(1+P14:P$32)),4)</f>
        <v>1.5683</v>
      </c>
      <c r="AB14" s="3194">
        <f>ROUND(SUMPRODUCT(PRODUCT(1+Q14:Q$32)),4)</f>
        <v>1.3255999999999999</v>
      </c>
      <c r="AC14" s="3194"/>
      <c r="AD14" s="3195">
        <f>ROUND(AVERAGE(I14:I$33)/100,4)</f>
        <v>2.24E-2</v>
      </c>
      <c r="AE14" s="3195">
        <f>ROUND(AVERAGE(J14:J$33)/100,4)</f>
        <v>1.5800000000000002E-2</v>
      </c>
      <c r="AF14" s="3195">
        <f t="shared" si="7"/>
        <v>1.5800000000000002E-2</v>
      </c>
      <c r="AG14" s="3195">
        <f>ROUND(AVERAGE(K14:K$33)/100,4)</f>
        <v>2.4500000000000001E-2</v>
      </c>
      <c r="AH14" s="3195">
        <f>ROUND(AVERAGE(L14:L$33)/100,4)</f>
        <v>1.49E-2</v>
      </c>
    </row>
    <row r="15" spans="1:34">
      <c r="A15" s="3205" t="s">
        <v>2910</v>
      </c>
      <c r="B15" s="3206">
        <f t="shared" si="2"/>
        <v>459.95733971036987</v>
      </c>
      <c r="C15" s="3206">
        <f t="shared" si="2"/>
        <v>341.22221064422405</v>
      </c>
      <c r="D15" s="3206">
        <f t="shared" si="3"/>
        <v>341.22221064422405</v>
      </c>
      <c r="E15" s="3206">
        <f t="shared" si="4"/>
        <v>657.19161663724799</v>
      </c>
      <c r="F15" s="3206">
        <f t="shared" si="4"/>
        <v>300.87803644464805</v>
      </c>
      <c r="G15" s="3562"/>
      <c r="H15" s="2859">
        <v>3</v>
      </c>
      <c r="I15" s="2859">
        <v>1.51</v>
      </c>
      <c r="J15" s="2859">
        <v>1.41</v>
      </c>
      <c r="K15" s="2859">
        <v>1.52</v>
      </c>
      <c r="L15" s="2860">
        <v>1.74</v>
      </c>
      <c r="M15" s="3194"/>
      <c r="N15" s="3207">
        <f t="shared" si="5"/>
        <v>1.5100000000000001E-2</v>
      </c>
      <c r="O15" s="3195">
        <f t="shared" si="5"/>
        <v>1.41E-2</v>
      </c>
      <c r="P15" s="3195">
        <f t="shared" si="5"/>
        <v>1.52E-2</v>
      </c>
      <c r="Q15" s="3195">
        <f t="shared" si="5"/>
        <v>1.7399999999999999E-2</v>
      </c>
      <c r="R15" s="3208"/>
      <c r="S15" s="3207"/>
      <c r="T15" s="3195"/>
      <c r="U15" s="3195"/>
      <c r="V15" s="3195"/>
      <c r="W15" s="3194"/>
      <c r="X15" s="3194">
        <f>ROUND(SUMPRODUCT(PRODUCT(1+N15:N$32)),4)</f>
        <v>1.4956</v>
      </c>
      <c r="Y15" s="3194">
        <f>ROUND(SUMPRODUCT(PRODUCT(1+O15:O$32)),4)</f>
        <v>1.3237000000000001</v>
      </c>
      <c r="Z15" s="3194">
        <f t="shared" si="6"/>
        <v>1.3237000000000001</v>
      </c>
      <c r="AA15" s="3194">
        <f>ROUND(SUMPRODUCT(PRODUCT(1+P15:P$32)),4)</f>
        <v>1.554</v>
      </c>
      <c r="AB15" s="3194">
        <f>ROUND(SUMPRODUCT(PRODUCT(1+Q15:Q$32)),4)</f>
        <v>1.3087</v>
      </c>
      <c r="AC15" s="3194"/>
      <c r="AD15" s="3195">
        <f>ROUND(AVERAGE(I15:I$33)/100,4)</f>
        <v>2.3099999999999999E-2</v>
      </c>
      <c r="AE15" s="3195">
        <f>ROUND(AVERAGE(J15:J$33)/100,4)</f>
        <v>1.61E-2</v>
      </c>
      <c r="AF15" s="3195">
        <f t="shared" si="7"/>
        <v>1.61E-2</v>
      </c>
      <c r="AG15" s="3195">
        <f>ROUND(AVERAGE(K15:K$33)/100,4)</f>
        <v>2.53E-2</v>
      </c>
      <c r="AH15" s="3195">
        <f>ROUND(AVERAGE(L15:L$33)/100,4)</f>
        <v>1.4999999999999999E-2</v>
      </c>
    </row>
    <row r="16" spans="1:34">
      <c r="A16" s="3205" t="s">
        <v>2911</v>
      </c>
      <c r="B16" s="3206">
        <f t="shared" si="2"/>
        <v>453.11529869999993</v>
      </c>
      <c r="C16" s="3206">
        <f t="shared" si="2"/>
        <v>336.47787264000004</v>
      </c>
      <c r="D16" s="3206">
        <f t="shared" si="3"/>
        <v>336.47787264000004</v>
      </c>
      <c r="E16" s="3206">
        <f t="shared" si="4"/>
        <v>647.35186823999993</v>
      </c>
      <c r="F16" s="3206">
        <f t="shared" si="4"/>
        <v>295.73229452000004</v>
      </c>
      <c r="G16" s="3562"/>
      <c r="H16" s="3215">
        <v>2</v>
      </c>
      <c r="I16" s="3215">
        <v>1.49</v>
      </c>
      <c r="J16" s="3215">
        <v>0.96</v>
      </c>
      <c r="K16" s="3215">
        <v>1.58</v>
      </c>
      <c r="L16" s="3216">
        <v>2.44</v>
      </c>
      <c r="M16" s="3194"/>
      <c r="N16" s="3207">
        <f t="shared" si="5"/>
        <v>1.49E-2</v>
      </c>
      <c r="O16" s="3195">
        <f t="shared" si="5"/>
        <v>9.5999999999999992E-3</v>
      </c>
      <c r="P16" s="3195">
        <f t="shared" si="5"/>
        <v>1.5800000000000002E-2</v>
      </c>
      <c r="Q16" s="3195">
        <f t="shared" si="5"/>
        <v>2.4399999999999998E-2</v>
      </c>
      <c r="R16" s="3208"/>
      <c r="S16" s="3207"/>
      <c r="T16" s="3195"/>
      <c r="U16" s="3195"/>
      <c r="V16" s="3195"/>
      <c r="W16" s="3194"/>
      <c r="X16" s="3194">
        <f>ROUND(SUMPRODUCT(PRODUCT(1+N16:N$32)),4)</f>
        <v>1.4733000000000001</v>
      </c>
      <c r="Y16" s="3194">
        <f>ROUND(SUMPRODUCT(PRODUCT(1+O16:O$32)),4)</f>
        <v>1.3052999999999999</v>
      </c>
      <c r="Z16" s="3194">
        <f t="shared" si="6"/>
        <v>1.3052999999999999</v>
      </c>
      <c r="AA16" s="3194">
        <f>ROUND(SUMPRODUCT(PRODUCT(1+P16:P$32)),4)</f>
        <v>1.5306999999999999</v>
      </c>
      <c r="AB16" s="3194">
        <f>ROUND(SUMPRODUCT(PRODUCT(1+Q16:Q$32)),4)</f>
        <v>1.2863</v>
      </c>
      <c r="AC16" s="3194"/>
      <c r="AD16" s="3195">
        <f>ROUND(AVERAGE(I16:I$33)/100,4)</f>
        <v>2.35E-2</v>
      </c>
      <c r="AE16" s="3195">
        <f>ROUND(AVERAGE(J16:J$33)/100,4)</f>
        <v>1.6199999999999999E-2</v>
      </c>
      <c r="AF16" s="3195">
        <f t="shared" si="7"/>
        <v>1.6199999999999999E-2</v>
      </c>
      <c r="AG16" s="3195">
        <f>ROUND(AVERAGE(K16:K$33)/100,4)</f>
        <v>2.5899999999999999E-2</v>
      </c>
      <c r="AH16" s="3195">
        <f>ROUND(AVERAGE(L16:L$33)/100,4)</f>
        <v>1.49E-2</v>
      </c>
    </row>
    <row r="17" spans="1:34" ht="13.5" thickBot="1">
      <c r="A17" s="3205" t="s">
        <v>2907</v>
      </c>
      <c r="B17" s="3206">
        <f t="shared" si="2"/>
        <v>446.46299999999997</v>
      </c>
      <c r="C17" s="3206">
        <f t="shared" si="2"/>
        <v>333.27840000000003</v>
      </c>
      <c r="D17" s="3206">
        <f t="shared" si="3"/>
        <v>333.27840000000003</v>
      </c>
      <c r="E17" s="3206">
        <f t="shared" si="4"/>
        <v>637.28279999999995</v>
      </c>
      <c r="F17" s="3206">
        <f t="shared" si="4"/>
        <v>288.68830000000003</v>
      </c>
      <c r="G17" s="3569"/>
      <c r="H17" s="2859">
        <v>1</v>
      </c>
      <c r="I17" s="2859">
        <v>1.7</v>
      </c>
      <c r="J17" s="2859">
        <v>1.92</v>
      </c>
      <c r="K17" s="2859">
        <v>1.64</v>
      </c>
      <c r="L17" s="2860">
        <v>2.0099999999999998</v>
      </c>
      <c r="M17" s="3194"/>
      <c r="N17" s="3207">
        <f t="shared" si="5"/>
        <v>1.7000000000000001E-2</v>
      </c>
      <c r="O17" s="3195">
        <f t="shared" si="5"/>
        <v>1.9199999999999998E-2</v>
      </c>
      <c r="P17" s="3195">
        <f t="shared" si="5"/>
        <v>1.6399999999999998E-2</v>
      </c>
      <c r="Q17" s="3195">
        <f t="shared" si="5"/>
        <v>2.0099999999999996E-2</v>
      </c>
      <c r="R17" s="3208"/>
      <c r="S17" s="3209">
        <f>B17/B18-1</f>
        <v>1.6999999999999904E-2</v>
      </c>
      <c r="T17" s="3210">
        <f>C17/C18-1</f>
        <v>1.9200000000000106E-2</v>
      </c>
      <c r="U17" s="3210">
        <f>E17/E18-1</f>
        <v>1.639999999999997E-2</v>
      </c>
      <c r="V17" s="3210">
        <f>F17/F18-1</f>
        <v>2.0100000000000007E-2</v>
      </c>
      <c r="W17" s="3194"/>
      <c r="X17" s="3194">
        <f>ROUND(SUMPRODUCT(PRODUCT(1+N17:N$32)),4)</f>
        <v>1.4517</v>
      </c>
      <c r="Y17" s="3194">
        <f>ROUND(SUMPRODUCT(PRODUCT(1+O17:O$32)),4)</f>
        <v>1.2928999999999999</v>
      </c>
      <c r="Z17" s="3194">
        <f t="shared" si="6"/>
        <v>1.2928999999999999</v>
      </c>
      <c r="AA17" s="3194">
        <f>ROUND(SUMPRODUCT(PRODUCT(1+P17:P$32)),4)</f>
        <v>1.5068999999999999</v>
      </c>
      <c r="AB17" s="3194">
        <f>ROUND(SUMPRODUCT(PRODUCT(1+Q17:Q$32)),4)</f>
        <v>1.2557</v>
      </c>
      <c r="AC17" s="3194"/>
      <c r="AD17" s="3195">
        <f>ROUND(AVERAGE(I17:I$33)/100,4)</f>
        <v>2.4E-2</v>
      </c>
      <c r="AE17" s="3195">
        <f>ROUND(AVERAGE(J17:J$33)/100,4)</f>
        <v>1.66E-2</v>
      </c>
      <c r="AF17" s="3195">
        <f t="shared" si="7"/>
        <v>1.66E-2</v>
      </c>
      <c r="AG17" s="3195">
        <f>ROUND(AVERAGE(K17:K$33)/100,4)</f>
        <v>2.6499999999999999E-2</v>
      </c>
      <c r="AH17" s="3195">
        <f>ROUND(AVERAGE(L17:L$33)/100,4)</f>
        <v>1.43E-2</v>
      </c>
    </row>
    <row r="18" spans="1:34">
      <c r="A18" s="3205" t="s">
        <v>2899</v>
      </c>
      <c r="B18" s="2875">
        <v>439</v>
      </c>
      <c r="C18" s="2875">
        <v>327</v>
      </c>
      <c r="D18" s="2875">
        <f t="shared" si="3"/>
        <v>327</v>
      </c>
      <c r="E18" s="2875">
        <v>627</v>
      </c>
      <c r="F18" s="2876">
        <v>283</v>
      </c>
      <c r="G18" s="3570">
        <v>2017</v>
      </c>
      <c r="H18" s="3211">
        <v>4</v>
      </c>
      <c r="I18" s="3211">
        <v>1.71</v>
      </c>
      <c r="J18" s="3211">
        <v>1.78</v>
      </c>
      <c r="K18" s="3211">
        <v>1.71</v>
      </c>
      <c r="L18" s="3212">
        <v>1.43</v>
      </c>
      <c r="M18" s="3194"/>
      <c r="N18" s="3217">
        <f t="shared" si="5"/>
        <v>1.7100000000000001E-2</v>
      </c>
      <c r="O18" s="3218">
        <f t="shared" si="5"/>
        <v>1.78E-2</v>
      </c>
      <c r="P18" s="3218">
        <f t="shared" si="5"/>
        <v>1.7100000000000001E-2</v>
      </c>
      <c r="Q18" s="3218">
        <f t="shared" si="5"/>
        <v>1.43E-2</v>
      </c>
      <c r="R18" s="3208"/>
      <c r="S18" s="3213"/>
      <c r="T18" s="3214"/>
      <c r="U18" s="3214"/>
      <c r="V18" s="3214"/>
      <c r="W18" s="3194"/>
      <c r="X18" s="3194">
        <f>ROUND(SUMPRODUCT(PRODUCT(1+N18:N$32)),4)</f>
        <v>1.4274</v>
      </c>
      <c r="Y18" s="3194">
        <f>ROUND(SUMPRODUCT(PRODUCT(1+O18:O$32)),4)</f>
        <v>1.2685</v>
      </c>
      <c r="Z18" s="3194">
        <f t="shared" si="0"/>
        <v>1.2685</v>
      </c>
      <c r="AA18" s="3194">
        <f>ROUND(SUMPRODUCT(PRODUCT(1+P18:P$32)),4)</f>
        <v>1.4825999999999999</v>
      </c>
      <c r="AB18" s="3194">
        <f>ROUND(SUMPRODUCT(PRODUCT(1+Q18:Q$32)),4)</f>
        <v>1.2309000000000001</v>
      </c>
      <c r="AC18" s="3194"/>
      <c r="AD18" s="3195">
        <f>ROUND(AVERAGE(I18:I$33)/100,4)</f>
        <v>2.4500000000000001E-2</v>
      </c>
      <c r="AE18" s="3195">
        <f>ROUND(AVERAGE(J18:J$33)/100,4)</f>
        <v>1.6500000000000001E-2</v>
      </c>
      <c r="AF18" s="3195">
        <f t="shared" si="1"/>
        <v>1.6500000000000001E-2</v>
      </c>
      <c r="AG18" s="3195">
        <f>ROUND(AVERAGE(K18:K$33)/100,4)</f>
        <v>2.7099999999999999E-2</v>
      </c>
      <c r="AH18" s="3195">
        <f>ROUND(AVERAGE(L18:L$33)/100,4)</f>
        <v>1.3899999999999999E-2</v>
      </c>
    </row>
    <row r="19" spans="1:34">
      <c r="A19" s="3205" t="s">
        <v>2902</v>
      </c>
      <c r="B19" s="3206">
        <f t="shared" ref="B19:C21" si="8">B20*(1+N19)</f>
        <v>431.80730811680002</v>
      </c>
      <c r="C19" s="3206">
        <f t="shared" si="8"/>
        <v>320.57880516480003</v>
      </c>
      <c r="D19" s="3206">
        <f t="shared" si="3"/>
        <v>320.57880516480003</v>
      </c>
      <c r="E19" s="3206">
        <f t="shared" ref="E19:F21" si="9">E20*(1+P19)</f>
        <v>615.96110553196797</v>
      </c>
      <c r="F19" s="3206">
        <f t="shared" si="9"/>
        <v>279.46777300108801</v>
      </c>
      <c r="G19" s="3562"/>
      <c r="H19" s="2859">
        <v>3</v>
      </c>
      <c r="I19" s="2859">
        <v>2.98</v>
      </c>
      <c r="J19" s="2859">
        <v>2.11</v>
      </c>
      <c r="K19" s="2859">
        <v>3.24</v>
      </c>
      <c r="L19" s="2860">
        <v>1.72</v>
      </c>
      <c r="M19" s="3194"/>
      <c r="N19" s="3207">
        <f t="shared" si="5"/>
        <v>2.98E-2</v>
      </c>
      <c r="O19" s="3219">
        <f t="shared" si="5"/>
        <v>2.1099999999999997E-2</v>
      </c>
      <c r="P19" s="3219">
        <f t="shared" si="5"/>
        <v>3.2400000000000005E-2</v>
      </c>
      <c r="Q19" s="3219">
        <f t="shared" si="5"/>
        <v>1.72E-2</v>
      </c>
      <c r="R19" s="3208"/>
      <c r="S19" s="3207"/>
      <c r="T19" s="3195"/>
      <c r="U19" s="3195"/>
      <c r="V19" s="3195"/>
      <c r="W19" s="3194"/>
      <c r="X19" s="3194">
        <f>ROUND(SUMPRODUCT(PRODUCT(1+N19:N$32)),4)</f>
        <v>1.4034</v>
      </c>
      <c r="Y19" s="3194">
        <f>ROUND(SUMPRODUCT(PRODUCT(1+O19:O$32)),4)</f>
        <v>1.2463</v>
      </c>
      <c r="Z19" s="3194">
        <f t="shared" si="0"/>
        <v>1.2463</v>
      </c>
      <c r="AA19" s="3194">
        <f>ROUND(SUMPRODUCT(PRODUCT(1+P19:P$32)),4)</f>
        <v>1.4577</v>
      </c>
      <c r="AB19" s="3194">
        <f>ROUND(SUMPRODUCT(PRODUCT(1+Q19:Q$32)),4)</f>
        <v>1.2136</v>
      </c>
      <c r="AC19" s="3194"/>
      <c r="AD19" s="3195">
        <f>ROUND(AVERAGE(I19:I$33)/100,4)</f>
        <v>2.4899999999999999E-2</v>
      </c>
      <c r="AE19" s="3195">
        <f>ROUND(AVERAGE(J19:J$33)/100,4)</f>
        <v>1.6400000000000001E-2</v>
      </c>
      <c r="AF19" s="3195">
        <f t="shared" si="1"/>
        <v>1.6400000000000001E-2</v>
      </c>
      <c r="AG19" s="3195">
        <f>ROUND(AVERAGE(K19:K$33)/100,4)</f>
        <v>2.7799999999999998E-2</v>
      </c>
      <c r="AH19" s="3195">
        <f>ROUND(AVERAGE(L19:L$33)/100,4)</f>
        <v>1.3899999999999999E-2</v>
      </c>
    </row>
    <row r="20" spans="1:34">
      <c r="A20" s="3205" t="s">
        <v>2559</v>
      </c>
      <c r="B20" s="3206">
        <f t="shared" si="8"/>
        <v>419.31181600000002</v>
      </c>
      <c r="C20" s="3206">
        <f t="shared" si="8"/>
        <v>313.95436800000004</v>
      </c>
      <c r="D20" s="3206">
        <f t="shared" si="3"/>
        <v>313.95436800000004</v>
      </c>
      <c r="E20" s="3206">
        <f t="shared" si="9"/>
        <v>596.63028431999999</v>
      </c>
      <c r="F20" s="3206">
        <f t="shared" si="9"/>
        <v>274.74220703999998</v>
      </c>
      <c r="G20" s="3562"/>
      <c r="H20" s="3215">
        <v>2</v>
      </c>
      <c r="I20" s="3215">
        <v>3.4</v>
      </c>
      <c r="J20" s="3215">
        <v>2</v>
      </c>
      <c r="K20" s="3215">
        <v>3.82</v>
      </c>
      <c r="L20" s="3216">
        <v>1.68</v>
      </c>
      <c r="M20" s="3183"/>
      <c r="N20" s="3207">
        <f t="shared" si="5"/>
        <v>3.4000000000000002E-2</v>
      </c>
      <c r="O20" s="3219">
        <f t="shared" si="5"/>
        <v>0.02</v>
      </c>
      <c r="P20" s="3219">
        <f t="shared" si="5"/>
        <v>3.8199999999999998E-2</v>
      </c>
      <c r="Q20" s="3219">
        <f t="shared" si="5"/>
        <v>1.6799999999999999E-2</v>
      </c>
      <c r="R20" s="3183"/>
      <c r="S20" s="3207"/>
      <c r="T20" s="3195"/>
      <c r="U20" s="3195"/>
      <c r="V20" s="3195"/>
      <c r="W20" s="3183"/>
      <c r="X20" s="3194">
        <f>ROUND(SUMPRODUCT(PRODUCT(1+N20:N$32)),4)</f>
        <v>1.3628</v>
      </c>
      <c r="Y20" s="3194">
        <f>ROUND(SUMPRODUCT(PRODUCT(1+O20:O$32)),4)</f>
        <v>1.2205999999999999</v>
      </c>
      <c r="Z20" s="3194">
        <f t="shared" si="0"/>
        <v>1.2205999999999999</v>
      </c>
      <c r="AA20" s="3194">
        <f>ROUND(SUMPRODUCT(PRODUCT(1+P20:P$32)),4)</f>
        <v>1.4118999999999999</v>
      </c>
      <c r="AB20" s="3194">
        <f>ROUND(SUMPRODUCT(PRODUCT(1+Q20:Q$32)),4)</f>
        <v>1.1930000000000001</v>
      </c>
      <c r="AC20" s="3183"/>
      <c r="AD20" s="3195">
        <f>ROUND(AVERAGE(I20:I$33)/100,4)</f>
        <v>2.46E-2</v>
      </c>
      <c r="AE20" s="3195">
        <f>ROUND(AVERAGE(J20:J$33)/100,4)</f>
        <v>1.6E-2</v>
      </c>
      <c r="AF20" s="3195">
        <f t="shared" si="1"/>
        <v>1.6E-2</v>
      </c>
      <c r="AG20" s="3195">
        <f>ROUND(AVERAGE(K20:K$33)/100,4)</f>
        <v>2.75E-2</v>
      </c>
      <c r="AH20" s="3195">
        <f>ROUND(AVERAGE(L20:L$33)/100,4)</f>
        <v>1.37E-2</v>
      </c>
    </row>
    <row r="21" spans="1:34" ht="13.5" thickBot="1">
      <c r="A21" s="3205" t="s">
        <v>2560</v>
      </c>
      <c r="B21" s="3206">
        <f t="shared" si="8"/>
        <v>405.524</v>
      </c>
      <c r="C21" s="3206">
        <f t="shared" si="8"/>
        <v>307.79840000000002</v>
      </c>
      <c r="D21" s="3206">
        <f t="shared" si="3"/>
        <v>307.79840000000002</v>
      </c>
      <c r="E21" s="3206">
        <f t="shared" si="9"/>
        <v>574.67759999999998</v>
      </c>
      <c r="F21" s="3206">
        <f t="shared" si="9"/>
        <v>270.20280000000002</v>
      </c>
      <c r="G21" s="3569"/>
      <c r="H21" s="2859">
        <v>1</v>
      </c>
      <c r="I21" s="2859">
        <v>3.45</v>
      </c>
      <c r="J21" s="2859">
        <v>1.92</v>
      </c>
      <c r="K21" s="2859">
        <v>3.92</v>
      </c>
      <c r="L21" s="2860">
        <v>1.58</v>
      </c>
      <c r="M21" s="3194"/>
      <c r="N21" s="3209">
        <f t="shared" ref="N21:Q36" si="10">I21/100</f>
        <v>3.4500000000000003E-2</v>
      </c>
      <c r="O21" s="3210">
        <f t="shared" si="10"/>
        <v>1.9199999999999998E-2</v>
      </c>
      <c r="P21" s="3210">
        <f t="shared" si="10"/>
        <v>3.9199999999999999E-2</v>
      </c>
      <c r="Q21" s="3210">
        <f t="shared" si="10"/>
        <v>1.5800000000000002E-2</v>
      </c>
      <c r="R21" s="3208"/>
      <c r="S21" s="3209">
        <f>B21/B22-1</f>
        <v>3.4499999999999975E-2</v>
      </c>
      <c r="T21" s="3210">
        <f>C21/C22-1</f>
        <v>1.9200000000000106E-2</v>
      </c>
      <c r="U21" s="3210">
        <f>E21/E22-1</f>
        <v>3.9199999999999902E-2</v>
      </c>
      <c r="V21" s="3210">
        <f>F21/F22-1</f>
        <v>1.5800000000000036E-2</v>
      </c>
      <c r="W21" s="3194"/>
      <c r="X21" s="3194">
        <f>ROUND(SUMPRODUCT(PRODUCT(1+N21:N$32)),4)</f>
        <v>1.3180000000000001</v>
      </c>
      <c r="Y21" s="3194">
        <f>ROUND(SUMPRODUCT(PRODUCT(1+O21:O$32)),4)</f>
        <v>1.1966000000000001</v>
      </c>
      <c r="Z21" s="3194">
        <f t="shared" si="0"/>
        <v>1.1966000000000001</v>
      </c>
      <c r="AA21" s="3194">
        <f>ROUND(SUMPRODUCT(PRODUCT(1+P21:P$32)),4)</f>
        <v>1.36</v>
      </c>
      <c r="AB21" s="3194">
        <f>ROUND(SUMPRODUCT(PRODUCT(1+Q21:Q$32)),4)</f>
        <v>1.1733</v>
      </c>
      <c r="AC21" s="3194"/>
      <c r="AD21" s="3195">
        <f>ROUND(AVERAGE(I21:I$33)/100,4)</f>
        <v>2.3900000000000001E-2</v>
      </c>
      <c r="AE21" s="3195">
        <f>ROUND(AVERAGE(J21:J$33)/100,4)</f>
        <v>1.5699999999999999E-2</v>
      </c>
      <c r="AF21" s="3195">
        <f t="shared" si="1"/>
        <v>1.5699999999999999E-2</v>
      </c>
      <c r="AG21" s="3195">
        <f>ROUND(AVERAGE(K21:K$33)/100,4)</f>
        <v>2.6599999999999999E-2</v>
      </c>
      <c r="AH21" s="3195">
        <f>ROUND(AVERAGE(L21:L$33)/100,4)</f>
        <v>1.34E-2</v>
      </c>
    </row>
    <row r="22" spans="1:34">
      <c r="A22" s="3205" t="s">
        <v>961</v>
      </c>
      <c r="B22" s="2875">
        <v>392</v>
      </c>
      <c r="C22" s="2875">
        <v>302</v>
      </c>
      <c r="D22" s="2875">
        <f t="shared" si="3"/>
        <v>302</v>
      </c>
      <c r="E22" s="2875">
        <v>553</v>
      </c>
      <c r="F22" s="2876">
        <v>266</v>
      </c>
      <c r="G22" s="3570">
        <v>2016</v>
      </c>
      <c r="H22" s="3211">
        <v>4</v>
      </c>
      <c r="I22" s="3211">
        <v>4.5599999999999996</v>
      </c>
      <c r="J22" s="3211">
        <v>2.15</v>
      </c>
      <c r="K22" s="3211">
        <v>5.32</v>
      </c>
      <c r="L22" s="3212">
        <v>1.57</v>
      </c>
      <c r="M22" s="3194"/>
      <c r="N22" s="3207">
        <f t="shared" si="10"/>
        <v>4.5599999999999995E-2</v>
      </c>
      <c r="O22" s="3195">
        <f t="shared" si="10"/>
        <v>2.1499999999999998E-2</v>
      </c>
      <c r="P22" s="3195">
        <f t="shared" si="10"/>
        <v>5.3200000000000004E-2</v>
      </c>
      <c r="Q22" s="3195">
        <f t="shared" si="10"/>
        <v>1.5700000000000002E-2</v>
      </c>
      <c r="R22" s="3208"/>
      <c r="S22" s="3213"/>
      <c r="T22" s="3214"/>
      <c r="U22" s="3214"/>
      <c r="V22" s="3214"/>
      <c r="W22" s="3194"/>
      <c r="X22" s="3194">
        <f>ROUND(SUMPRODUCT(PRODUCT(1+N22:N$32)),4)</f>
        <v>1.274</v>
      </c>
      <c r="Y22" s="3194">
        <f>ROUND(SUMPRODUCT(PRODUCT(1+O22:O$32)),4)</f>
        <v>1.1740999999999999</v>
      </c>
      <c r="Z22" s="3194">
        <f t="shared" si="0"/>
        <v>1.1740999999999999</v>
      </c>
      <c r="AA22" s="3194">
        <f>ROUND(SUMPRODUCT(PRODUCT(1+P22:P$32)),4)</f>
        <v>1.3087</v>
      </c>
      <c r="AB22" s="3194">
        <f>ROUND(SUMPRODUCT(PRODUCT(1+Q22:Q$32)),4)</f>
        <v>1.1551</v>
      </c>
      <c r="AC22" s="3194"/>
      <c r="AD22" s="3195">
        <f>ROUND(AVERAGE(I22:I$33)/100,4)</f>
        <v>2.3E-2</v>
      </c>
      <c r="AE22" s="3195">
        <f>ROUND(AVERAGE(J22:J$33)/100,4)</f>
        <v>1.55E-2</v>
      </c>
      <c r="AF22" s="3195">
        <f t="shared" si="1"/>
        <v>1.55E-2</v>
      </c>
      <c r="AG22" s="3195">
        <f>ROUND(AVERAGE(K22:K$33)/100,4)</f>
        <v>2.5600000000000001E-2</v>
      </c>
      <c r="AH22" s="3195">
        <f>ROUND(AVERAGE(L22:L$33)/100,4)</f>
        <v>1.32E-2</v>
      </c>
    </row>
    <row r="23" spans="1:34">
      <c r="A23" s="3205" t="s">
        <v>960</v>
      </c>
      <c r="B23" s="3206">
        <f t="shared" ref="B23:C25" si="11">B22/(1+N22)</f>
        <v>374.90436113236416</v>
      </c>
      <c r="C23" s="3206">
        <f t="shared" si="11"/>
        <v>295.64366128242779</v>
      </c>
      <c r="D23" s="3206">
        <f t="shared" si="3"/>
        <v>295.64366128242779</v>
      </c>
      <c r="E23" s="3206">
        <f t="shared" ref="E23:F25" si="12">E22/(1+P22)</f>
        <v>525.06646410938095</v>
      </c>
      <c r="F23" s="3206">
        <f t="shared" si="12"/>
        <v>261.88835286009646</v>
      </c>
      <c r="G23" s="3562"/>
      <c r="H23" s="2859">
        <v>3</v>
      </c>
      <c r="I23" s="2859">
        <v>4.12</v>
      </c>
      <c r="J23" s="2859">
        <v>2</v>
      </c>
      <c r="K23" s="2859">
        <v>4.79</v>
      </c>
      <c r="L23" s="2860">
        <v>1.97</v>
      </c>
      <c r="M23" s="3194"/>
      <c r="N23" s="3207">
        <f t="shared" si="10"/>
        <v>4.1200000000000001E-2</v>
      </c>
      <c r="O23" s="3195">
        <f t="shared" si="10"/>
        <v>0.02</v>
      </c>
      <c r="P23" s="3195">
        <f t="shared" si="10"/>
        <v>4.7899999999999998E-2</v>
      </c>
      <c r="Q23" s="3195">
        <f t="shared" si="10"/>
        <v>1.9699999999999999E-2</v>
      </c>
      <c r="R23" s="3208"/>
      <c r="S23" s="3207"/>
      <c r="T23" s="3195"/>
      <c r="U23" s="3195"/>
      <c r="V23" s="3195"/>
      <c r="W23" s="3194"/>
      <c r="X23" s="3194">
        <f>ROUND(SUMPRODUCT(PRODUCT(1+N23:N$32)),4)</f>
        <v>1.2184999999999999</v>
      </c>
      <c r="Y23" s="3194">
        <f>ROUND(SUMPRODUCT(PRODUCT(1+O23:O$32)),4)</f>
        <v>1.1494</v>
      </c>
      <c r="Z23" s="3194">
        <f t="shared" si="0"/>
        <v>1.1494</v>
      </c>
      <c r="AA23" s="3194">
        <f>ROUND(SUMPRODUCT(PRODUCT(1+P23:P$32)),4)</f>
        <v>1.2425999999999999</v>
      </c>
      <c r="AB23" s="3194">
        <f>ROUND(SUMPRODUCT(PRODUCT(1+Q23:Q$32)),4)</f>
        <v>1.1372</v>
      </c>
      <c r="AC23" s="3194"/>
      <c r="AD23" s="3195">
        <f>ROUND(AVERAGE(I23:I$33)/100,4)</f>
        <v>2.0899999999999998E-2</v>
      </c>
      <c r="AE23" s="3195">
        <f>ROUND(AVERAGE(J23:J$33)/100,4)</f>
        <v>1.49E-2</v>
      </c>
      <c r="AF23" s="3195">
        <f t="shared" si="1"/>
        <v>1.49E-2</v>
      </c>
      <c r="AG23" s="3195">
        <f>ROUND(AVERAGE(K23:K$33)/100,4)</f>
        <v>2.3099999999999999E-2</v>
      </c>
      <c r="AH23" s="3195">
        <f>ROUND(AVERAGE(L23:L$33)/100,4)</f>
        <v>1.2999999999999999E-2</v>
      </c>
    </row>
    <row r="24" spans="1:34">
      <c r="A24" s="3205" t="s">
        <v>950</v>
      </c>
      <c r="B24" s="3206">
        <f t="shared" si="11"/>
        <v>360.06949782209392</v>
      </c>
      <c r="C24" s="3206">
        <f t="shared" si="11"/>
        <v>289.84672674747821</v>
      </c>
      <c r="D24" s="3206">
        <f t="shared" si="3"/>
        <v>289.84672674747821</v>
      </c>
      <c r="E24" s="3206">
        <f t="shared" si="12"/>
        <v>501.06543001181495</v>
      </c>
      <c r="F24" s="3206">
        <f t="shared" si="12"/>
        <v>256.82882500744967</v>
      </c>
      <c r="G24" s="3562"/>
      <c r="H24" s="3215">
        <v>2</v>
      </c>
      <c r="I24" s="3215">
        <v>3.85</v>
      </c>
      <c r="J24" s="3215">
        <v>1.95</v>
      </c>
      <c r="K24" s="3215">
        <v>4.4800000000000004</v>
      </c>
      <c r="L24" s="3216">
        <v>1.41</v>
      </c>
      <c r="M24" s="3194"/>
      <c r="N24" s="3207">
        <f t="shared" si="10"/>
        <v>3.85E-2</v>
      </c>
      <c r="O24" s="3195">
        <f t="shared" si="10"/>
        <v>1.95E-2</v>
      </c>
      <c r="P24" s="3195">
        <f t="shared" si="10"/>
        <v>4.4800000000000006E-2</v>
      </c>
      <c r="Q24" s="3195">
        <f t="shared" si="10"/>
        <v>1.41E-2</v>
      </c>
      <c r="R24" s="3208"/>
      <c r="S24" s="3207"/>
      <c r="T24" s="3195"/>
      <c r="U24" s="3195"/>
      <c r="V24" s="3195"/>
      <c r="W24" s="3194"/>
      <c r="X24" s="3194">
        <f>ROUND(SUMPRODUCT(PRODUCT(1+N24:N$32)),4)</f>
        <v>1.1702999999999999</v>
      </c>
      <c r="Y24" s="3194">
        <f>ROUND(SUMPRODUCT(PRODUCT(1+O24:O$32)),4)</f>
        <v>1.1269</v>
      </c>
      <c r="Z24" s="3194">
        <f t="shared" si="0"/>
        <v>1.1269</v>
      </c>
      <c r="AA24" s="3194">
        <f>ROUND(SUMPRODUCT(PRODUCT(1+P24:P$32)),4)</f>
        <v>1.1858</v>
      </c>
      <c r="AB24" s="3194">
        <f>ROUND(SUMPRODUCT(PRODUCT(1+Q24:Q$32)),4)</f>
        <v>1.1152</v>
      </c>
      <c r="AC24" s="3194"/>
      <c r="AD24" s="3195">
        <f>ROUND(AVERAGE(I24:I$33)/100,4)</f>
        <v>1.89E-2</v>
      </c>
      <c r="AE24" s="3195">
        <f>ROUND(AVERAGE(J24:J$33)/100,4)</f>
        <v>1.44E-2</v>
      </c>
      <c r="AF24" s="3195">
        <f t="shared" si="1"/>
        <v>1.44E-2</v>
      </c>
      <c r="AG24" s="3195">
        <f>ROUND(AVERAGE(K24:K$33)/100,4)</f>
        <v>2.06E-2</v>
      </c>
      <c r="AH24" s="3195">
        <f>ROUND(AVERAGE(L24:L$33)/100,4)</f>
        <v>1.23E-2</v>
      </c>
    </row>
    <row r="25" spans="1:34" ht="13.5" thickBot="1">
      <c r="A25" s="3205" t="s">
        <v>959</v>
      </c>
      <c r="B25" s="3206">
        <f t="shared" si="11"/>
        <v>346.720748986128</v>
      </c>
      <c r="C25" s="3206">
        <f t="shared" si="11"/>
        <v>284.30282172386285</v>
      </c>
      <c r="D25" s="3206">
        <f t="shared" si="3"/>
        <v>284.30282172386285</v>
      </c>
      <c r="E25" s="3206">
        <f t="shared" si="12"/>
        <v>479.58023546306947</v>
      </c>
      <c r="F25" s="3206">
        <f t="shared" si="12"/>
        <v>253.25788877571213</v>
      </c>
      <c r="G25" s="3563"/>
      <c r="H25" s="2859">
        <v>1</v>
      </c>
      <c r="I25" s="2859">
        <v>4.09</v>
      </c>
      <c r="J25" s="2859">
        <v>2.93</v>
      </c>
      <c r="K25" s="2859">
        <v>4.54</v>
      </c>
      <c r="L25" s="2860">
        <v>1.48</v>
      </c>
      <c r="M25" s="3194"/>
      <c r="N25" s="3207">
        <f t="shared" si="10"/>
        <v>4.0899999999999999E-2</v>
      </c>
      <c r="O25" s="3195">
        <f t="shared" si="10"/>
        <v>2.9300000000000003E-2</v>
      </c>
      <c r="P25" s="3195">
        <f t="shared" si="10"/>
        <v>4.5400000000000003E-2</v>
      </c>
      <c r="Q25" s="3195">
        <f t="shared" si="10"/>
        <v>1.4800000000000001E-2</v>
      </c>
      <c r="R25" s="3208"/>
      <c r="S25" s="3209">
        <f>B25/B26-1</f>
        <v>4.1203450408792808E-2</v>
      </c>
      <c r="T25" s="3210">
        <f>C25/C26-1</f>
        <v>2.6363977342465095E-2</v>
      </c>
      <c r="U25" s="3210">
        <f>E25/E26-1</f>
        <v>4.4837114298626357E-2</v>
      </c>
      <c r="V25" s="3210">
        <f>F25/F26-1</f>
        <v>1.7099954922538574E-2</v>
      </c>
      <c r="W25" s="3194"/>
      <c r="X25" s="3194">
        <f>ROUND(SUMPRODUCT(PRODUCT(1+N25:N$32)),4)</f>
        <v>1.1269</v>
      </c>
      <c r="Y25" s="3194">
        <f>ROUND(SUMPRODUCT(PRODUCT(1+O25:O$32)),4)</f>
        <v>1.1052999999999999</v>
      </c>
      <c r="Z25" s="3194">
        <f t="shared" si="0"/>
        <v>1.1052999999999999</v>
      </c>
      <c r="AA25" s="3194">
        <f>ROUND(SUMPRODUCT(PRODUCT(1+P25:P$32)),4)</f>
        <v>1.1349</v>
      </c>
      <c r="AB25" s="3194">
        <f>ROUND(SUMPRODUCT(PRODUCT(1+Q25:Q$32)),4)</f>
        <v>1.0996999999999999</v>
      </c>
      <c r="AC25" s="3194"/>
      <c r="AD25" s="3195">
        <f>ROUND(AVERAGE(I25:I$33)/100,4)</f>
        <v>1.67E-2</v>
      </c>
      <c r="AE25" s="3195">
        <f>ROUND(AVERAGE(J25:J$33)/100,4)</f>
        <v>1.38E-2</v>
      </c>
      <c r="AF25" s="3195">
        <f t="shared" si="1"/>
        <v>1.38E-2</v>
      </c>
      <c r="AG25" s="3195">
        <f>ROUND(AVERAGE(K25:K$33)/100,4)</f>
        <v>1.7899999999999999E-2</v>
      </c>
      <c r="AH25" s="3195">
        <f>ROUND(AVERAGE(L25:L$33)/100,4)</f>
        <v>1.21E-2</v>
      </c>
    </row>
    <row r="26" spans="1:34" ht="13.5" thickBot="1">
      <c r="A26" s="3205" t="s">
        <v>958</v>
      </c>
      <c r="B26" s="2875">
        <v>333</v>
      </c>
      <c r="C26" s="2875">
        <v>277</v>
      </c>
      <c r="D26" s="2875">
        <f t="shared" si="3"/>
        <v>277</v>
      </c>
      <c r="E26" s="2875">
        <v>459</v>
      </c>
      <c r="F26" s="2876">
        <v>249</v>
      </c>
      <c r="G26" s="3561">
        <v>2015</v>
      </c>
      <c r="H26" s="3220">
        <v>4</v>
      </c>
      <c r="I26" s="3220">
        <v>1.63</v>
      </c>
      <c r="J26" s="3220">
        <v>1.1100000000000001</v>
      </c>
      <c r="K26" s="3220">
        <v>1.77</v>
      </c>
      <c r="L26" s="3221">
        <v>1.89</v>
      </c>
      <c r="M26" s="3194"/>
      <c r="N26" s="3217">
        <f t="shared" si="10"/>
        <v>1.6299999999999999E-2</v>
      </c>
      <c r="O26" s="3218">
        <f t="shared" si="10"/>
        <v>1.11E-2</v>
      </c>
      <c r="P26" s="3218">
        <f t="shared" si="10"/>
        <v>1.77E-2</v>
      </c>
      <c r="Q26" s="3218">
        <f t="shared" si="10"/>
        <v>1.89E-2</v>
      </c>
      <c r="R26" s="3208"/>
      <c r="S26" s="3222"/>
      <c r="T26" s="3194"/>
      <c r="U26" s="3194"/>
      <c r="V26" s="3194"/>
      <c r="W26" s="3194"/>
      <c r="X26" s="3194">
        <f>ROUND(SUMPRODUCT(PRODUCT(1+N26:N$32)),4)</f>
        <v>1.0826</v>
      </c>
      <c r="Y26" s="3194">
        <f>ROUND(SUMPRODUCT(PRODUCT(1+O26:O$32)),4)</f>
        <v>1.0738000000000001</v>
      </c>
      <c r="Z26" s="3194">
        <f t="shared" si="0"/>
        <v>1.0738000000000001</v>
      </c>
      <c r="AA26" s="3194">
        <f>ROUND(SUMPRODUCT(PRODUCT(1+P26:P$32)),4)</f>
        <v>1.0855999999999999</v>
      </c>
      <c r="AB26" s="3194">
        <f>ROUND(SUMPRODUCT(PRODUCT(1+Q26:Q$32)),4)</f>
        <v>1.0837000000000001</v>
      </c>
      <c r="AC26" s="3194"/>
      <c r="AD26" s="3195">
        <f>ROUND(AVERAGE(I26:I$33)/100,4)</f>
        <v>1.37E-2</v>
      </c>
      <c r="AE26" s="3195">
        <f>ROUND(AVERAGE(J26:J$33)/100,4)</f>
        <v>1.1900000000000001E-2</v>
      </c>
      <c r="AF26" s="3195">
        <f t="shared" si="1"/>
        <v>1.1900000000000001E-2</v>
      </c>
      <c r="AG26" s="3195">
        <f>ROUND(AVERAGE(K26:K$33)/100,4)</f>
        <v>1.4500000000000001E-2</v>
      </c>
      <c r="AH26" s="3195">
        <f>ROUND(AVERAGE(L26:L$33)/100,4)</f>
        <v>1.18E-2</v>
      </c>
    </row>
    <row r="27" spans="1:34">
      <c r="A27" s="3205" t="s">
        <v>957</v>
      </c>
      <c r="B27" s="3206">
        <f t="shared" ref="B27:C29" si="13">B26/(1+N26)</f>
        <v>327.65915576109415</v>
      </c>
      <c r="C27" s="3206">
        <f t="shared" si="13"/>
        <v>273.95905449510434</v>
      </c>
      <c r="D27" s="3206">
        <f t="shared" si="3"/>
        <v>273.95905449510434</v>
      </c>
      <c r="E27" s="3206">
        <f t="shared" ref="E27:F29" si="14">E26/(1+P26)</f>
        <v>451.01699911565294</v>
      </c>
      <c r="F27" s="3206">
        <f t="shared" si="14"/>
        <v>244.38119540681129</v>
      </c>
      <c r="G27" s="3562"/>
      <c r="H27" s="3223">
        <v>3</v>
      </c>
      <c r="I27" s="3223">
        <v>1.65</v>
      </c>
      <c r="J27" s="3223">
        <v>0.92</v>
      </c>
      <c r="K27" s="3223">
        <v>1.88</v>
      </c>
      <c r="L27" s="3224">
        <v>1.26</v>
      </c>
      <c r="M27" s="3194"/>
      <c r="N27" s="3207">
        <f t="shared" si="10"/>
        <v>1.6500000000000001E-2</v>
      </c>
      <c r="O27" s="3219">
        <f t="shared" si="10"/>
        <v>9.1999999999999998E-3</v>
      </c>
      <c r="P27" s="3219">
        <f t="shared" si="10"/>
        <v>1.8799999999999997E-2</v>
      </c>
      <c r="Q27" s="3219">
        <f t="shared" si="10"/>
        <v>1.26E-2</v>
      </c>
      <c r="R27" s="3208"/>
      <c r="S27" s="3207"/>
      <c r="T27" s="3195"/>
      <c r="U27" s="3195"/>
      <c r="V27" s="3195"/>
      <c r="W27" s="3194"/>
      <c r="X27" s="3194">
        <f>ROUND(SUMPRODUCT(PRODUCT(1+N27:N$32)),4)</f>
        <v>1.0651999999999999</v>
      </c>
      <c r="Y27" s="3194">
        <f>ROUND(SUMPRODUCT(PRODUCT(1+O27:O$32)),4)</f>
        <v>1.0621</v>
      </c>
      <c r="Z27" s="3194">
        <f t="shared" si="0"/>
        <v>1.0621</v>
      </c>
      <c r="AA27" s="3194">
        <f>ROUND(SUMPRODUCT(PRODUCT(1+P27:P$32)),4)</f>
        <v>1.0668</v>
      </c>
      <c r="AB27" s="3194">
        <f>ROUND(SUMPRODUCT(PRODUCT(1+Q27:Q$32)),4)</f>
        <v>1.0636000000000001</v>
      </c>
      <c r="AC27" s="3194"/>
      <c r="AD27" s="3195">
        <f>ROUND(AVERAGE(I27:I$33)/100,4)</f>
        <v>1.3299999999999999E-2</v>
      </c>
      <c r="AE27" s="3195">
        <f>ROUND(AVERAGE(J27:J$33)/100,4)</f>
        <v>1.2E-2</v>
      </c>
      <c r="AF27" s="3195">
        <f t="shared" si="1"/>
        <v>1.2E-2</v>
      </c>
      <c r="AG27" s="3195">
        <f>ROUND(AVERAGE(K27:K$33)/100,4)</f>
        <v>1.4E-2</v>
      </c>
      <c r="AH27" s="3195">
        <f>ROUND(AVERAGE(L27:L$33)/100,4)</f>
        <v>1.0800000000000001E-2</v>
      </c>
    </row>
    <row r="28" spans="1:34">
      <c r="A28" s="3205" t="s">
        <v>956</v>
      </c>
      <c r="B28" s="3206">
        <f t="shared" si="13"/>
        <v>322.34053690220776</v>
      </c>
      <c r="C28" s="3206">
        <f t="shared" si="13"/>
        <v>271.46160770422546</v>
      </c>
      <c r="D28" s="3206">
        <f t="shared" si="3"/>
        <v>271.46160770422546</v>
      </c>
      <c r="E28" s="3206">
        <f t="shared" si="14"/>
        <v>442.69434542172456</v>
      </c>
      <c r="F28" s="3206">
        <f t="shared" si="14"/>
        <v>241.34030753190925</v>
      </c>
      <c r="G28" s="3562"/>
      <c r="H28" s="3215">
        <v>2</v>
      </c>
      <c r="I28" s="3215">
        <v>0.77</v>
      </c>
      <c r="J28" s="3215">
        <v>0.69</v>
      </c>
      <c r="K28" s="3215">
        <v>0.8</v>
      </c>
      <c r="L28" s="3216">
        <v>0.88</v>
      </c>
      <c r="M28" s="3194"/>
      <c r="N28" s="3207">
        <f t="shared" si="10"/>
        <v>7.7000000000000002E-3</v>
      </c>
      <c r="O28" s="3219">
        <f t="shared" si="10"/>
        <v>6.8999999999999999E-3</v>
      </c>
      <c r="P28" s="3219">
        <f t="shared" si="10"/>
        <v>8.0000000000000002E-3</v>
      </c>
      <c r="Q28" s="3219">
        <f t="shared" si="10"/>
        <v>8.8000000000000005E-3</v>
      </c>
      <c r="R28" s="3208"/>
      <c r="S28" s="3207"/>
      <c r="T28" s="3195"/>
      <c r="U28" s="3195"/>
      <c r="V28" s="3195"/>
      <c r="W28" s="3194"/>
      <c r="X28" s="3194">
        <f>ROUND(SUMPRODUCT(PRODUCT(1+N28:N$32)),4)</f>
        <v>1.048</v>
      </c>
      <c r="Y28" s="3194">
        <f>ROUND(SUMPRODUCT(PRODUCT(1+O28:O$32)),4)</f>
        <v>1.0524</v>
      </c>
      <c r="Z28" s="3194">
        <f t="shared" si="0"/>
        <v>1.0524</v>
      </c>
      <c r="AA28" s="3194">
        <f>ROUND(SUMPRODUCT(PRODUCT(1+P28:P$32)),4)</f>
        <v>1.0470999999999999</v>
      </c>
      <c r="AB28" s="3194">
        <f>ROUND(SUMPRODUCT(PRODUCT(1+Q28:Q$32)),4)</f>
        <v>1.0504</v>
      </c>
      <c r="AC28" s="3194"/>
      <c r="AD28" s="3195">
        <f>ROUND(AVERAGE(I28:I$33)/100,4)</f>
        <v>1.2800000000000001E-2</v>
      </c>
      <c r="AE28" s="3195">
        <f>ROUND(AVERAGE(J28:J$33)/100,4)</f>
        <v>1.2500000000000001E-2</v>
      </c>
      <c r="AF28" s="3195">
        <f t="shared" si="1"/>
        <v>1.2500000000000001E-2</v>
      </c>
      <c r="AG28" s="3195">
        <f>ROUND(AVERAGE(K28:K$33)/100,4)</f>
        <v>1.32E-2</v>
      </c>
      <c r="AH28" s="3195">
        <f>ROUND(AVERAGE(L28:L$33)/100,4)</f>
        <v>1.0500000000000001E-2</v>
      </c>
    </row>
    <row r="29" spans="1:34">
      <c r="A29" s="3205" t="s">
        <v>955</v>
      </c>
      <c r="B29" s="3206">
        <f t="shared" si="13"/>
        <v>319.87748030386797</v>
      </c>
      <c r="C29" s="3206">
        <f t="shared" si="13"/>
        <v>269.60135833173649</v>
      </c>
      <c r="D29" s="3206">
        <f t="shared" si="3"/>
        <v>269.60135833173649</v>
      </c>
      <c r="E29" s="3206">
        <f t="shared" si="14"/>
        <v>439.18089823583784</v>
      </c>
      <c r="F29" s="3206">
        <f t="shared" si="14"/>
        <v>239.23503918706311</v>
      </c>
      <c r="G29" s="3563"/>
      <c r="H29" s="2859">
        <v>1</v>
      </c>
      <c r="I29" s="2859">
        <v>0.51</v>
      </c>
      <c r="J29" s="2859">
        <v>0.54</v>
      </c>
      <c r="K29" s="2859">
        <v>0.48</v>
      </c>
      <c r="L29" s="2860">
        <v>0.93</v>
      </c>
      <c r="M29" s="3194"/>
      <c r="N29" s="3209">
        <f t="shared" si="10"/>
        <v>5.1000000000000004E-3</v>
      </c>
      <c r="O29" s="3210">
        <f t="shared" si="10"/>
        <v>5.4000000000000003E-3</v>
      </c>
      <c r="P29" s="3210">
        <f t="shared" si="10"/>
        <v>4.7999999999999996E-3</v>
      </c>
      <c r="Q29" s="3210">
        <f t="shared" si="10"/>
        <v>9.300000000000001E-3</v>
      </c>
      <c r="R29" s="3208"/>
      <c r="S29" s="3209">
        <f>B29/B30-1</f>
        <v>5.9040261127922822E-3</v>
      </c>
      <c r="T29" s="3210">
        <f>C29/C30-1</f>
        <v>5.9752176557332781E-3</v>
      </c>
      <c r="U29" s="3210">
        <f>E29/E30-1</f>
        <v>4.9906138119859556E-3</v>
      </c>
      <c r="V29" s="3210">
        <f>F29/F30-1</f>
        <v>9.4305450930933787E-3</v>
      </c>
      <c r="W29" s="3194"/>
      <c r="X29" s="3194">
        <f>ROUND(SUMPRODUCT(PRODUCT(1+N29:N$32)),4)</f>
        <v>1.0399</v>
      </c>
      <c r="Y29" s="3194">
        <f>ROUND(SUMPRODUCT(PRODUCT(1+O29:O$32)),4)</f>
        <v>1.0451999999999999</v>
      </c>
      <c r="Z29" s="3194">
        <f t="shared" si="0"/>
        <v>1.0451999999999999</v>
      </c>
      <c r="AA29" s="3194">
        <f>ROUND(SUMPRODUCT(PRODUCT(1+P29:P$32)),4)</f>
        <v>1.0387999999999999</v>
      </c>
      <c r="AB29" s="3194">
        <f>ROUND(SUMPRODUCT(PRODUCT(1+Q29:Q$32)),4)</f>
        <v>1.0411999999999999</v>
      </c>
      <c r="AC29" s="3194"/>
      <c r="AD29" s="3195">
        <f>ROUND(AVERAGE(I29:I$33)/100,4)</f>
        <v>1.38E-2</v>
      </c>
      <c r="AE29" s="3195">
        <f>ROUND(AVERAGE(J29:J$33)/100,4)</f>
        <v>1.3599999999999999E-2</v>
      </c>
      <c r="AF29" s="3195">
        <f t="shared" si="1"/>
        <v>1.3599999999999999E-2</v>
      </c>
      <c r="AG29" s="3195">
        <f>ROUND(AVERAGE(K29:K$33)/100,4)</f>
        <v>1.4200000000000001E-2</v>
      </c>
      <c r="AH29" s="3195">
        <f>ROUND(AVERAGE(L29:L$33)/100,4)</f>
        <v>1.0800000000000001E-2</v>
      </c>
    </row>
    <row r="30" spans="1:34" ht="13.5" thickBot="1">
      <c r="A30" s="3205" t="s">
        <v>954</v>
      </c>
      <c r="B30" s="3225">
        <v>318</v>
      </c>
      <c r="C30" s="3225">
        <v>268</v>
      </c>
      <c r="D30" s="3225">
        <f t="shared" si="3"/>
        <v>268</v>
      </c>
      <c r="E30" s="3225">
        <v>437</v>
      </c>
      <c r="F30" s="3226">
        <v>237</v>
      </c>
      <c r="G30" s="3561">
        <v>2014</v>
      </c>
      <c r="H30" s="3220">
        <v>4</v>
      </c>
      <c r="I30" s="3220">
        <v>0.21</v>
      </c>
      <c r="J30" s="3220">
        <v>0.41</v>
      </c>
      <c r="K30" s="3220">
        <v>0.12</v>
      </c>
      <c r="L30" s="3221">
        <v>0.89</v>
      </c>
      <c r="M30" s="3194"/>
      <c r="N30" s="3207">
        <f t="shared" si="10"/>
        <v>2.0999999999999999E-3</v>
      </c>
      <c r="O30" s="3195">
        <f t="shared" si="10"/>
        <v>4.0999999999999995E-3</v>
      </c>
      <c r="P30" s="3195">
        <f t="shared" si="10"/>
        <v>1.1999999999999999E-3</v>
      </c>
      <c r="Q30" s="3195">
        <f t="shared" si="10"/>
        <v>8.8999999999999999E-3</v>
      </c>
      <c r="R30" s="3208"/>
      <c r="S30" s="3213"/>
      <c r="T30" s="3214"/>
      <c r="U30" s="3214"/>
      <c r="V30" s="3214"/>
      <c r="W30" s="3194"/>
      <c r="X30" s="3194">
        <f>ROUND(SUMPRODUCT(PRODUCT(1+N30:N$32)),4)</f>
        <v>1.0347</v>
      </c>
      <c r="Y30" s="3194">
        <f>ROUND(SUMPRODUCT(PRODUCT(1+O30:O$32)),4)</f>
        <v>1.0395000000000001</v>
      </c>
      <c r="Z30" s="3194">
        <f t="shared" si="0"/>
        <v>1.0395000000000001</v>
      </c>
      <c r="AA30" s="3194">
        <f>ROUND(SUMPRODUCT(PRODUCT(1+P30:P$32)),4)</f>
        <v>1.0338000000000001</v>
      </c>
      <c r="AB30" s="3194">
        <f>ROUND(SUMPRODUCT(PRODUCT(1+Q30:Q$32)),4)</f>
        <v>1.0316000000000001</v>
      </c>
      <c r="AC30" s="3194"/>
      <c r="AD30" s="3195">
        <f>ROUND(AVERAGE(I30:I$33)/100,4)</f>
        <v>1.6E-2</v>
      </c>
      <c r="AE30" s="3195">
        <f>ROUND(AVERAGE(J30:J$33)/100,4)</f>
        <v>1.5599999999999999E-2</v>
      </c>
      <c r="AF30" s="3195">
        <f t="shared" si="1"/>
        <v>1.5599999999999999E-2</v>
      </c>
      <c r="AG30" s="3195">
        <f>ROUND(AVERAGE(K30:K$33)/100,4)</f>
        <v>1.66E-2</v>
      </c>
      <c r="AH30" s="3195">
        <f>ROUND(AVERAGE(L30:L$33)/100,4)</f>
        <v>1.12E-2</v>
      </c>
    </row>
    <row r="31" spans="1:34">
      <c r="A31" s="3205" t="s">
        <v>953</v>
      </c>
      <c r="B31" s="3206">
        <f t="shared" ref="B31:C33" si="15">B30/(1+N30)</f>
        <v>317.33359944117353</v>
      </c>
      <c r="C31" s="3206">
        <f t="shared" si="15"/>
        <v>266.90568668459315</v>
      </c>
      <c r="D31" s="3206">
        <f t="shared" si="3"/>
        <v>266.90568668459315</v>
      </c>
      <c r="E31" s="3206">
        <f t="shared" ref="E31:F33" si="16">E30/(1+P30)</f>
        <v>436.47622852576905</v>
      </c>
      <c r="F31" s="3206">
        <f t="shared" si="16"/>
        <v>234.90930716622066</v>
      </c>
      <c r="G31" s="3562"/>
      <c r="H31" s="3227">
        <v>3</v>
      </c>
      <c r="I31" s="3227">
        <v>0.83</v>
      </c>
      <c r="J31" s="3227">
        <v>1.47</v>
      </c>
      <c r="K31" s="3227">
        <v>0.65</v>
      </c>
      <c r="L31" s="3228">
        <v>0.72</v>
      </c>
      <c r="M31" s="3194"/>
      <c r="N31" s="3207">
        <f t="shared" si="10"/>
        <v>8.3000000000000001E-3</v>
      </c>
      <c r="O31" s="3195">
        <f t="shared" si="10"/>
        <v>1.47E-2</v>
      </c>
      <c r="P31" s="3195">
        <f t="shared" si="10"/>
        <v>6.5000000000000006E-3</v>
      </c>
      <c r="Q31" s="3195">
        <f t="shared" si="10"/>
        <v>7.1999999999999998E-3</v>
      </c>
      <c r="R31" s="3208"/>
      <c r="S31" s="3207"/>
      <c r="T31" s="3195"/>
      <c r="U31" s="3195"/>
      <c r="V31" s="3195"/>
      <c r="W31" s="3194"/>
      <c r="X31" s="3194">
        <f>ROUND(SUMPRODUCT(PRODUCT(1+N31:N$32)),4)</f>
        <v>1.0325</v>
      </c>
      <c r="Y31" s="3194">
        <f>ROUND(SUMPRODUCT(PRODUCT(1+O31:O$32)),4)</f>
        <v>1.0353000000000001</v>
      </c>
      <c r="Z31" s="3194">
        <f t="shared" si="0"/>
        <v>1.0353000000000001</v>
      </c>
      <c r="AA31" s="3194">
        <f>ROUND(SUMPRODUCT(PRODUCT(1+P31:P$32)),4)</f>
        <v>1.0326</v>
      </c>
      <c r="AB31" s="3194">
        <f>ROUND(SUMPRODUCT(PRODUCT(1+Q31:Q$32)),4)</f>
        <v>1.0225</v>
      </c>
      <c r="AC31" s="3194"/>
      <c r="AD31" s="3195">
        <f>ROUND(AVERAGE(I31:I$33)/100,4)</f>
        <v>2.07E-2</v>
      </c>
      <c r="AE31" s="3195">
        <f>ROUND(AVERAGE(J31:J$33)/100,4)</f>
        <v>1.95E-2</v>
      </c>
      <c r="AF31" s="3195">
        <f t="shared" si="1"/>
        <v>1.95E-2</v>
      </c>
      <c r="AG31" s="3195">
        <f>ROUND(AVERAGE(K31:K$33)/100,4)</f>
        <v>2.1700000000000001E-2</v>
      </c>
      <c r="AH31" s="3195">
        <f>ROUND(AVERAGE(L31:L$33)/100,4)</f>
        <v>1.2E-2</v>
      </c>
    </row>
    <row r="32" spans="1:34" ht="13.5" thickBot="1">
      <c r="A32" s="3205" t="s">
        <v>952</v>
      </c>
      <c r="B32" s="3206">
        <f t="shared" si="15"/>
        <v>314.72141172386546</v>
      </c>
      <c r="C32" s="3206">
        <f t="shared" si="15"/>
        <v>263.03901319069001</v>
      </c>
      <c r="D32" s="3206">
        <f t="shared" si="3"/>
        <v>263.03901319069001</v>
      </c>
      <c r="E32" s="3206">
        <f t="shared" si="16"/>
        <v>433.65745506782821</v>
      </c>
      <c r="F32" s="3206">
        <f t="shared" si="16"/>
        <v>233.23005080045735</v>
      </c>
      <c r="G32" s="3562"/>
      <c r="H32" s="3220">
        <v>2</v>
      </c>
      <c r="I32" s="3220">
        <v>2.4</v>
      </c>
      <c r="J32" s="3220">
        <v>2.0299999999999998</v>
      </c>
      <c r="K32" s="3220">
        <v>2.59</v>
      </c>
      <c r="L32" s="3221">
        <v>1.52</v>
      </c>
      <c r="M32" s="3194"/>
      <c r="N32" s="3207">
        <f t="shared" si="10"/>
        <v>2.4E-2</v>
      </c>
      <c r="O32" s="3195">
        <f t="shared" si="10"/>
        <v>2.0299999999999999E-2</v>
      </c>
      <c r="P32" s="3195">
        <f t="shared" si="10"/>
        <v>2.5899999999999999E-2</v>
      </c>
      <c r="Q32" s="3195">
        <f t="shared" si="10"/>
        <v>1.52E-2</v>
      </c>
      <c r="R32" s="3208"/>
      <c r="S32" s="3207"/>
      <c r="T32" s="3195"/>
      <c r="U32" s="3195"/>
      <c r="V32" s="3195"/>
      <c r="W32" s="3194"/>
      <c r="X32" s="3194">
        <f>1+N32</f>
        <v>1.024</v>
      </c>
      <c r="Y32" s="3194">
        <f>1+O32</f>
        <v>1.0203</v>
      </c>
      <c r="Z32" s="3194">
        <f t="shared" si="0"/>
        <v>1.0203</v>
      </c>
      <c r="AA32" s="3194">
        <f>1+P32</f>
        <v>1.0259</v>
      </c>
      <c r="AB32" s="3194">
        <f>1+Q32</f>
        <v>1.0152000000000001</v>
      </c>
      <c r="AC32" s="3194"/>
      <c r="AD32" s="3195">
        <f>ROUND(AVERAGE(I32:I$33)/100,4)</f>
        <v>2.69E-2</v>
      </c>
      <c r="AE32" s="3195">
        <f>ROUND(AVERAGE(J32:J$33)/100,4)</f>
        <v>2.1899999999999999E-2</v>
      </c>
      <c r="AF32" s="3195">
        <f t="shared" si="1"/>
        <v>2.1899999999999999E-2</v>
      </c>
      <c r="AG32" s="3195">
        <f>ROUND(AVERAGE(K32:K$33)/100,4)</f>
        <v>2.9399999999999999E-2</v>
      </c>
      <c r="AH32" s="3195">
        <f>ROUND(AVERAGE(L32:L$33)/100,4)</f>
        <v>1.44E-2</v>
      </c>
    </row>
    <row r="33" spans="1:34" ht="13.5" thickBot="1">
      <c r="A33" s="3229" t="s">
        <v>951</v>
      </c>
      <c r="B33" s="3230">
        <f t="shared" si="15"/>
        <v>307.34512863658733</v>
      </c>
      <c r="C33" s="3230">
        <f t="shared" si="15"/>
        <v>257.80556031626975</v>
      </c>
      <c r="D33" s="3230">
        <f t="shared" si="3"/>
        <v>257.80556031626975</v>
      </c>
      <c r="E33" s="3230">
        <f t="shared" si="16"/>
        <v>422.70928459677179</v>
      </c>
      <c r="F33" s="3230">
        <f t="shared" si="16"/>
        <v>229.73803270336617</v>
      </c>
      <c r="G33" s="3563"/>
      <c r="H33" s="3231">
        <v>1</v>
      </c>
      <c r="I33" s="3231">
        <v>2.97</v>
      </c>
      <c r="J33" s="3231">
        <v>2.34</v>
      </c>
      <c r="K33" s="3231">
        <v>3.28</v>
      </c>
      <c r="L33" s="3232">
        <v>1.36</v>
      </c>
      <c r="M33" s="3233"/>
      <c r="N33" s="3234">
        <f t="shared" si="10"/>
        <v>2.9700000000000001E-2</v>
      </c>
      <c r="O33" s="3235">
        <f t="shared" si="10"/>
        <v>2.3399999999999997E-2</v>
      </c>
      <c r="P33" s="3235">
        <f t="shared" si="10"/>
        <v>3.2799999999999996E-2</v>
      </c>
      <c r="Q33" s="3235">
        <f t="shared" si="10"/>
        <v>1.3600000000000001E-2</v>
      </c>
      <c r="R33" s="3236"/>
      <c r="S33" s="3237">
        <f>B33/B34-1</f>
        <v>2.7910129219355539E-2</v>
      </c>
      <c r="T33" s="3238">
        <f>C33/C34-1</f>
        <v>2.3037937762975247E-2</v>
      </c>
      <c r="U33" s="3238">
        <f>E33/E34-1</f>
        <v>3.3519033243940788E-2</v>
      </c>
      <c r="V33" s="3238">
        <f>F33/F34-1</f>
        <v>1.2061818076502862E-2</v>
      </c>
      <c r="W33" s="3239" t="s">
        <v>2596</v>
      </c>
      <c r="X33" s="3240">
        <v>1</v>
      </c>
      <c r="Y33" s="3240">
        <v>1</v>
      </c>
      <c r="Z33" s="3240">
        <v>1</v>
      </c>
      <c r="AA33" s="3240">
        <v>1</v>
      </c>
      <c r="AB33" s="3240">
        <v>1</v>
      </c>
      <c r="AC33" s="3233"/>
      <c r="AD33" s="3235">
        <f>I33/100</f>
        <v>2.9700000000000001E-2</v>
      </c>
      <c r="AE33" s="3235">
        <f>J33/100</f>
        <v>2.3399999999999997E-2</v>
      </c>
      <c r="AF33" s="3235">
        <f>AE33</f>
        <v>2.3399999999999997E-2</v>
      </c>
      <c r="AG33" s="3235">
        <f>K33/100</f>
        <v>3.2799999999999996E-2</v>
      </c>
      <c r="AH33" s="3235">
        <f>L33/100</f>
        <v>1.3600000000000001E-2</v>
      </c>
    </row>
    <row r="34" spans="1:34" ht="13.5" thickBot="1">
      <c r="A34" s="3205" t="s">
        <v>2561</v>
      </c>
      <c r="B34" s="2875">
        <v>299</v>
      </c>
      <c r="C34" s="2875">
        <v>252</v>
      </c>
      <c r="D34" s="2875">
        <f t="shared" si="3"/>
        <v>252</v>
      </c>
      <c r="E34" s="2875">
        <v>409</v>
      </c>
      <c r="F34" s="2876">
        <v>227</v>
      </c>
      <c r="G34" s="3564">
        <v>2013</v>
      </c>
      <c r="H34" s="3241">
        <v>4</v>
      </c>
      <c r="I34" s="3241">
        <v>1.83</v>
      </c>
      <c r="J34" s="3241">
        <v>1.68</v>
      </c>
      <c r="K34" s="3241">
        <v>1.97</v>
      </c>
      <c r="L34" s="3242">
        <v>0.87</v>
      </c>
      <c r="M34" s="3194"/>
      <c r="N34" s="3217">
        <f t="shared" si="10"/>
        <v>1.83E-2</v>
      </c>
      <c r="O34" s="3218">
        <f t="shared" si="10"/>
        <v>1.6799999999999999E-2</v>
      </c>
      <c r="P34" s="3218">
        <f t="shared" si="10"/>
        <v>1.9699999999999999E-2</v>
      </c>
      <c r="Q34" s="3218">
        <f t="shared" si="10"/>
        <v>8.6999999999999994E-3</v>
      </c>
      <c r="R34" s="3208"/>
      <c r="S34" s="3213"/>
      <c r="T34" s="3214"/>
      <c r="U34" s="3214"/>
      <c r="V34" s="3214"/>
      <c r="W34" s="3194"/>
      <c r="X34" s="3214"/>
      <c r="Y34" s="3214"/>
      <c r="Z34" s="3214"/>
      <c r="AA34" s="3194"/>
      <c r="AB34" s="3194"/>
      <c r="AC34" s="3194"/>
      <c r="AD34" s="3194"/>
      <c r="AE34" s="3194"/>
      <c r="AF34" s="3194"/>
      <c r="AG34" s="3194"/>
      <c r="AH34" s="3194"/>
    </row>
    <row r="35" spans="1:34">
      <c r="A35" s="3205" t="s">
        <v>2562</v>
      </c>
      <c r="B35" s="3206">
        <f t="shared" ref="B35:C37" si="17">B34/(1+N34)</f>
        <v>293.62663262299913</v>
      </c>
      <c r="C35" s="3206">
        <f t="shared" si="17"/>
        <v>247.83634933123525</v>
      </c>
      <c r="D35" s="3206">
        <f t="shared" si="3"/>
        <v>247.83634933123525</v>
      </c>
      <c r="E35" s="3206">
        <f t="shared" ref="E35:F37" si="18">E34/(1+P34)</f>
        <v>401.09836226341076</v>
      </c>
      <c r="F35" s="3206">
        <f t="shared" si="18"/>
        <v>225.04213343908003</v>
      </c>
      <c r="G35" s="3565"/>
      <c r="H35" s="3223">
        <v>3</v>
      </c>
      <c r="I35" s="3223">
        <v>1.86</v>
      </c>
      <c r="J35" s="3223">
        <v>1.72</v>
      </c>
      <c r="K35" s="3223">
        <v>1.98</v>
      </c>
      <c r="L35" s="3224">
        <v>0.88</v>
      </c>
      <c r="M35" s="3194"/>
      <c r="N35" s="3207">
        <f t="shared" si="10"/>
        <v>1.8600000000000002E-2</v>
      </c>
      <c r="O35" s="3219">
        <f t="shared" si="10"/>
        <v>1.72E-2</v>
      </c>
      <c r="P35" s="3219">
        <f t="shared" si="10"/>
        <v>1.9799999999999998E-2</v>
      </c>
      <c r="Q35" s="3219">
        <f t="shared" si="10"/>
        <v>8.8000000000000005E-3</v>
      </c>
      <c r="R35" s="3208"/>
      <c r="S35" s="3207"/>
      <c r="T35" s="3195"/>
      <c r="U35" s="3195"/>
      <c r="V35" s="3195"/>
      <c r="W35" s="3194"/>
      <c r="X35" s="3194"/>
      <c r="Y35" s="3194"/>
      <c r="Z35" s="3194"/>
      <c r="AA35" s="3194"/>
      <c r="AB35" s="3194"/>
      <c r="AC35" s="3194"/>
      <c r="AD35" s="3194"/>
      <c r="AE35" s="3194"/>
      <c r="AF35" s="3194"/>
      <c r="AG35" s="3194"/>
      <c r="AH35" s="3194"/>
    </row>
    <row r="36" spans="1:34">
      <c r="A36" s="3205" t="s">
        <v>2563</v>
      </c>
      <c r="B36" s="3206">
        <f t="shared" si="17"/>
        <v>288.2649053828776</v>
      </c>
      <c r="C36" s="3206">
        <f t="shared" si="17"/>
        <v>243.64564425013293</v>
      </c>
      <c r="D36" s="3206">
        <f t="shared" si="3"/>
        <v>243.64564425013293</v>
      </c>
      <c r="E36" s="3206">
        <f t="shared" si="18"/>
        <v>393.31080825986544</v>
      </c>
      <c r="F36" s="3206">
        <f t="shared" si="18"/>
        <v>223.07903790551154</v>
      </c>
      <c r="G36" s="3565"/>
      <c r="H36" s="3215">
        <v>2</v>
      </c>
      <c r="I36" s="3215">
        <v>2.04</v>
      </c>
      <c r="J36" s="3215">
        <v>2.33</v>
      </c>
      <c r="K36" s="3215">
        <v>2.0699999999999998</v>
      </c>
      <c r="L36" s="3216">
        <v>0.69</v>
      </c>
      <c r="M36" s="3194"/>
      <c r="N36" s="3207">
        <f t="shared" si="10"/>
        <v>2.0400000000000001E-2</v>
      </c>
      <c r="O36" s="3219">
        <f t="shared" si="10"/>
        <v>2.3300000000000001E-2</v>
      </c>
      <c r="P36" s="3219">
        <f t="shared" si="10"/>
        <v>2.07E-2</v>
      </c>
      <c r="Q36" s="3219">
        <f t="shared" si="10"/>
        <v>6.8999999999999999E-3</v>
      </c>
      <c r="R36" s="3208"/>
      <c r="S36" s="3207"/>
      <c r="T36" s="3195"/>
      <c r="U36" s="3195"/>
      <c r="V36" s="3195"/>
      <c r="W36" s="3194"/>
      <c r="X36" s="3243"/>
      <c r="Y36" s="3244"/>
      <c r="Z36" s="3194"/>
      <c r="AA36" s="3194"/>
      <c r="AB36" s="3194"/>
      <c r="AC36" s="3194"/>
      <c r="AD36" s="3194"/>
      <c r="AE36" s="3194"/>
      <c r="AF36" s="3194"/>
      <c r="AG36" s="3194"/>
      <c r="AH36" s="3194"/>
    </row>
    <row r="37" spans="1:34">
      <c r="A37" s="3205" t="s">
        <v>2564</v>
      </c>
      <c r="B37" s="3206">
        <f t="shared" si="17"/>
        <v>282.50186729015837</v>
      </c>
      <c r="C37" s="3206">
        <f t="shared" si="17"/>
        <v>238.09796174155468</v>
      </c>
      <c r="D37" s="3206">
        <f t="shared" si="3"/>
        <v>238.09796174155468</v>
      </c>
      <c r="E37" s="3206">
        <f t="shared" si="18"/>
        <v>385.33438646014054</v>
      </c>
      <c r="F37" s="3206">
        <f t="shared" si="18"/>
        <v>221.55034055567739</v>
      </c>
      <c r="G37" s="3566"/>
      <c r="H37" s="2859">
        <v>1</v>
      </c>
      <c r="I37" s="2859">
        <v>1.67</v>
      </c>
      <c r="J37" s="2859">
        <v>1.31</v>
      </c>
      <c r="K37" s="2859">
        <v>1.85</v>
      </c>
      <c r="L37" s="2860">
        <v>0.96</v>
      </c>
      <c r="M37" s="3194"/>
      <c r="N37" s="3209">
        <f t="shared" ref="N37:Q57" si="19">I37/100</f>
        <v>1.67E-2</v>
      </c>
      <c r="O37" s="3210">
        <f t="shared" si="19"/>
        <v>1.3100000000000001E-2</v>
      </c>
      <c r="P37" s="3210">
        <f t="shared" si="19"/>
        <v>1.8500000000000003E-2</v>
      </c>
      <c r="Q37" s="3210">
        <f t="shared" si="19"/>
        <v>9.5999999999999992E-3</v>
      </c>
      <c r="R37" s="3208"/>
      <c r="S37" s="3209">
        <f>B37/B38-1</f>
        <v>1.6193767230785472E-2</v>
      </c>
      <c r="T37" s="3210">
        <f>C37/C38-1</f>
        <v>1.7512657015190891E-2</v>
      </c>
      <c r="U37" s="3210">
        <f>E37/E38-1</f>
        <v>1.6713420739157048E-2</v>
      </c>
      <c r="V37" s="3210">
        <f>F37/F38-1</f>
        <v>7.0470025258062563E-3</v>
      </c>
      <c r="W37" s="3194"/>
      <c r="X37" s="3245"/>
      <c r="Y37" s="3195"/>
      <c r="Z37" s="3195"/>
      <c r="AA37" s="3194"/>
      <c r="AB37" s="3194"/>
      <c r="AC37" s="3194"/>
      <c r="AD37" s="3194"/>
      <c r="AE37" s="3194"/>
      <c r="AF37" s="3194"/>
      <c r="AG37" s="3194"/>
      <c r="AH37" s="3194"/>
    </row>
    <row r="38" spans="1:34" ht="13.5" thickBot="1">
      <c r="A38" s="3205" t="s">
        <v>2565</v>
      </c>
      <c r="B38" s="3246">
        <v>278</v>
      </c>
      <c r="C38" s="3246">
        <v>234</v>
      </c>
      <c r="D38" s="3246">
        <f t="shared" si="3"/>
        <v>234</v>
      </c>
      <c r="E38" s="3246">
        <v>379</v>
      </c>
      <c r="F38" s="3247">
        <v>220</v>
      </c>
      <c r="G38" s="3561">
        <v>2012</v>
      </c>
      <c r="H38" s="3220">
        <v>4</v>
      </c>
      <c r="I38" s="3220">
        <v>0.91</v>
      </c>
      <c r="J38" s="3220">
        <v>0.68</v>
      </c>
      <c r="K38" s="3220">
        <v>0.98</v>
      </c>
      <c r="L38" s="3221">
        <v>0.9</v>
      </c>
      <c r="M38" s="3194"/>
      <c r="N38" s="3207">
        <f t="shared" si="19"/>
        <v>9.1000000000000004E-3</v>
      </c>
      <c r="O38" s="3195">
        <f t="shared" si="19"/>
        <v>6.8000000000000005E-3</v>
      </c>
      <c r="P38" s="3195">
        <f t="shared" si="19"/>
        <v>9.7999999999999997E-3</v>
      </c>
      <c r="Q38" s="3195">
        <f t="shared" si="19"/>
        <v>9.0000000000000011E-3</v>
      </c>
      <c r="R38" s="3208"/>
      <c r="S38" s="3213"/>
      <c r="T38" s="3214"/>
      <c r="U38" s="3214"/>
      <c r="V38" s="3214"/>
      <c r="W38" s="3194"/>
      <c r="X38" s="3214"/>
      <c r="Y38" s="3214"/>
      <c r="Z38" s="3214"/>
      <c r="AA38" s="3194"/>
      <c r="AB38" s="3194"/>
      <c r="AC38" s="3194"/>
      <c r="AD38" s="3194"/>
      <c r="AE38" s="3194"/>
      <c r="AF38" s="3194"/>
      <c r="AG38" s="3194"/>
      <c r="AH38" s="3194"/>
    </row>
    <row r="39" spans="1:34">
      <c r="A39" s="3205" t="s">
        <v>2566</v>
      </c>
      <c r="B39" s="3206">
        <f>B38/(1+N38)</f>
        <v>275.49301357645425</v>
      </c>
      <c r="C39" s="3206">
        <f>C38/(1+O38)</f>
        <v>232.41954707985698</v>
      </c>
      <c r="D39" s="3206">
        <f t="shared" si="3"/>
        <v>232.41954707985698</v>
      </c>
      <c r="E39" s="3206">
        <f t="shared" ref="E39:F41" si="20">E38/(1+P38)</f>
        <v>375.32184591008121</v>
      </c>
      <c r="F39" s="3206">
        <f t="shared" si="20"/>
        <v>218.03766105054513</v>
      </c>
      <c r="G39" s="3562"/>
      <c r="H39" s="3223">
        <v>3</v>
      </c>
      <c r="I39" s="3223">
        <v>0.09</v>
      </c>
      <c r="J39" s="3223">
        <v>0.28999999999999998</v>
      </c>
      <c r="K39" s="3223">
        <v>-0.01</v>
      </c>
      <c r="L39" s="3224">
        <v>0.57999999999999996</v>
      </c>
      <c r="M39" s="3194"/>
      <c r="N39" s="3207">
        <f t="shared" si="19"/>
        <v>8.9999999999999998E-4</v>
      </c>
      <c r="O39" s="3195">
        <f t="shared" si="19"/>
        <v>2.8999999999999998E-3</v>
      </c>
      <c r="P39" s="3195">
        <f t="shared" si="19"/>
        <v>-1E-4</v>
      </c>
      <c r="Q39" s="3195">
        <f t="shared" si="19"/>
        <v>5.7999999999999996E-3</v>
      </c>
      <c r="R39" s="3208"/>
      <c r="S39" s="3207"/>
      <c r="T39" s="3195"/>
      <c r="U39" s="3195"/>
      <c r="V39" s="3195"/>
      <c r="W39" s="3194"/>
      <c r="X39" s="3194"/>
      <c r="Y39" s="3194"/>
      <c r="Z39" s="3194"/>
      <c r="AA39" s="3194"/>
      <c r="AB39" s="3194"/>
      <c r="AC39" s="3194"/>
      <c r="AD39" s="3194"/>
      <c r="AE39" s="3194"/>
      <c r="AF39" s="3194"/>
      <c r="AG39" s="3194"/>
      <c r="AH39" s="3194"/>
    </row>
    <row r="40" spans="1:34">
      <c r="A40" s="3205" t="s">
        <v>2567</v>
      </c>
      <c r="B40" s="3206">
        <f>B39/(1+N39)</f>
        <v>275.24529281292263</v>
      </c>
      <c r="C40" s="3206">
        <f>C39/(1+O39)</f>
        <v>231.74747938962707</v>
      </c>
      <c r="D40" s="3206">
        <f t="shared" si="3"/>
        <v>231.74747938962707</v>
      </c>
      <c r="E40" s="3206">
        <f t="shared" si="20"/>
        <v>375.35938184826603</v>
      </c>
      <c r="F40" s="3206">
        <f t="shared" si="20"/>
        <v>216.78033510692495</v>
      </c>
      <c r="G40" s="3562"/>
      <c r="H40" s="3215">
        <v>2</v>
      </c>
      <c r="I40" s="3215">
        <v>0.02</v>
      </c>
      <c r="J40" s="3215">
        <v>0.12</v>
      </c>
      <c r="K40" s="3215">
        <v>-0.08</v>
      </c>
      <c r="L40" s="3216">
        <v>1.24</v>
      </c>
      <c r="M40" s="3194"/>
      <c r="N40" s="3207">
        <f t="shared" si="19"/>
        <v>2.0000000000000001E-4</v>
      </c>
      <c r="O40" s="3195">
        <f t="shared" si="19"/>
        <v>1.1999999999999999E-3</v>
      </c>
      <c r="P40" s="3195">
        <f t="shared" si="19"/>
        <v>-8.0000000000000004E-4</v>
      </c>
      <c r="Q40" s="3195">
        <f t="shared" si="19"/>
        <v>1.24E-2</v>
      </c>
      <c r="R40" s="3208"/>
      <c r="S40" s="3207"/>
      <c r="T40" s="3195"/>
      <c r="U40" s="3195"/>
      <c r="V40" s="3195"/>
      <c r="W40" s="3194"/>
      <c r="X40" s="3194"/>
      <c r="Y40" s="3194"/>
      <c r="Z40" s="3194"/>
      <c r="AA40" s="3194"/>
      <c r="AB40" s="3194"/>
      <c r="AC40" s="3194"/>
      <c r="AD40" s="3194"/>
      <c r="AE40" s="3194"/>
      <c r="AF40" s="3194"/>
      <c r="AG40" s="3194"/>
      <c r="AH40" s="3194"/>
    </row>
    <row r="41" spans="1:34" ht="13.5" thickBot="1">
      <c r="A41" s="3205" t="s">
        <v>2568</v>
      </c>
      <c r="B41" s="3206">
        <f>B40/(1+N40)</f>
        <v>275.19025476197027</v>
      </c>
      <c r="C41" s="3248">
        <v>232</v>
      </c>
      <c r="D41" s="3248">
        <f t="shared" si="3"/>
        <v>232</v>
      </c>
      <c r="E41" s="3206">
        <f t="shared" si="20"/>
        <v>375.65990977608692</v>
      </c>
      <c r="F41" s="3206">
        <f t="shared" si="20"/>
        <v>214.12518283971252</v>
      </c>
      <c r="G41" s="3563"/>
      <c r="H41" s="2859">
        <v>1</v>
      </c>
      <c r="I41" s="2859">
        <v>0.02</v>
      </c>
      <c r="J41" s="2859">
        <v>0.13</v>
      </c>
      <c r="K41" s="2859">
        <v>-0.04</v>
      </c>
      <c r="L41" s="2860">
        <v>0.46</v>
      </c>
      <c r="M41" s="3194"/>
      <c r="N41" s="3207">
        <f t="shared" si="19"/>
        <v>2.0000000000000001E-4</v>
      </c>
      <c r="O41" s="3195">
        <f t="shared" si="19"/>
        <v>1.2999999999999999E-3</v>
      </c>
      <c r="P41" s="3195">
        <f t="shared" si="19"/>
        <v>-4.0000000000000002E-4</v>
      </c>
      <c r="Q41" s="3195">
        <f t="shared" si="19"/>
        <v>4.5999999999999999E-3</v>
      </c>
      <c r="R41" s="3208"/>
      <c r="S41" s="3209">
        <f>B41/B42-1</f>
        <v>6.9183549807361189E-4</v>
      </c>
      <c r="T41" s="3210">
        <f>C41/C42-1</f>
        <v>0</v>
      </c>
      <c r="U41" s="3210">
        <f>E41/E42-1</f>
        <v>-9.0449527636460303E-4</v>
      </c>
      <c r="V41" s="3210">
        <f>F41/F42-1</f>
        <v>5.2825485432512753E-3</v>
      </c>
      <c r="W41" s="3194"/>
      <c r="X41" s="3195"/>
      <c r="Y41" s="3195"/>
      <c r="Z41" s="3195"/>
      <c r="AA41" s="3194"/>
      <c r="AB41" s="3194"/>
      <c r="AC41" s="3194"/>
      <c r="AD41" s="3194"/>
      <c r="AE41" s="3194"/>
      <c r="AF41" s="3194"/>
      <c r="AG41" s="3194"/>
      <c r="AH41" s="3194"/>
    </row>
    <row r="42" spans="1:34" ht="13.5" thickBot="1">
      <c r="A42" s="3205" t="s">
        <v>2569</v>
      </c>
      <c r="B42" s="2875">
        <v>275</v>
      </c>
      <c r="C42" s="2875">
        <v>232</v>
      </c>
      <c r="D42" s="2875">
        <f t="shared" si="3"/>
        <v>232</v>
      </c>
      <c r="E42" s="2875">
        <v>376</v>
      </c>
      <c r="F42" s="2876">
        <v>213</v>
      </c>
      <c r="G42" s="3561">
        <v>2011</v>
      </c>
      <c r="H42" s="3220">
        <v>4</v>
      </c>
      <c r="I42" s="3220">
        <v>-0.2</v>
      </c>
      <c r="J42" s="3220">
        <v>0.04</v>
      </c>
      <c r="K42" s="3220">
        <v>-0.34</v>
      </c>
      <c r="L42" s="3221">
        <v>0.46</v>
      </c>
      <c r="M42" s="3194"/>
      <c r="N42" s="3217">
        <f t="shared" si="19"/>
        <v>-2E-3</v>
      </c>
      <c r="O42" s="3218">
        <f t="shared" si="19"/>
        <v>4.0000000000000002E-4</v>
      </c>
      <c r="P42" s="3218">
        <f t="shared" si="19"/>
        <v>-3.4000000000000002E-3</v>
      </c>
      <c r="Q42" s="3218">
        <f t="shared" si="19"/>
        <v>4.5999999999999999E-3</v>
      </c>
      <c r="R42" s="3208"/>
      <c r="S42" s="3213"/>
      <c r="T42" s="3214"/>
      <c r="U42" s="3214"/>
      <c r="V42" s="3214"/>
      <c r="W42" s="3194"/>
      <c r="X42" s="3214"/>
      <c r="Y42" s="3214"/>
      <c r="Z42" s="3214"/>
      <c r="AA42" s="3194"/>
      <c r="AB42" s="3194"/>
      <c r="AC42" s="3194"/>
      <c r="AD42" s="3194"/>
      <c r="AE42" s="3194"/>
      <c r="AF42" s="3194"/>
      <c r="AG42" s="3194"/>
      <c r="AH42" s="3194"/>
    </row>
    <row r="43" spans="1:34">
      <c r="A43" s="3205" t="s">
        <v>2570</v>
      </c>
      <c r="B43" s="3206">
        <f t="shared" ref="B43:C45" si="21">B42/(1+N42)</f>
        <v>275.55110220440883</v>
      </c>
      <c r="C43" s="3206">
        <f t="shared" si="21"/>
        <v>231.90723710515795</v>
      </c>
      <c r="D43" s="3206">
        <f t="shared" si="3"/>
        <v>231.90723710515795</v>
      </c>
      <c r="E43" s="3206">
        <f t="shared" ref="E43:F45" si="22">E42/(1+P42)</f>
        <v>377.28276138872161</v>
      </c>
      <c r="F43" s="3206">
        <f t="shared" si="22"/>
        <v>212.02468644236512</v>
      </c>
      <c r="G43" s="3562">
        <v>2011</v>
      </c>
      <c r="H43" s="3223">
        <v>3</v>
      </c>
      <c r="I43" s="3223">
        <v>0.13</v>
      </c>
      <c r="J43" s="3223">
        <v>0.75</v>
      </c>
      <c r="K43" s="3223">
        <v>-0.08</v>
      </c>
      <c r="L43" s="3224">
        <v>0.53</v>
      </c>
      <c r="M43" s="3194"/>
      <c r="N43" s="3207">
        <f t="shared" si="19"/>
        <v>1.2999999999999999E-3</v>
      </c>
      <c r="O43" s="3219">
        <f t="shared" si="19"/>
        <v>7.4999999999999997E-3</v>
      </c>
      <c r="P43" s="3219">
        <f t="shared" si="19"/>
        <v>-8.0000000000000004E-4</v>
      </c>
      <c r="Q43" s="3219">
        <f t="shared" si="19"/>
        <v>5.3E-3</v>
      </c>
      <c r="R43" s="3208"/>
      <c r="S43" s="3207"/>
      <c r="T43" s="3195"/>
      <c r="U43" s="3195"/>
      <c r="V43" s="3195"/>
      <c r="W43" s="3194"/>
      <c r="X43" s="3194"/>
      <c r="Y43" s="3194"/>
      <c r="Z43" s="3194"/>
      <c r="AA43" s="3194"/>
      <c r="AB43" s="3194"/>
      <c r="AC43" s="3194"/>
      <c r="AD43" s="3194"/>
      <c r="AE43" s="3194"/>
      <c r="AF43" s="3194"/>
      <c r="AG43" s="3194"/>
      <c r="AH43" s="3194"/>
    </row>
    <row r="44" spans="1:34">
      <c r="A44" s="3205" t="s">
        <v>2571</v>
      </c>
      <c r="B44" s="3206">
        <f t="shared" si="21"/>
        <v>275.19335084830601</v>
      </c>
      <c r="C44" s="3206">
        <f t="shared" si="21"/>
        <v>230.18088050139744</v>
      </c>
      <c r="D44" s="3206">
        <f t="shared" si="3"/>
        <v>230.18088050139744</v>
      </c>
      <c r="E44" s="3206">
        <f t="shared" si="22"/>
        <v>377.58482925212331</v>
      </c>
      <c r="F44" s="3206">
        <f t="shared" si="22"/>
        <v>210.90687997847917</v>
      </c>
      <c r="G44" s="3562">
        <v>2011</v>
      </c>
      <c r="H44" s="3215">
        <v>2</v>
      </c>
      <c r="I44" s="3215">
        <v>-0.4</v>
      </c>
      <c r="J44" s="3215">
        <v>0.17</v>
      </c>
      <c r="K44" s="3215">
        <v>-0.57999999999999996</v>
      </c>
      <c r="L44" s="3216">
        <v>-0.2</v>
      </c>
      <c r="M44" s="3194"/>
      <c r="N44" s="3207">
        <f t="shared" si="19"/>
        <v>-4.0000000000000001E-3</v>
      </c>
      <c r="O44" s="3219">
        <f t="shared" si="19"/>
        <v>1.7000000000000001E-3</v>
      </c>
      <c r="P44" s="3219">
        <f t="shared" si="19"/>
        <v>-5.7999999999999996E-3</v>
      </c>
      <c r="Q44" s="3219">
        <f t="shared" si="19"/>
        <v>-2E-3</v>
      </c>
      <c r="R44" s="3208"/>
      <c r="S44" s="3207"/>
      <c r="T44" s="3195"/>
      <c r="U44" s="3195"/>
      <c r="V44" s="3195"/>
      <c r="W44" s="3194"/>
      <c r="X44" s="3194"/>
      <c r="Y44" s="3194"/>
      <c r="Z44" s="3194"/>
      <c r="AA44" s="3194"/>
      <c r="AB44" s="3194"/>
      <c r="AC44" s="3194"/>
      <c r="AD44" s="3194"/>
      <c r="AE44" s="3194"/>
      <c r="AF44" s="3194"/>
      <c r="AG44" s="3194"/>
      <c r="AH44" s="3194"/>
    </row>
    <row r="45" spans="1:34" ht="13.5" thickBot="1">
      <c r="A45" s="3205" t="s">
        <v>2572</v>
      </c>
      <c r="B45" s="3206">
        <f t="shared" si="21"/>
        <v>276.29854502841971</v>
      </c>
      <c r="C45" s="3206">
        <f t="shared" si="21"/>
        <v>229.79023709833027</v>
      </c>
      <c r="D45" s="3206">
        <f t="shared" si="3"/>
        <v>229.79023709833027</v>
      </c>
      <c r="E45" s="3206">
        <f t="shared" si="22"/>
        <v>379.78759731655936</v>
      </c>
      <c r="F45" s="3206">
        <f t="shared" si="22"/>
        <v>211.32953905659235</v>
      </c>
      <c r="G45" s="3563">
        <v>2011</v>
      </c>
      <c r="H45" s="2859">
        <v>1</v>
      </c>
      <c r="I45" s="2859">
        <v>2.65</v>
      </c>
      <c r="J45" s="2859">
        <v>3.76</v>
      </c>
      <c r="K45" s="2859">
        <v>1.89</v>
      </c>
      <c r="L45" s="2860">
        <v>7.95</v>
      </c>
      <c r="M45" s="3194"/>
      <c r="N45" s="3209">
        <f t="shared" si="19"/>
        <v>2.6499999999999999E-2</v>
      </c>
      <c r="O45" s="3210">
        <f t="shared" si="19"/>
        <v>3.7599999999999995E-2</v>
      </c>
      <c r="P45" s="3210">
        <f t="shared" si="19"/>
        <v>1.89E-2</v>
      </c>
      <c r="Q45" s="3210">
        <f t="shared" si="19"/>
        <v>7.9500000000000001E-2</v>
      </c>
      <c r="R45" s="3208"/>
      <c r="S45" s="3209">
        <f>B45/B46-1</f>
        <v>2.713213765211786E-2</v>
      </c>
      <c r="T45" s="3210">
        <f>C45/C46-1</f>
        <v>3.9774828499231862E-2</v>
      </c>
      <c r="U45" s="3210">
        <f>E45/E46-1</f>
        <v>1.8197311840641772E-2</v>
      </c>
      <c r="V45" s="3210">
        <f>F45/F46-1</f>
        <v>7.8211933962205826E-2</v>
      </c>
      <c r="W45" s="3194"/>
      <c r="X45" s="3195"/>
      <c r="Y45" s="3195"/>
      <c r="Z45" s="3195"/>
      <c r="AA45" s="3194"/>
      <c r="AB45" s="3194"/>
      <c r="AC45" s="3194"/>
      <c r="AD45" s="3194"/>
      <c r="AE45" s="3194"/>
      <c r="AF45" s="3194"/>
      <c r="AG45" s="3194"/>
      <c r="AH45" s="3194"/>
    </row>
    <row r="46" spans="1:34" ht="13.5" thickBot="1">
      <c r="A46" s="3205" t="s">
        <v>2573</v>
      </c>
      <c r="B46" s="2875">
        <v>269</v>
      </c>
      <c r="C46" s="2875">
        <v>221</v>
      </c>
      <c r="D46" s="2875">
        <f t="shared" si="3"/>
        <v>221</v>
      </c>
      <c r="E46" s="2875">
        <v>373</v>
      </c>
      <c r="F46" s="2876">
        <v>196</v>
      </c>
      <c r="G46" s="3561">
        <v>2010</v>
      </c>
      <c r="H46" s="3220">
        <v>4</v>
      </c>
      <c r="I46" s="3220">
        <v>5.72</v>
      </c>
      <c r="J46" s="3220">
        <v>6.57</v>
      </c>
      <c r="K46" s="3220">
        <v>5.72</v>
      </c>
      <c r="L46" s="3221">
        <v>2.72</v>
      </c>
      <c r="M46" s="3194"/>
      <c r="N46" s="3207">
        <f t="shared" si="19"/>
        <v>5.7200000000000001E-2</v>
      </c>
      <c r="O46" s="3195">
        <f t="shared" si="19"/>
        <v>6.5700000000000008E-2</v>
      </c>
      <c r="P46" s="3195">
        <f t="shared" si="19"/>
        <v>5.7200000000000001E-2</v>
      </c>
      <c r="Q46" s="3195">
        <f t="shared" si="19"/>
        <v>2.7200000000000002E-2</v>
      </c>
      <c r="R46" s="3208"/>
      <c r="S46" s="3213"/>
      <c r="T46" s="3214"/>
      <c r="U46" s="3214"/>
      <c r="V46" s="3214"/>
      <c r="W46" s="3194"/>
      <c r="X46" s="3214"/>
      <c r="Y46" s="3214"/>
      <c r="Z46" s="3214"/>
      <c r="AA46" s="3194"/>
      <c r="AB46" s="3194"/>
      <c r="AC46" s="3194"/>
      <c r="AD46" s="3194"/>
      <c r="AE46" s="3194"/>
      <c r="AF46" s="3194"/>
      <c r="AG46" s="3194"/>
      <c r="AH46" s="3194"/>
    </row>
    <row r="47" spans="1:34">
      <c r="A47" s="3205" t="s">
        <v>2574</v>
      </c>
      <c r="B47" s="3206">
        <f t="shared" ref="B47:C49" si="23">B46/(1+N46)</f>
        <v>254.44570563753314</v>
      </c>
      <c r="C47" s="3206">
        <f t="shared" si="23"/>
        <v>207.37543398705074</v>
      </c>
      <c r="D47" s="3206">
        <f t="shared" si="3"/>
        <v>207.37543398705074</v>
      </c>
      <c r="E47" s="3206">
        <f t="shared" ref="E47:F49" si="24">E46/(1+P46)</f>
        <v>352.81876655315932</v>
      </c>
      <c r="F47" s="3206">
        <f t="shared" si="24"/>
        <v>190.809968847352</v>
      </c>
      <c r="G47" s="3562">
        <v>2010</v>
      </c>
      <c r="H47" s="3223">
        <v>3</v>
      </c>
      <c r="I47" s="3223">
        <v>4.7300000000000004</v>
      </c>
      <c r="J47" s="3223">
        <v>3.9</v>
      </c>
      <c r="K47" s="3223">
        <v>5.03</v>
      </c>
      <c r="L47" s="3224">
        <v>4.21</v>
      </c>
      <c r="M47" s="3194"/>
      <c r="N47" s="3207">
        <f t="shared" si="19"/>
        <v>4.7300000000000002E-2</v>
      </c>
      <c r="O47" s="3195">
        <f t="shared" si="19"/>
        <v>3.9E-2</v>
      </c>
      <c r="P47" s="3195">
        <f t="shared" si="19"/>
        <v>5.0300000000000004E-2</v>
      </c>
      <c r="Q47" s="3195">
        <f t="shared" si="19"/>
        <v>4.2099999999999999E-2</v>
      </c>
      <c r="R47" s="3208"/>
      <c r="S47" s="3207"/>
      <c r="T47" s="3195"/>
      <c r="U47" s="3195"/>
      <c r="V47" s="3195"/>
      <c r="W47" s="3194"/>
      <c r="X47" s="3194"/>
      <c r="Y47" s="3194"/>
      <c r="Z47" s="3194"/>
      <c r="AA47" s="3194"/>
      <c r="AB47" s="3194"/>
      <c r="AC47" s="3194"/>
      <c r="AD47" s="3194"/>
      <c r="AE47" s="3194"/>
      <c r="AF47" s="3194"/>
      <c r="AG47" s="3194"/>
      <c r="AH47" s="3194"/>
    </row>
    <row r="48" spans="1:34">
      <c r="A48" s="3205" t="s">
        <v>2575</v>
      </c>
      <c r="B48" s="3206">
        <f t="shared" si="23"/>
        <v>242.95398227588385</v>
      </c>
      <c r="C48" s="3206">
        <f t="shared" si="23"/>
        <v>199.59137053614126</v>
      </c>
      <c r="D48" s="3206">
        <f t="shared" si="3"/>
        <v>199.59137053614126</v>
      </c>
      <c r="E48" s="3206">
        <f t="shared" si="24"/>
        <v>335.92189522342125</v>
      </c>
      <c r="F48" s="3206">
        <f t="shared" si="24"/>
        <v>183.10139991109489</v>
      </c>
      <c r="G48" s="3562">
        <v>2010</v>
      </c>
      <c r="H48" s="3215">
        <v>2</v>
      </c>
      <c r="I48" s="3215">
        <v>4.6900000000000004</v>
      </c>
      <c r="J48" s="3215">
        <v>3.55</v>
      </c>
      <c r="K48" s="3215">
        <v>5.07</v>
      </c>
      <c r="L48" s="3216">
        <v>4.2300000000000004</v>
      </c>
      <c r="M48" s="3194"/>
      <c r="N48" s="3207">
        <f t="shared" si="19"/>
        <v>4.6900000000000004E-2</v>
      </c>
      <c r="O48" s="3195">
        <f t="shared" si="19"/>
        <v>3.5499999999999997E-2</v>
      </c>
      <c r="P48" s="3195">
        <f t="shared" si="19"/>
        <v>5.0700000000000002E-2</v>
      </c>
      <c r="Q48" s="3195">
        <f t="shared" si="19"/>
        <v>4.2300000000000004E-2</v>
      </c>
      <c r="R48" s="3208"/>
      <c r="S48" s="3207"/>
      <c r="T48" s="3195"/>
      <c r="U48" s="3195"/>
      <c r="V48" s="3195"/>
      <c r="W48" s="3194"/>
      <c r="X48" s="3194"/>
      <c r="Y48" s="3194"/>
      <c r="Z48" s="3194"/>
      <c r="AA48" s="3194"/>
      <c r="AB48" s="3194"/>
      <c r="AC48" s="3194"/>
      <c r="AD48" s="3194"/>
      <c r="AE48" s="3194"/>
      <c r="AF48" s="3194"/>
      <c r="AG48" s="3194"/>
      <c r="AH48" s="3194"/>
    </row>
    <row r="49" spans="1:34" ht="13.5" thickBot="1">
      <c r="A49" s="3205" t="s">
        <v>2576</v>
      </c>
      <c r="B49" s="3206">
        <f t="shared" si="23"/>
        <v>232.06990378821649</v>
      </c>
      <c r="C49" s="3206">
        <f t="shared" si="23"/>
        <v>192.74878854286936</v>
      </c>
      <c r="D49" s="3206">
        <f t="shared" si="3"/>
        <v>192.74878854286936</v>
      </c>
      <c r="E49" s="3206">
        <f t="shared" si="24"/>
        <v>319.71247284992984</v>
      </c>
      <c r="F49" s="3206">
        <f t="shared" si="24"/>
        <v>175.67053622862409</v>
      </c>
      <c r="G49" s="3563">
        <v>2010</v>
      </c>
      <c r="H49" s="2859">
        <v>1</v>
      </c>
      <c r="I49" s="2859">
        <v>5.4</v>
      </c>
      <c r="J49" s="2859">
        <v>3.2</v>
      </c>
      <c r="K49" s="2859">
        <v>6.16</v>
      </c>
      <c r="L49" s="2860">
        <v>4.51</v>
      </c>
      <c r="M49" s="3194"/>
      <c r="N49" s="3207">
        <f t="shared" si="19"/>
        <v>5.4000000000000006E-2</v>
      </c>
      <c r="O49" s="3195">
        <f t="shared" si="19"/>
        <v>3.2000000000000001E-2</v>
      </c>
      <c r="P49" s="3195">
        <f t="shared" si="19"/>
        <v>6.1600000000000002E-2</v>
      </c>
      <c r="Q49" s="3195">
        <f t="shared" si="19"/>
        <v>4.5100000000000001E-2</v>
      </c>
      <c r="R49" s="3208"/>
      <c r="S49" s="3209">
        <f>B49/B50-1</f>
        <v>5.4863199037347599E-2</v>
      </c>
      <c r="T49" s="3210">
        <f>C49/C50-1</f>
        <v>3.0742184721226584E-2</v>
      </c>
      <c r="U49" s="3210">
        <f>E49/E50-1</f>
        <v>6.2167683886810154E-2</v>
      </c>
      <c r="V49" s="3210">
        <f>F49/F50-1</f>
        <v>4.5657953741810031E-2</v>
      </c>
      <c r="W49" s="3194"/>
      <c r="X49" s="3195"/>
      <c r="Y49" s="3195"/>
      <c r="Z49" s="3195"/>
      <c r="AA49" s="3194"/>
      <c r="AB49" s="3194"/>
      <c r="AC49" s="3194"/>
      <c r="AD49" s="3194"/>
      <c r="AE49" s="3194"/>
      <c r="AF49" s="3194"/>
      <c r="AG49" s="3194"/>
      <c r="AH49" s="3194"/>
    </row>
    <row r="50" spans="1:34" ht="13.5" thickBot="1">
      <c r="A50" s="3205" t="s">
        <v>2577</v>
      </c>
      <c r="B50" s="2875">
        <v>220</v>
      </c>
      <c r="C50" s="2875">
        <v>187</v>
      </c>
      <c r="D50" s="2875">
        <f t="shared" si="3"/>
        <v>187</v>
      </c>
      <c r="E50" s="2875">
        <v>301</v>
      </c>
      <c r="F50" s="2876">
        <v>168</v>
      </c>
      <c r="G50" s="3561">
        <v>2009</v>
      </c>
      <c r="H50" s="3220">
        <v>4</v>
      </c>
      <c r="I50" s="3220">
        <v>2.2999999999999998</v>
      </c>
      <c r="J50" s="3220">
        <v>1.04</v>
      </c>
      <c r="K50" s="3220">
        <v>2.84</v>
      </c>
      <c r="L50" s="3221">
        <v>0.67</v>
      </c>
      <c r="M50" s="3194"/>
      <c r="N50" s="3217">
        <f t="shared" si="19"/>
        <v>2.3E-2</v>
      </c>
      <c r="O50" s="3218">
        <f t="shared" si="19"/>
        <v>1.04E-2</v>
      </c>
      <c r="P50" s="3218">
        <f t="shared" si="19"/>
        <v>2.8399999999999998E-2</v>
      </c>
      <c r="Q50" s="3218">
        <f t="shared" si="19"/>
        <v>6.7000000000000002E-3</v>
      </c>
      <c r="R50" s="3208"/>
      <c r="S50" s="3213"/>
      <c r="T50" s="3214"/>
      <c r="U50" s="3214"/>
      <c r="V50" s="3214"/>
      <c r="W50" s="3194"/>
      <c r="X50" s="3214"/>
      <c r="Y50" s="3214"/>
      <c r="Z50" s="3214"/>
      <c r="AA50" s="3194"/>
      <c r="AB50" s="3194"/>
      <c r="AC50" s="3194"/>
      <c r="AD50" s="3194"/>
      <c r="AE50" s="3194"/>
      <c r="AF50" s="3194"/>
      <c r="AG50" s="3194"/>
      <c r="AH50" s="3194"/>
    </row>
    <row r="51" spans="1:34">
      <c r="A51" s="3205" t="s">
        <v>2578</v>
      </c>
      <c r="B51" s="3206">
        <f t="shared" ref="B51:C53" si="25">B50/(1+N50)</f>
        <v>215.05376344086022</v>
      </c>
      <c r="C51" s="3206">
        <f t="shared" si="25"/>
        <v>185.0752177355503</v>
      </c>
      <c r="D51" s="3206">
        <f t="shared" si="3"/>
        <v>185.0752177355503</v>
      </c>
      <c r="E51" s="3206">
        <f t="shared" ref="E51:F53" si="26">E50/(1+P50)</f>
        <v>292.68767016725008</v>
      </c>
      <c r="F51" s="3206">
        <f t="shared" si="26"/>
        <v>166.88189132810174</v>
      </c>
      <c r="G51" s="3562">
        <v>2009</v>
      </c>
      <c r="H51" s="3223">
        <v>3</v>
      </c>
      <c r="I51" s="3223">
        <v>2.1</v>
      </c>
      <c r="J51" s="3223">
        <v>1.86</v>
      </c>
      <c r="K51" s="3223">
        <v>2.29</v>
      </c>
      <c r="L51" s="3224">
        <v>0.85</v>
      </c>
      <c r="M51" s="3194"/>
      <c r="N51" s="3207">
        <f t="shared" si="19"/>
        <v>2.1000000000000001E-2</v>
      </c>
      <c r="O51" s="3219">
        <f t="shared" si="19"/>
        <v>1.8600000000000002E-2</v>
      </c>
      <c r="P51" s="3219">
        <f t="shared" si="19"/>
        <v>2.29E-2</v>
      </c>
      <c r="Q51" s="3219">
        <f t="shared" si="19"/>
        <v>8.5000000000000006E-3</v>
      </c>
      <c r="R51" s="3208"/>
      <c r="S51" s="3207"/>
      <c r="T51" s="3195"/>
      <c r="U51" s="3195"/>
      <c r="V51" s="3195"/>
      <c r="W51" s="3194"/>
      <c r="X51" s="3194"/>
      <c r="Y51" s="3194"/>
      <c r="Z51" s="3194"/>
      <c r="AA51" s="3194"/>
      <c r="AB51" s="3194"/>
      <c r="AC51" s="3194"/>
      <c r="AD51" s="3194"/>
      <c r="AE51" s="3194"/>
      <c r="AF51" s="3194"/>
      <c r="AG51" s="3194"/>
      <c r="AH51" s="3194"/>
    </row>
    <row r="52" spans="1:34">
      <c r="A52" s="3205" t="s">
        <v>2579</v>
      </c>
      <c r="B52" s="3206">
        <f t="shared" si="25"/>
        <v>210.630522469011</v>
      </c>
      <c r="C52" s="3206">
        <f t="shared" si="25"/>
        <v>181.69567812247232</v>
      </c>
      <c r="D52" s="3206">
        <f t="shared" si="3"/>
        <v>181.69567812247232</v>
      </c>
      <c r="E52" s="3206">
        <f t="shared" si="26"/>
        <v>286.13517466736738</v>
      </c>
      <c r="F52" s="3206">
        <f t="shared" si="26"/>
        <v>165.47535084591149</v>
      </c>
      <c r="G52" s="3562">
        <v>2009</v>
      </c>
      <c r="H52" s="3215">
        <v>2</v>
      </c>
      <c r="I52" s="3215">
        <v>0.86</v>
      </c>
      <c r="J52" s="3215">
        <v>-1.1299999999999999</v>
      </c>
      <c r="K52" s="3215">
        <v>1.79</v>
      </c>
      <c r="L52" s="3216">
        <v>-2.0699999999999998</v>
      </c>
      <c r="M52" s="3194"/>
      <c r="N52" s="3207">
        <f t="shared" si="19"/>
        <v>8.6E-3</v>
      </c>
      <c r="O52" s="3219">
        <f t="shared" si="19"/>
        <v>-1.1299999999999999E-2</v>
      </c>
      <c r="P52" s="3219">
        <f t="shared" si="19"/>
        <v>1.7899999999999999E-2</v>
      </c>
      <c r="Q52" s="3219">
        <f t="shared" si="19"/>
        <v>-2.07E-2</v>
      </c>
      <c r="R52" s="3208"/>
      <c r="S52" s="3207"/>
      <c r="T52" s="3195"/>
      <c r="U52" s="3195"/>
      <c r="V52" s="3195"/>
      <c r="W52" s="3194"/>
      <c r="X52" s="3194"/>
      <c r="Y52" s="3194"/>
      <c r="Z52" s="3194"/>
      <c r="AA52" s="3194"/>
      <c r="AB52" s="3194"/>
      <c r="AC52" s="3194"/>
      <c r="AD52" s="3194"/>
      <c r="AE52" s="3194"/>
      <c r="AF52" s="3194"/>
      <c r="AG52" s="3194"/>
      <c r="AH52" s="3194"/>
    </row>
    <row r="53" spans="1:34">
      <c r="A53" s="3205" t="s">
        <v>2580</v>
      </c>
      <c r="B53" s="3206">
        <f t="shared" si="25"/>
        <v>208.83454537875372</v>
      </c>
      <c r="C53" s="3206">
        <f t="shared" si="25"/>
        <v>183.77230517090351</v>
      </c>
      <c r="D53" s="3206">
        <f t="shared" si="3"/>
        <v>183.77230517090351</v>
      </c>
      <c r="E53" s="3206">
        <f t="shared" si="26"/>
        <v>281.10342338870947</v>
      </c>
      <c r="F53" s="3206">
        <f t="shared" si="26"/>
        <v>168.97309388942256</v>
      </c>
      <c r="G53" s="3563">
        <v>2009</v>
      </c>
      <c r="H53" s="2859">
        <v>1</v>
      </c>
      <c r="I53" s="2859">
        <v>-2.64</v>
      </c>
      <c r="J53" s="2859">
        <v>-2.5299999999999998</v>
      </c>
      <c r="K53" s="2859">
        <v>-3.02</v>
      </c>
      <c r="L53" s="2860">
        <v>1.52</v>
      </c>
      <c r="M53" s="3194"/>
      <c r="N53" s="3209">
        <f t="shared" si="19"/>
        <v>-2.64E-2</v>
      </c>
      <c r="O53" s="3210">
        <f t="shared" si="19"/>
        <v>-2.53E-2</v>
      </c>
      <c r="P53" s="3210">
        <f t="shared" si="19"/>
        <v>-3.0200000000000001E-2</v>
      </c>
      <c r="Q53" s="3210">
        <f t="shared" si="19"/>
        <v>1.52E-2</v>
      </c>
      <c r="R53" s="3208"/>
      <c r="S53" s="3209">
        <f>B53/B54-1</f>
        <v>-2.4137638417038754E-2</v>
      </c>
      <c r="T53" s="3210">
        <f>C53/C54-1</f>
        <v>-2.248773845264096E-2</v>
      </c>
      <c r="U53" s="3210">
        <f>E53/E54-1</f>
        <v>-2.7323794502735366E-2</v>
      </c>
      <c r="V53" s="3210">
        <f>F53/F54-1</f>
        <v>1.7910204153148035E-2</v>
      </c>
      <c r="W53" s="3194"/>
      <c r="X53" s="3195"/>
      <c r="Y53" s="3195"/>
      <c r="Z53" s="3195"/>
      <c r="AA53" s="3194"/>
      <c r="AB53" s="3194"/>
      <c r="AC53" s="3194"/>
      <c r="AD53" s="3194"/>
      <c r="AE53" s="3194"/>
      <c r="AF53" s="3194"/>
      <c r="AG53" s="3194"/>
      <c r="AH53" s="3194"/>
    </row>
    <row r="54" spans="1:34" ht="13.5" thickBot="1">
      <c r="A54" s="3205" t="s">
        <v>2581</v>
      </c>
      <c r="B54" s="3246">
        <v>214</v>
      </c>
      <c r="C54" s="3246">
        <v>188</v>
      </c>
      <c r="D54" s="3246">
        <f t="shared" si="3"/>
        <v>188</v>
      </c>
      <c r="E54" s="3246">
        <v>289</v>
      </c>
      <c r="F54" s="3247">
        <v>166</v>
      </c>
      <c r="G54" s="3561">
        <v>2008</v>
      </c>
      <c r="H54" s="3220">
        <v>4</v>
      </c>
      <c r="I54" s="3220">
        <v>1.73</v>
      </c>
      <c r="J54" s="3220">
        <v>0.03</v>
      </c>
      <c r="K54" s="3220">
        <v>2.59</v>
      </c>
      <c r="L54" s="3221">
        <v>-1.66</v>
      </c>
      <c r="M54" s="3194"/>
      <c r="N54" s="3207">
        <f t="shared" si="19"/>
        <v>1.7299999999999999E-2</v>
      </c>
      <c r="O54" s="3195">
        <f t="shared" si="19"/>
        <v>2.9999999999999997E-4</v>
      </c>
      <c r="P54" s="3195">
        <f t="shared" si="19"/>
        <v>2.5899999999999999E-2</v>
      </c>
      <c r="Q54" s="3195">
        <f t="shared" si="19"/>
        <v>-1.66E-2</v>
      </c>
      <c r="R54" s="3208"/>
      <c r="S54" s="3213"/>
      <c r="T54" s="3214"/>
      <c r="U54" s="3214"/>
      <c r="V54" s="3214"/>
      <c r="W54" s="3194"/>
      <c r="X54" s="3214"/>
      <c r="Y54" s="3214"/>
      <c r="Z54" s="3214"/>
      <c r="AA54" s="3194"/>
      <c r="AB54" s="3194"/>
      <c r="AC54" s="3194"/>
      <c r="AD54" s="3194"/>
      <c r="AE54" s="3194"/>
      <c r="AF54" s="3194"/>
      <c r="AG54" s="3194"/>
      <c r="AH54" s="3194"/>
    </row>
    <row r="55" spans="1:34">
      <c r="A55" s="3205" t="s">
        <v>2582</v>
      </c>
      <c r="B55" s="3206">
        <f t="shared" ref="B55:C57" si="27">B54/(1+N54)</f>
        <v>210.36075887152265</v>
      </c>
      <c r="C55" s="3206">
        <f t="shared" si="27"/>
        <v>187.94361691492554</v>
      </c>
      <c r="D55" s="3206">
        <f t="shared" si="3"/>
        <v>187.94361691492554</v>
      </c>
      <c r="E55" s="3206">
        <f t="shared" ref="E55:F57" si="28">E54/(1+P54)</f>
        <v>281.70386977288234</v>
      </c>
      <c r="F55" s="3206">
        <f t="shared" si="28"/>
        <v>168.80211511083994</v>
      </c>
      <c r="G55" s="3562">
        <v>2008</v>
      </c>
      <c r="H55" s="3223">
        <v>3</v>
      </c>
      <c r="I55" s="3223">
        <v>1.96</v>
      </c>
      <c r="J55" s="3223">
        <v>2.36</v>
      </c>
      <c r="K55" s="3223">
        <v>1.82</v>
      </c>
      <c r="L55" s="3224">
        <v>2.2200000000000002</v>
      </c>
      <c r="M55" s="3194"/>
      <c r="N55" s="3207">
        <f t="shared" si="19"/>
        <v>1.9599999999999999E-2</v>
      </c>
      <c r="O55" s="3195">
        <f t="shared" si="19"/>
        <v>2.3599999999999999E-2</v>
      </c>
      <c r="P55" s="3195">
        <f t="shared" si="19"/>
        <v>1.8200000000000001E-2</v>
      </c>
      <c r="Q55" s="3195">
        <f t="shared" si="19"/>
        <v>2.2200000000000001E-2</v>
      </c>
      <c r="R55" s="3208"/>
      <c r="S55" s="3207"/>
      <c r="T55" s="3195"/>
      <c r="U55" s="3195"/>
      <c r="V55" s="3195"/>
      <c r="W55" s="3194"/>
      <c r="X55" s="3194"/>
      <c r="Y55" s="3194"/>
      <c r="Z55" s="3194"/>
      <c r="AA55" s="3194"/>
      <c r="AB55" s="3194"/>
      <c r="AC55" s="3194"/>
      <c r="AD55" s="3194"/>
      <c r="AE55" s="3194"/>
      <c r="AF55" s="3194"/>
      <c r="AG55" s="3194"/>
      <c r="AH55" s="3194"/>
    </row>
    <row r="56" spans="1:34">
      <c r="A56" s="3205" t="s">
        <v>2583</v>
      </c>
      <c r="B56" s="3206">
        <f t="shared" si="27"/>
        <v>206.31694671589116</v>
      </c>
      <c r="C56" s="3206">
        <f t="shared" si="27"/>
        <v>183.61041121036101</v>
      </c>
      <c r="D56" s="3206">
        <f t="shared" si="3"/>
        <v>183.61041121036101</v>
      </c>
      <c r="E56" s="3206">
        <f t="shared" si="28"/>
        <v>276.66850301795557</v>
      </c>
      <c r="F56" s="3206">
        <f t="shared" si="28"/>
        <v>165.1360938278614</v>
      </c>
      <c r="G56" s="3562">
        <v>2008</v>
      </c>
      <c r="H56" s="3215">
        <v>2</v>
      </c>
      <c r="I56" s="3215">
        <v>4.93</v>
      </c>
      <c r="J56" s="3215">
        <v>7.38</v>
      </c>
      <c r="K56" s="3215">
        <v>3.98</v>
      </c>
      <c r="L56" s="3216">
        <v>6.86</v>
      </c>
      <c r="M56" s="3194"/>
      <c r="N56" s="3207">
        <f t="shared" si="19"/>
        <v>4.9299999999999997E-2</v>
      </c>
      <c r="O56" s="3195">
        <f t="shared" si="19"/>
        <v>7.3800000000000004E-2</v>
      </c>
      <c r="P56" s="3195">
        <f t="shared" si="19"/>
        <v>3.9800000000000002E-2</v>
      </c>
      <c r="Q56" s="3195">
        <f t="shared" si="19"/>
        <v>6.8600000000000008E-2</v>
      </c>
      <c r="R56" s="3208"/>
      <c r="S56" s="3207"/>
      <c r="T56" s="3195"/>
      <c r="U56" s="3195"/>
      <c r="V56" s="3195"/>
      <c r="W56" s="3194"/>
      <c r="X56" s="3194"/>
      <c r="Y56" s="3194"/>
      <c r="Z56" s="3194"/>
      <c r="AA56" s="3194"/>
      <c r="AB56" s="3194"/>
      <c r="AC56" s="3194"/>
      <c r="AD56" s="3194"/>
      <c r="AE56" s="3194"/>
      <c r="AF56" s="3194"/>
      <c r="AG56" s="3194"/>
      <c r="AH56" s="3194"/>
    </row>
    <row r="57" spans="1:34" ht="13.5" thickBot="1">
      <c r="A57" s="3205" t="s">
        <v>2584</v>
      </c>
      <c r="B57" s="3249">
        <f t="shared" si="27"/>
        <v>196.62341248059772</v>
      </c>
      <c r="C57" s="3249">
        <f t="shared" si="27"/>
        <v>170.99125648199012</v>
      </c>
      <c r="D57" s="3249">
        <f t="shared" si="3"/>
        <v>170.99125648199012</v>
      </c>
      <c r="E57" s="3249">
        <f t="shared" si="28"/>
        <v>266.07857570490052</v>
      </c>
      <c r="F57" s="3249">
        <f t="shared" si="28"/>
        <v>154.53499328828505</v>
      </c>
      <c r="G57" s="3563">
        <v>2008</v>
      </c>
      <c r="H57" s="3250">
        <v>1</v>
      </c>
      <c r="I57" s="3250">
        <v>4.1399999999999997</v>
      </c>
      <c r="J57" s="3250">
        <v>3.45</v>
      </c>
      <c r="K57" s="3250">
        <v>4.95</v>
      </c>
      <c r="L57" s="3251">
        <v>4.82</v>
      </c>
      <c r="M57" s="3252"/>
      <c r="N57" s="3253">
        <f t="shared" si="19"/>
        <v>4.1399999999999999E-2</v>
      </c>
      <c r="O57" s="3254">
        <f t="shared" si="19"/>
        <v>3.4500000000000003E-2</v>
      </c>
      <c r="P57" s="3254">
        <f t="shared" si="19"/>
        <v>4.9500000000000002E-2</v>
      </c>
      <c r="Q57" s="3254">
        <f t="shared" si="19"/>
        <v>4.82E-2</v>
      </c>
      <c r="R57" s="3255"/>
      <c r="S57" s="3253">
        <f>B57/B58-1</f>
        <v>4.5869215322328349E-2</v>
      </c>
      <c r="T57" s="3254">
        <f>C57/C58-1</f>
        <v>3.6310645345394743E-2</v>
      </c>
      <c r="U57" s="3254">
        <f>E57/E58-1</f>
        <v>4.7553447657088688E-2</v>
      </c>
      <c r="V57" s="3254">
        <f>F57/F58-1</f>
        <v>4.4155360055980086E-2</v>
      </c>
      <c r="W57" s="3252"/>
      <c r="X57" s="3254"/>
      <c r="Y57" s="3254"/>
      <c r="Z57" s="3254"/>
      <c r="AA57" s="3252"/>
      <c r="AB57" s="3252"/>
      <c r="AC57" s="3252"/>
      <c r="AD57" s="3252"/>
      <c r="AE57" s="3252"/>
      <c r="AF57" s="3252"/>
      <c r="AG57" s="3252"/>
      <c r="AH57" s="3252"/>
    </row>
    <row r="58" spans="1:34" ht="13.5" thickBot="1">
      <c r="A58" s="3205" t="s">
        <v>2585</v>
      </c>
      <c r="B58" s="2875">
        <v>188</v>
      </c>
      <c r="C58" s="2875">
        <v>165</v>
      </c>
      <c r="D58" s="2875">
        <f t="shared" si="3"/>
        <v>165</v>
      </c>
      <c r="E58" s="2875">
        <v>254</v>
      </c>
      <c r="F58" s="2876">
        <v>148</v>
      </c>
      <c r="G58" s="3561">
        <v>2007</v>
      </c>
      <c r="H58" s="3256">
        <v>4</v>
      </c>
      <c r="I58" s="3256">
        <v>5.51</v>
      </c>
      <c r="J58" s="3256">
        <v>4.8899999999999997</v>
      </c>
      <c r="K58" s="3256">
        <v>6.43</v>
      </c>
      <c r="L58" s="3257">
        <v>5.36</v>
      </c>
      <c r="M58" s="3194"/>
      <c r="N58" s="3258">
        <f t="shared" ref="N58:O61" si="29">B58/B59-1</f>
        <v>4.1339718365245526E-2</v>
      </c>
      <c r="O58" s="3259">
        <f t="shared" si="29"/>
        <v>4.0324492593776018E-2</v>
      </c>
      <c r="P58" s="3259">
        <f t="shared" ref="P58:Q61" si="30">E58/E59-1</f>
        <v>6.1625555347990968E-2</v>
      </c>
      <c r="Q58" s="3259">
        <f t="shared" si="30"/>
        <v>4.6757569250590603E-2</v>
      </c>
      <c r="R58" s="3208"/>
      <c r="S58" s="3213"/>
      <c r="T58" s="3214"/>
      <c r="U58" s="3214"/>
      <c r="V58" s="3214"/>
      <c r="W58" s="3194"/>
      <c r="X58" s="3214"/>
      <c r="Y58" s="3214"/>
      <c r="Z58" s="3214"/>
      <c r="AA58" s="3194"/>
      <c r="AB58" s="3194"/>
      <c r="AC58" s="3194"/>
      <c r="AD58" s="3194"/>
      <c r="AE58" s="3194"/>
      <c r="AF58" s="3194"/>
      <c r="AG58" s="3194"/>
      <c r="AH58" s="3194"/>
    </row>
    <row r="59" spans="1:34">
      <c r="A59" s="3205" t="s">
        <v>2586</v>
      </c>
      <c r="B59" s="3206">
        <f t="shared" ref="B59:C61" si="31">B60+(B$58-B$62)*I59/SUM(I$58:I$61)</f>
        <v>180.5366651097618</v>
      </c>
      <c r="C59" s="3206">
        <f t="shared" si="31"/>
        <v>158.60435967302453</v>
      </c>
      <c r="D59" s="3206">
        <f t="shared" si="3"/>
        <v>158.60435967302453</v>
      </c>
      <c r="E59" s="3206">
        <f t="shared" ref="E59:F61" si="32">E60+(E$58-E$62)*K59/SUM(K$58:K$61)</f>
        <v>239.25573260785075</v>
      </c>
      <c r="F59" s="3206">
        <f t="shared" si="32"/>
        <v>141.38899430740037</v>
      </c>
      <c r="G59" s="3562">
        <v>2007</v>
      </c>
      <c r="H59" s="3223">
        <v>3</v>
      </c>
      <c r="I59" s="3223">
        <v>8.65</v>
      </c>
      <c r="J59" s="3223">
        <v>8.06</v>
      </c>
      <c r="K59" s="3223">
        <v>9.94</v>
      </c>
      <c r="L59" s="3224">
        <v>5.8</v>
      </c>
      <c r="M59" s="3194"/>
      <c r="N59" s="3258">
        <f t="shared" si="29"/>
        <v>6.940217571740015E-2</v>
      </c>
      <c r="O59" s="3259">
        <f t="shared" si="29"/>
        <v>7.1197482471153428E-2</v>
      </c>
      <c r="P59" s="3259">
        <f t="shared" si="30"/>
        <v>0.10529679922579582</v>
      </c>
      <c r="Q59" s="3259">
        <f t="shared" si="30"/>
        <v>5.3292245059512133E-2</v>
      </c>
      <c r="R59" s="3208"/>
      <c r="S59" s="3207"/>
      <c r="T59" s="3195"/>
      <c r="U59" s="3195"/>
      <c r="V59" s="3195"/>
      <c r="W59" s="3194"/>
      <c r="X59" s="3260"/>
      <c r="Y59" s="3260"/>
      <c r="Z59" s="3260"/>
      <c r="AA59" s="3194"/>
      <c r="AB59" s="3194"/>
      <c r="AC59" s="3194"/>
      <c r="AD59" s="3194"/>
      <c r="AE59" s="3194"/>
      <c r="AF59" s="3194"/>
      <c r="AG59" s="3194"/>
      <c r="AH59" s="3194"/>
    </row>
    <row r="60" spans="1:34">
      <c r="A60" s="3205" t="s">
        <v>2587</v>
      </c>
      <c r="B60" s="3206">
        <f t="shared" si="31"/>
        <v>168.82017748715555</v>
      </c>
      <c r="C60" s="3206">
        <f t="shared" si="31"/>
        <v>148.06267029972753</v>
      </c>
      <c r="D60" s="3206">
        <f t="shared" si="3"/>
        <v>148.06267029972753</v>
      </c>
      <c r="E60" s="3206">
        <f t="shared" si="32"/>
        <v>216.46288379323747</v>
      </c>
      <c r="F60" s="3206">
        <f t="shared" si="32"/>
        <v>134.23529411764704</v>
      </c>
      <c r="G60" s="3562">
        <v>2007</v>
      </c>
      <c r="H60" s="3215">
        <v>2</v>
      </c>
      <c r="I60" s="3215">
        <v>3.67</v>
      </c>
      <c r="J60" s="3215">
        <v>2.3199999999999998</v>
      </c>
      <c r="K60" s="3215">
        <v>5.0199999999999996</v>
      </c>
      <c r="L60" s="3216">
        <v>6.71</v>
      </c>
      <c r="M60" s="3194"/>
      <c r="N60" s="3258">
        <f t="shared" si="29"/>
        <v>3.0339138143848032E-2</v>
      </c>
      <c r="O60" s="3259">
        <f t="shared" si="29"/>
        <v>2.0922341588790472E-2</v>
      </c>
      <c r="P60" s="3259">
        <f t="shared" si="30"/>
        <v>5.6164796592717003E-2</v>
      </c>
      <c r="Q60" s="3259">
        <f t="shared" si="30"/>
        <v>6.5704536723887319E-2</v>
      </c>
      <c r="R60" s="3208"/>
      <c r="S60" s="3207"/>
      <c r="T60" s="3195"/>
      <c r="U60" s="3195"/>
      <c r="V60" s="3195"/>
      <c r="W60" s="3194"/>
      <c r="X60" s="3260"/>
      <c r="Y60" s="3260"/>
      <c r="Z60" s="3260"/>
      <c r="AA60" s="3194"/>
      <c r="AB60" s="3194"/>
      <c r="AC60" s="3194"/>
      <c r="AD60" s="3194"/>
      <c r="AE60" s="3194"/>
      <c r="AF60" s="3194"/>
      <c r="AG60" s="3194"/>
      <c r="AH60" s="3194"/>
    </row>
    <row r="61" spans="1:34">
      <c r="A61" s="3205" t="s">
        <v>2588</v>
      </c>
      <c r="B61" s="3206">
        <f t="shared" si="31"/>
        <v>163.84913591779542</v>
      </c>
      <c r="C61" s="3206">
        <f t="shared" si="31"/>
        <v>145.0283378746594</v>
      </c>
      <c r="D61" s="3206">
        <f t="shared" si="3"/>
        <v>145.0283378746594</v>
      </c>
      <c r="E61" s="3206">
        <f t="shared" si="32"/>
        <v>204.95180722891567</v>
      </c>
      <c r="F61" s="3206">
        <f t="shared" si="32"/>
        <v>125.95920303605313</v>
      </c>
      <c r="G61" s="3563">
        <v>2007</v>
      </c>
      <c r="H61" s="2859">
        <v>1</v>
      </c>
      <c r="I61" s="2859">
        <v>3.58</v>
      </c>
      <c r="J61" s="2859">
        <v>3.08</v>
      </c>
      <c r="K61" s="2859">
        <v>4.34</v>
      </c>
      <c r="L61" s="2860">
        <v>3.21</v>
      </c>
      <c r="M61" s="3194"/>
      <c r="N61" s="3261">
        <f t="shared" si="29"/>
        <v>3.0497710174814063E-2</v>
      </c>
      <c r="O61" s="3262">
        <f t="shared" si="29"/>
        <v>2.8569772160704998E-2</v>
      </c>
      <c r="P61" s="3262">
        <f t="shared" si="30"/>
        <v>5.1034908866234296E-2</v>
      </c>
      <c r="Q61" s="3262">
        <f t="shared" si="30"/>
        <v>3.245248390207478E-2</v>
      </c>
      <c r="R61" s="3208"/>
      <c r="S61" s="3209">
        <f>B61/B62-1</f>
        <v>3.0497710174814063E-2</v>
      </c>
      <c r="T61" s="3210">
        <f>C61/C62-1</f>
        <v>2.8569772160704998E-2</v>
      </c>
      <c r="U61" s="3210">
        <f>E61/E62-1</f>
        <v>5.1034908866234296E-2</v>
      </c>
      <c r="V61" s="3210">
        <f>F61/F62-1</f>
        <v>3.245248390207478E-2</v>
      </c>
      <c r="W61" s="3194"/>
      <c r="X61" s="3260"/>
      <c r="Y61" s="3260"/>
      <c r="Z61" s="3260"/>
      <c r="AA61" s="3194"/>
      <c r="AB61" s="3194"/>
      <c r="AC61" s="3194"/>
      <c r="AD61" s="3194"/>
      <c r="AE61" s="3194"/>
      <c r="AF61" s="3194"/>
      <c r="AG61" s="3194"/>
      <c r="AH61" s="3194"/>
    </row>
    <row r="62" spans="1:34" ht="13.5" thickBot="1">
      <c r="A62" s="3205" t="s">
        <v>2589</v>
      </c>
      <c r="B62" s="3225">
        <v>159</v>
      </c>
      <c r="C62" s="3225">
        <v>141</v>
      </c>
      <c r="D62" s="3225">
        <f t="shared" si="3"/>
        <v>141</v>
      </c>
      <c r="E62" s="3225">
        <v>195</v>
      </c>
      <c r="F62" s="3226">
        <v>122</v>
      </c>
      <c r="G62" s="3561">
        <v>2006</v>
      </c>
      <c r="H62" s="3220">
        <v>4</v>
      </c>
      <c r="I62" s="3220">
        <v>3.79</v>
      </c>
      <c r="J62" s="3220">
        <v>2.21</v>
      </c>
      <c r="K62" s="3220">
        <v>5.65</v>
      </c>
      <c r="L62" s="3221">
        <v>5.41</v>
      </c>
      <c r="M62" s="3194"/>
      <c r="N62" s="3258">
        <f t="shared" ref="N62:O65" si="33">I62/SUM(I$62:I$65)*(B$62/B$66-1)</f>
        <v>7.245466462748526E-2</v>
      </c>
      <c r="O62" s="3259">
        <f t="shared" si="33"/>
        <v>2.3237230038062766E-2</v>
      </c>
      <c r="P62" s="3259">
        <f t="shared" ref="P62:Q65" si="34">K62/SUM(K$62:K$65)*(E$62/E$66-1)</f>
        <v>0.16146893866323722</v>
      </c>
      <c r="Q62" s="3259">
        <f t="shared" si="34"/>
        <v>5.0755230321793784E-2</v>
      </c>
      <c r="R62" s="3208"/>
      <c r="S62" s="3213"/>
      <c r="T62" s="3214"/>
      <c r="U62" s="3214"/>
      <c r="V62" s="3214"/>
      <c r="W62" s="3194"/>
      <c r="X62" s="3260"/>
      <c r="Y62" s="3260"/>
      <c r="Z62" s="3260"/>
      <c r="AA62" s="3194"/>
      <c r="AB62" s="3194"/>
      <c r="AC62" s="3194"/>
      <c r="AD62" s="3194"/>
      <c r="AE62" s="3194"/>
      <c r="AF62" s="3194"/>
      <c r="AG62" s="3194"/>
      <c r="AH62" s="3194"/>
    </row>
    <row r="63" spans="1:34">
      <c r="A63" s="3205" t="s">
        <v>2590</v>
      </c>
      <c r="B63" s="3206">
        <f t="shared" ref="B63:C65" si="35">B64+(B$62-B$66)*I63/SUM(I$62:I$65)</f>
        <v>149.00125628140702</v>
      </c>
      <c r="C63" s="3206">
        <f t="shared" si="35"/>
        <v>137.95592286501378</v>
      </c>
      <c r="D63" s="3206">
        <f t="shared" si="3"/>
        <v>137.95592286501378</v>
      </c>
      <c r="E63" s="3206">
        <f t="shared" ref="E63:F65" si="36">E64+(E$62-E$66)*K63/SUM(K$62:K$65)</f>
        <v>169.97231450719823</v>
      </c>
      <c r="F63" s="3206">
        <f t="shared" si="36"/>
        <v>116.21390374331551</v>
      </c>
      <c r="G63" s="3562">
        <v>2006</v>
      </c>
      <c r="H63" s="3223">
        <v>3</v>
      </c>
      <c r="I63" s="3223">
        <v>0.92</v>
      </c>
      <c r="J63" s="3223">
        <v>1.08</v>
      </c>
      <c r="K63" s="3223">
        <v>0.73</v>
      </c>
      <c r="L63" s="3224">
        <v>1.08</v>
      </c>
      <c r="M63" s="3194"/>
      <c r="N63" s="3258">
        <f t="shared" si="33"/>
        <v>1.7587939698492462E-2</v>
      </c>
      <c r="O63" s="3259">
        <f t="shared" si="33"/>
        <v>1.1355750425840628E-2</v>
      </c>
      <c r="P63" s="3259">
        <f t="shared" si="34"/>
        <v>2.0862358446754544E-2</v>
      </c>
      <c r="Q63" s="3259">
        <f t="shared" si="34"/>
        <v>1.0132282578103011E-2</v>
      </c>
      <c r="R63" s="3208"/>
      <c r="S63" s="3207"/>
      <c r="T63" s="3195"/>
      <c r="U63" s="3195"/>
      <c r="V63" s="3195"/>
      <c r="W63" s="3194"/>
      <c r="X63" s="3260"/>
      <c r="Y63" s="3260"/>
      <c r="Z63" s="3260"/>
      <c r="AA63" s="3194"/>
      <c r="AB63" s="3194"/>
      <c r="AC63" s="3194"/>
      <c r="AD63" s="3194"/>
      <c r="AE63" s="3194"/>
      <c r="AF63" s="3194"/>
      <c r="AG63" s="3194"/>
      <c r="AH63" s="3194"/>
    </row>
    <row r="64" spans="1:34">
      <c r="A64" s="3205" t="s">
        <v>3181</v>
      </c>
      <c r="B64" s="3206">
        <f t="shared" si="35"/>
        <v>146.57412060301507</v>
      </c>
      <c r="C64" s="3206">
        <f t="shared" si="35"/>
        <v>136.46831955922866</v>
      </c>
      <c r="D64" s="3206">
        <f t="shared" si="3"/>
        <v>136.46831955922866</v>
      </c>
      <c r="E64" s="3206">
        <f t="shared" si="36"/>
        <v>166.73864894795128</v>
      </c>
      <c r="F64" s="3206">
        <f t="shared" si="36"/>
        <v>115.05882352941177</v>
      </c>
      <c r="G64" s="3562">
        <v>2006</v>
      </c>
      <c r="H64" s="3215">
        <v>2</v>
      </c>
      <c r="I64" s="3215">
        <v>0.96</v>
      </c>
      <c r="J64" s="3215">
        <v>0.25</v>
      </c>
      <c r="K64" s="3215">
        <v>1.9</v>
      </c>
      <c r="L64" s="3216">
        <v>0.95</v>
      </c>
      <c r="M64" s="3194"/>
      <c r="N64" s="3258">
        <f t="shared" si="33"/>
        <v>1.8352632728861701E-2</v>
      </c>
      <c r="O64" s="3259">
        <f t="shared" si="33"/>
        <v>2.6286459319075526E-3</v>
      </c>
      <c r="P64" s="3259">
        <f t="shared" si="34"/>
        <v>5.4299289107991269E-2</v>
      </c>
      <c r="Q64" s="3259">
        <f t="shared" si="34"/>
        <v>8.9126559714794995E-3</v>
      </c>
      <c r="R64" s="3208"/>
      <c r="S64" s="3207"/>
      <c r="T64" s="3195"/>
      <c r="U64" s="3195"/>
      <c r="V64" s="3195"/>
      <c r="W64" s="3194"/>
      <c r="X64" s="3260"/>
      <c r="Y64" s="3260"/>
      <c r="Z64" s="3260"/>
      <c r="AA64" s="3194"/>
      <c r="AB64" s="3194"/>
      <c r="AC64" s="3194"/>
      <c r="AD64" s="3194"/>
      <c r="AE64" s="3194"/>
      <c r="AF64" s="3194"/>
      <c r="AG64" s="3194"/>
      <c r="AH64" s="3194"/>
    </row>
    <row r="65" spans="1:34">
      <c r="A65" s="3205" t="s">
        <v>3182</v>
      </c>
      <c r="B65" s="3206">
        <f t="shared" si="35"/>
        <v>144.04145728643215</v>
      </c>
      <c r="C65" s="3206">
        <f t="shared" si="35"/>
        <v>136.12396694214877</v>
      </c>
      <c r="D65" s="3206">
        <f t="shared" si="3"/>
        <v>136.12396694214877</v>
      </c>
      <c r="E65" s="3206">
        <f t="shared" si="36"/>
        <v>158.32225913621264</v>
      </c>
      <c r="F65" s="3206">
        <f t="shared" si="36"/>
        <v>114.04278074866311</v>
      </c>
      <c r="G65" s="3563">
        <v>2006</v>
      </c>
      <c r="H65" s="2859">
        <v>1</v>
      </c>
      <c r="I65" s="2859">
        <v>2.29</v>
      </c>
      <c r="J65" s="2859">
        <v>3.72</v>
      </c>
      <c r="K65" s="2859">
        <v>0.75</v>
      </c>
      <c r="L65" s="2860">
        <v>0.04</v>
      </c>
      <c r="M65" s="3194"/>
      <c r="N65" s="3261">
        <f t="shared" si="33"/>
        <v>4.3778675988638847E-2</v>
      </c>
      <c r="O65" s="3262">
        <f t="shared" si="33"/>
        <v>3.9114251466784385E-2</v>
      </c>
      <c r="P65" s="3262">
        <f t="shared" si="34"/>
        <v>2.1433929911049188E-2</v>
      </c>
      <c r="Q65" s="3262">
        <f t="shared" si="34"/>
        <v>3.7526972511492629E-4</v>
      </c>
      <c r="R65" s="3208"/>
      <c r="S65" s="3209">
        <f>B65/B66-1</f>
        <v>4.3778675988638716E-2</v>
      </c>
      <c r="T65" s="3210">
        <f>C65/C66-1</f>
        <v>3.91142514667846E-2</v>
      </c>
      <c r="U65" s="3210">
        <f>E65/E66-1</f>
        <v>2.143392991104931E-2</v>
      </c>
      <c r="V65" s="3210">
        <f>F65/F66-1</f>
        <v>3.7526972511492396E-4</v>
      </c>
      <c r="W65" s="3194"/>
      <c r="X65" s="3260"/>
      <c r="Y65" s="3260"/>
      <c r="Z65" s="3260"/>
      <c r="AA65" s="3194"/>
      <c r="AB65" s="3194"/>
      <c r="AC65" s="3194"/>
      <c r="AD65" s="3194"/>
      <c r="AE65" s="3194"/>
      <c r="AF65" s="3194"/>
      <c r="AG65" s="3194"/>
      <c r="AH65" s="3194"/>
    </row>
    <row r="66" spans="1:34" ht="13.5" thickBot="1">
      <c r="A66" s="3205" t="s">
        <v>3183</v>
      </c>
      <c r="B66" s="3225">
        <v>138</v>
      </c>
      <c r="C66" s="3225">
        <v>131</v>
      </c>
      <c r="D66" s="3225">
        <f t="shared" si="3"/>
        <v>131</v>
      </c>
      <c r="E66" s="3225">
        <v>155</v>
      </c>
      <c r="F66" s="3226">
        <v>114</v>
      </c>
      <c r="G66" s="3561">
        <v>2005</v>
      </c>
      <c r="H66" s="3220">
        <v>4</v>
      </c>
      <c r="I66" s="3220">
        <v>3.29</v>
      </c>
      <c r="J66" s="3220">
        <v>1.44</v>
      </c>
      <c r="K66" s="3220">
        <v>0.66</v>
      </c>
      <c r="L66" s="3221">
        <v>7.78</v>
      </c>
      <c r="M66" s="3194"/>
      <c r="N66" s="3258">
        <f t="shared" ref="N66:O69" si="37">I66/SUM(I$66:I$69)*(B$66/B$70-1)</f>
        <v>9.9404603216919935E-2</v>
      </c>
      <c r="O66" s="3259">
        <f t="shared" si="37"/>
        <v>4.7636550760861554E-2</v>
      </c>
      <c r="P66" s="3259">
        <f t="shared" ref="P66:Q69" si="38">K66/SUM(K$66:K$69)*(E$66/E$70-1)</f>
        <v>8.3756345177664976E-2</v>
      </c>
      <c r="Q66" s="3259">
        <f t="shared" si="38"/>
        <v>5.2148766661559584E-2</v>
      </c>
      <c r="R66" s="3208"/>
      <c r="S66" s="3213"/>
      <c r="T66" s="3214"/>
      <c r="U66" s="3214"/>
      <c r="V66" s="3214"/>
      <c r="W66" s="3194"/>
      <c r="X66" s="3260"/>
      <c r="Y66" s="3260"/>
      <c r="Z66" s="3260"/>
      <c r="AA66" s="3194"/>
      <c r="AB66" s="3194"/>
      <c r="AC66" s="3194"/>
      <c r="AD66" s="3194"/>
      <c r="AE66" s="3194"/>
      <c r="AF66" s="3194"/>
      <c r="AG66" s="3194"/>
      <c r="AH66" s="3194"/>
    </row>
    <row r="67" spans="1:34">
      <c r="A67" s="3205" t="s">
        <v>3184</v>
      </c>
      <c r="B67" s="3206">
        <f t="shared" ref="B67:C69" si="39">B68+(B$66-B$70)*I67/SUM(I$66:I$69)</f>
        <v>125.9720430107527</v>
      </c>
      <c r="C67" s="3206">
        <f t="shared" si="39"/>
        <v>125.1883408071749</v>
      </c>
      <c r="D67" s="3206">
        <f t="shared" si="3"/>
        <v>125.1883408071749</v>
      </c>
      <c r="E67" s="3206">
        <f t="shared" ref="E67:F69" si="40">E68+(E$66-E$70)*K67/SUM(K$66:K$69)</f>
        <v>144.61421319796952</v>
      </c>
      <c r="F67" s="3206">
        <f t="shared" si="40"/>
        <v>108.42008196721311</v>
      </c>
      <c r="G67" s="3562">
        <v>2005</v>
      </c>
      <c r="H67" s="3223">
        <v>3</v>
      </c>
      <c r="I67" s="3223">
        <v>0.46</v>
      </c>
      <c r="J67" s="3223">
        <v>0.32</v>
      </c>
      <c r="K67" s="3223">
        <v>0.42</v>
      </c>
      <c r="L67" s="3224">
        <v>0.64</v>
      </c>
      <c r="M67" s="3194"/>
      <c r="N67" s="3258">
        <f t="shared" si="37"/>
        <v>1.3898515951301874E-2</v>
      </c>
      <c r="O67" s="3259">
        <f t="shared" si="37"/>
        <v>1.0585900169080346E-2</v>
      </c>
      <c r="P67" s="3259">
        <f t="shared" si="38"/>
        <v>5.3299492385786795E-2</v>
      </c>
      <c r="Q67" s="3259">
        <f t="shared" si="38"/>
        <v>4.2898728359123568E-3</v>
      </c>
      <c r="R67" s="3208"/>
      <c r="S67" s="3207"/>
      <c r="T67" s="3195"/>
      <c r="U67" s="3195"/>
      <c r="V67" s="3195"/>
      <c r="W67" s="3194"/>
      <c r="X67" s="3260"/>
      <c r="Y67" s="3260"/>
      <c r="Z67" s="3260"/>
      <c r="AA67" s="3194"/>
      <c r="AB67" s="3194"/>
      <c r="AC67" s="3194"/>
      <c r="AD67" s="3194"/>
      <c r="AE67" s="3194"/>
      <c r="AF67" s="3194"/>
      <c r="AG67" s="3194"/>
      <c r="AH67" s="3194"/>
    </row>
    <row r="68" spans="1:34">
      <c r="A68" s="3205" t="s">
        <v>3185</v>
      </c>
      <c r="B68" s="3206">
        <f t="shared" si="39"/>
        <v>124.29032258064517</v>
      </c>
      <c r="C68" s="3206">
        <f t="shared" si="39"/>
        <v>123.8968609865471</v>
      </c>
      <c r="D68" s="3206">
        <f t="shared" si="3"/>
        <v>123.8968609865471</v>
      </c>
      <c r="E68" s="3206">
        <f t="shared" si="40"/>
        <v>138.00507614213197</v>
      </c>
      <c r="F68" s="3206">
        <f t="shared" si="40"/>
        <v>107.96106557377048</v>
      </c>
      <c r="G68" s="3562">
        <v>2005</v>
      </c>
      <c r="H68" s="3215">
        <v>2</v>
      </c>
      <c r="I68" s="3215">
        <v>0.47</v>
      </c>
      <c r="J68" s="3215">
        <v>0.1</v>
      </c>
      <c r="K68" s="3215">
        <v>0.52</v>
      </c>
      <c r="L68" s="3216">
        <v>0.79</v>
      </c>
      <c r="M68" s="3194"/>
      <c r="N68" s="3258">
        <f t="shared" si="37"/>
        <v>1.420065760241713E-2</v>
      </c>
      <c r="O68" s="3259">
        <f t="shared" si="37"/>
        <v>3.3080938028376083E-3</v>
      </c>
      <c r="P68" s="3259">
        <f t="shared" si="38"/>
        <v>6.598984771573603E-2</v>
      </c>
      <c r="Q68" s="3259">
        <f t="shared" si="38"/>
        <v>5.2953117818293153E-3</v>
      </c>
      <c r="R68" s="3208"/>
      <c r="S68" s="3207"/>
      <c r="T68" s="3195"/>
      <c r="U68" s="3195"/>
      <c r="V68" s="3195"/>
      <c r="W68" s="3194"/>
      <c r="X68" s="3260"/>
      <c r="Y68" s="3260"/>
      <c r="Z68" s="3260"/>
      <c r="AA68" s="3194"/>
      <c r="AB68" s="3194"/>
      <c r="AC68" s="3194"/>
      <c r="AD68" s="3194"/>
      <c r="AE68" s="3194"/>
      <c r="AF68" s="3194"/>
      <c r="AG68" s="3194"/>
      <c r="AH68" s="3194"/>
    </row>
    <row r="69" spans="1:34">
      <c r="A69" s="3205" t="s">
        <v>3186</v>
      </c>
      <c r="B69" s="3206">
        <f t="shared" si="39"/>
        <v>122.57204301075269</v>
      </c>
      <c r="C69" s="3206">
        <f t="shared" si="39"/>
        <v>123.4932735426009</v>
      </c>
      <c r="D69" s="3206">
        <f t="shared" ref="D69:D82" si="41">C69</f>
        <v>123.4932735426009</v>
      </c>
      <c r="E69" s="3206">
        <f t="shared" si="40"/>
        <v>129.82233502538071</v>
      </c>
      <c r="F69" s="3206">
        <f t="shared" si="40"/>
        <v>107.39446721311475</v>
      </c>
      <c r="G69" s="3563">
        <v>2005</v>
      </c>
      <c r="H69" s="2859">
        <v>1</v>
      </c>
      <c r="I69" s="2859">
        <v>0.43</v>
      </c>
      <c r="J69" s="2859">
        <v>0.37</v>
      </c>
      <c r="K69" s="2859">
        <v>0.37</v>
      </c>
      <c r="L69" s="2860">
        <v>0.55000000000000004</v>
      </c>
      <c r="M69" s="3194"/>
      <c r="N69" s="3261">
        <f t="shared" si="37"/>
        <v>1.2992090997956099E-2</v>
      </c>
      <c r="O69" s="3262">
        <f t="shared" si="37"/>
        <v>1.2239947070499151E-2</v>
      </c>
      <c r="P69" s="3262">
        <f t="shared" si="38"/>
        <v>4.6954314720812178E-2</v>
      </c>
      <c r="Q69" s="3262">
        <f t="shared" si="38"/>
        <v>3.6866094683621815E-3</v>
      </c>
      <c r="R69" s="3208"/>
      <c r="S69" s="3209">
        <f>B69/B70-1</f>
        <v>1.2992090997956174E-2</v>
      </c>
      <c r="T69" s="3210">
        <f>C69/C70-1</f>
        <v>1.2239947070499246E-2</v>
      </c>
      <c r="U69" s="3210">
        <f>E69/E70-1</f>
        <v>4.695431472081224E-2</v>
      </c>
      <c r="V69" s="3210">
        <f>F69/F70-1</f>
        <v>3.6866094683620787E-3</v>
      </c>
      <c r="W69" s="3194"/>
      <c r="X69" s="3260"/>
      <c r="Y69" s="3260"/>
      <c r="Z69" s="3260"/>
      <c r="AA69" s="3194"/>
      <c r="AB69" s="3194"/>
      <c r="AC69" s="3194"/>
      <c r="AD69" s="3194"/>
      <c r="AE69" s="3194"/>
      <c r="AF69" s="3194"/>
      <c r="AG69" s="3194"/>
      <c r="AH69" s="3194"/>
    </row>
    <row r="70" spans="1:34" ht="13.5" thickBot="1">
      <c r="A70" s="3205" t="s">
        <v>3187</v>
      </c>
      <c r="B70" s="3246">
        <v>121</v>
      </c>
      <c r="C70" s="3246">
        <v>122</v>
      </c>
      <c r="D70" s="3246">
        <f t="shared" si="41"/>
        <v>122</v>
      </c>
      <c r="E70" s="3246">
        <v>124</v>
      </c>
      <c r="F70" s="3247">
        <v>107</v>
      </c>
      <c r="G70" s="3561">
        <v>2004</v>
      </c>
      <c r="H70" s="3220">
        <v>4</v>
      </c>
      <c r="I70" s="3220">
        <v>0.33</v>
      </c>
      <c r="J70" s="3220">
        <v>0.5</v>
      </c>
      <c r="K70" s="3220">
        <v>0.5</v>
      </c>
      <c r="L70" s="3221">
        <v>0</v>
      </c>
      <c r="M70" s="3194"/>
      <c r="N70" s="3258">
        <f t="shared" ref="N70:O73" si="42">I70/SUM(I$70:I$73)*(B$70/B$74-1)</f>
        <v>1.3391770148526898E-2</v>
      </c>
      <c r="O70" s="3259">
        <f t="shared" si="42"/>
        <v>1.063264221158958E-2</v>
      </c>
      <c r="P70" s="3259">
        <f t="shared" ref="P70:Q73" si="43">K70/SUM(K$70:K$73)*(E$70/E$74-1)</f>
        <v>2.2244466688911134E-2</v>
      </c>
      <c r="Q70" s="3259">
        <f t="shared" si="43"/>
        <v>0</v>
      </c>
      <c r="R70" s="3208"/>
      <c r="S70" s="3213"/>
      <c r="T70" s="3214"/>
      <c r="U70" s="3214"/>
      <c r="V70" s="3214"/>
      <c r="W70" s="3194"/>
      <c r="X70" s="3260"/>
      <c r="Y70" s="3260"/>
      <c r="Z70" s="3260"/>
      <c r="AA70" s="3194"/>
      <c r="AB70" s="3194"/>
      <c r="AC70" s="3194"/>
      <c r="AD70" s="3194"/>
      <c r="AE70" s="3194"/>
      <c r="AF70" s="3194"/>
      <c r="AG70" s="3194"/>
      <c r="AH70" s="3194"/>
    </row>
    <row r="71" spans="1:34">
      <c r="A71" s="3205" t="s">
        <v>3188</v>
      </c>
      <c r="B71" s="3206">
        <f t="shared" ref="B71:C73" si="44">B72+(B$70-B$74)*I71/SUM(I$70:I$73)</f>
        <v>119.51351351351352</v>
      </c>
      <c r="C71" s="3206">
        <f t="shared" si="44"/>
        <v>120.7878787878788</v>
      </c>
      <c r="D71" s="3206">
        <f t="shared" si="41"/>
        <v>120.7878787878788</v>
      </c>
      <c r="E71" s="3206">
        <f t="shared" ref="E71:F73" si="45">E72+(E$70-E$74)*K71/SUM(K$70:K$73)</f>
        <v>121.5975975975976</v>
      </c>
      <c r="F71" s="3206">
        <f t="shared" si="45"/>
        <v>107</v>
      </c>
      <c r="G71" s="3562">
        <v>2004</v>
      </c>
      <c r="H71" s="3223">
        <v>3</v>
      </c>
      <c r="I71" s="3223">
        <v>0.56000000000000005</v>
      </c>
      <c r="J71" s="3223">
        <v>0.8</v>
      </c>
      <c r="K71" s="3223">
        <v>0.83</v>
      </c>
      <c r="L71" s="3224">
        <v>0.06</v>
      </c>
      <c r="M71" s="3194"/>
      <c r="N71" s="3258">
        <f t="shared" si="42"/>
        <v>2.2725428130833527E-2</v>
      </c>
      <c r="O71" s="3259">
        <f t="shared" si="42"/>
        <v>1.7012227538543329E-2</v>
      </c>
      <c r="P71" s="3259">
        <f t="shared" si="43"/>
        <v>3.6925814703592477E-2</v>
      </c>
      <c r="Q71" s="3259">
        <f t="shared" si="43"/>
        <v>2.8846153846153744E-2</v>
      </c>
      <c r="R71" s="3208"/>
      <c r="S71" s="3207"/>
      <c r="T71" s="3195"/>
      <c r="U71" s="3195"/>
      <c r="V71" s="3195"/>
      <c r="W71" s="3194"/>
      <c r="X71" s="3260"/>
      <c r="Y71" s="3260"/>
      <c r="Z71" s="3260"/>
      <c r="AA71" s="3194"/>
      <c r="AB71" s="3194"/>
      <c r="AC71" s="3194"/>
      <c r="AD71" s="3194"/>
      <c r="AE71" s="3194"/>
      <c r="AF71" s="3194"/>
      <c r="AG71" s="3194"/>
      <c r="AH71" s="3194"/>
    </row>
    <row r="72" spans="1:34">
      <c r="A72" s="3205" t="s">
        <v>3189</v>
      </c>
      <c r="B72" s="3206">
        <f t="shared" si="44"/>
        <v>116.99099099099099</v>
      </c>
      <c r="C72" s="3206">
        <f t="shared" si="44"/>
        <v>118.84848484848486</v>
      </c>
      <c r="D72" s="3206">
        <f t="shared" si="41"/>
        <v>118.84848484848486</v>
      </c>
      <c r="E72" s="3206">
        <f t="shared" si="45"/>
        <v>117.60960960960961</v>
      </c>
      <c r="F72" s="3206">
        <f t="shared" si="45"/>
        <v>104</v>
      </c>
      <c r="G72" s="3562">
        <v>2004</v>
      </c>
      <c r="H72" s="3215">
        <v>2</v>
      </c>
      <c r="I72" s="3215">
        <v>1</v>
      </c>
      <c r="J72" s="3215">
        <v>1.5</v>
      </c>
      <c r="K72" s="3215">
        <v>1.5</v>
      </c>
      <c r="L72" s="3216">
        <v>0</v>
      </c>
      <c r="M72" s="3194"/>
      <c r="N72" s="3258">
        <f t="shared" si="42"/>
        <v>4.0581121662202721E-2</v>
      </c>
      <c r="O72" s="3259">
        <f t="shared" si="42"/>
        <v>3.1897926634768738E-2</v>
      </c>
      <c r="P72" s="3259">
        <f t="shared" si="43"/>
        <v>6.6733400066733395E-2</v>
      </c>
      <c r="Q72" s="3259">
        <f t="shared" si="43"/>
        <v>0</v>
      </c>
      <c r="R72" s="3208"/>
      <c r="S72" s="3207"/>
      <c r="T72" s="3195"/>
      <c r="U72" s="3195"/>
      <c r="V72" s="3195"/>
      <c r="W72" s="3194"/>
      <c r="X72" s="3260"/>
      <c r="Y72" s="3260"/>
      <c r="Z72" s="3260"/>
      <c r="AA72" s="3194"/>
      <c r="AB72" s="3194"/>
      <c r="AC72" s="3194"/>
      <c r="AD72" s="3194"/>
      <c r="AE72" s="3194"/>
      <c r="AF72" s="3194"/>
      <c r="AG72" s="3194"/>
      <c r="AH72" s="3194"/>
    </row>
    <row r="73" spans="1:34" ht="13.5" thickBot="1">
      <c r="A73" s="3205" t="s">
        <v>3190</v>
      </c>
      <c r="B73" s="3249">
        <f t="shared" si="44"/>
        <v>112.48648648648648</v>
      </c>
      <c r="C73" s="3249">
        <f t="shared" si="44"/>
        <v>115.21212121212122</v>
      </c>
      <c r="D73" s="3249">
        <f t="shared" si="41"/>
        <v>115.21212121212122</v>
      </c>
      <c r="E73" s="3249">
        <f t="shared" si="45"/>
        <v>110.4024024024024</v>
      </c>
      <c r="F73" s="3249">
        <f t="shared" si="45"/>
        <v>104</v>
      </c>
      <c r="G73" s="3563">
        <v>2004</v>
      </c>
      <c r="H73" s="3250">
        <v>1</v>
      </c>
      <c r="I73" s="3250">
        <v>0.33</v>
      </c>
      <c r="J73" s="3250">
        <v>0.5</v>
      </c>
      <c r="K73" s="3250">
        <v>0.5</v>
      </c>
      <c r="L73" s="3251">
        <v>0</v>
      </c>
      <c r="M73" s="3252"/>
      <c r="N73" s="3263">
        <f t="shared" si="42"/>
        <v>1.3391770148526898E-2</v>
      </c>
      <c r="O73" s="3264">
        <f t="shared" si="42"/>
        <v>1.063264221158958E-2</v>
      </c>
      <c r="P73" s="3264">
        <f t="shared" si="43"/>
        <v>2.2244466688911134E-2</v>
      </c>
      <c r="Q73" s="3264">
        <f t="shared" si="43"/>
        <v>0</v>
      </c>
      <c r="R73" s="3255"/>
      <c r="S73" s="3253">
        <f>B73/B74-1</f>
        <v>1.3391770148526883E-2</v>
      </c>
      <c r="T73" s="3254">
        <f>C73/C74-1</f>
        <v>1.063264221158966E-2</v>
      </c>
      <c r="U73" s="3254">
        <f>E73/E74-1</f>
        <v>2.2244466688911224E-2</v>
      </c>
      <c r="V73" s="3254">
        <f>F73/F74-1</f>
        <v>0</v>
      </c>
      <c r="W73" s="3252"/>
      <c r="X73" s="3265"/>
      <c r="Y73" s="3265"/>
      <c r="Z73" s="3265"/>
      <c r="AA73" s="3252"/>
      <c r="AB73" s="3252"/>
      <c r="AC73" s="3252"/>
      <c r="AD73" s="3252"/>
      <c r="AE73" s="3252"/>
      <c r="AF73" s="3252"/>
      <c r="AG73" s="3252"/>
      <c r="AH73" s="3252"/>
    </row>
    <row r="74" spans="1:34" ht="13.5" thickBot="1">
      <c r="A74" s="3205" t="s">
        <v>3191</v>
      </c>
      <c r="B74" s="3266">
        <v>111</v>
      </c>
      <c r="C74" s="3266">
        <v>114</v>
      </c>
      <c r="D74" s="3266">
        <f t="shared" si="41"/>
        <v>114</v>
      </c>
      <c r="E74" s="3266">
        <v>108</v>
      </c>
      <c r="F74" s="3267">
        <v>104</v>
      </c>
      <c r="G74" s="3561">
        <v>2003</v>
      </c>
      <c r="H74" s="3256">
        <v>4</v>
      </c>
      <c r="I74" s="3268"/>
      <c r="J74" s="3268"/>
      <c r="K74" s="3268"/>
      <c r="L74" s="3268"/>
      <c r="M74" s="3194"/>
      <c r="N74" s="3269"/>
      <c r="O74" s="3268"/>
      <c r="P74" s="3268"/>
      <c r="Q74" s="3268"/>
      <c r="R74" s="3194"/>
      <c r="S74" s="3269"/>
      <c r="T74" s="3268"/>
      <c r="U74" s="3268"/>
      <c r="V74" s="3268"/>
      <c r="W74" s="3194"/>
      <c r="X74" s="3260"/>
      <c r="Y74" s="3260"/>
      <c r="Z74" s="3260"/>
      <c r="AA74" s="3194"/>
      <c r="AB74" s="3194"/>
      <c r="AC74" s="3194"/>
      <c r="AD74" s="3194"/>
      <c r="AE74" s="3194"/>
      <c r="AF74" s="3194"/>
      <c r="AG74" s="3194"/>
      <c r="AH74" s="3194"/>
    </row>
    <row r="75" spans="1:34">
      <c r="A75" s="3205" t="s">
        <v>3192</v>
      </c>
      <c r="B75" s="3270">
        <f t="shared" ref="B75:C77" si="46">B76+(B$74-B$78)/4</f>
        <v>109.75</v>
      </c>
      <c r="C75" s="3270">
        <f t="shared" si="46"/>
        <v>112.25</v>
      </c>
      <c r="D75" s="3270">
        <f t="shared" si="41"/>
        <v>112.25</v>
      </c>
      <c r="E75" s="3270">
        <f t="shared" ref="E75:F77" si="47">E76+(E$74-E$78)/4</f>
        <v>107.25</v>
      </c>
      <c r="F75" s="3270">
        <f t="shared" si="47"/>
        <v>103.5</v>
      </c>
      <c r="G75" s="3562">
        <v>2003</v>
      </c>
      <c r="H75" s="3223">
        <v>3</v>
      </c>
      <c r="I75" s="3268"/>
      <c r="J75" s="3268"/>
      <c r="K75" s="3268"/>
      <c r="L75" s="3268"/>
      <c r="M75" s="3194"/>
      <c r="N75" s="3222"/>
      <c r="O75" s="3194"/>
      <c r="P75" s="3194"/>
      <c r="Q75" s="3194"/>
      <c r="R75" s="3194"/>
      <c r="S75" s="3222"/>
      <c r="T75" s="3194"/>
      <c r="U75" s="3194"/>
      <c r="V75" s="3194"/>
      <c r="W75" s="3194"/>
      <c r="X75" s="3260"/>
      <c r="Y75" s="3260"/>
      <c r="Z75" s="3260"/>
      <c r="AA75" s="3194"/>
      <c r="AB75" s="3194"/>
      <c r="AC75" s="3194"/>
      <c r="AD75" s="3194"/>
      <c r="AE75" s="3194"/>
      <c r="AF75" s="3194"/>
      <c r="AG75" s="3194"/>
      <c r="AH75" s="3194"/>
    </row>
    <row r="76" spans="1:34">
      <c r="A76" s="3205" t="s">
        <v>3193</v>
      </c>
      <c r="B76" s="3270">
        <f t="shared" si="46"/>
        <v>108.5</v>
      </c>
      <c r="C76" s="3270">
        <f t="shared" si="46"/>
        <v>110.5</v>
      </c>
      <c r="D76" s="3270">
        <f t="shared" si="41"/>
        <v>110.5</v>
      </c>
      <c r="E76" s="3270">
        <f t="shared" si="47"/>
        <v>106.5</v>
      </c>
      <c r="F76" s="3270">
        <f t="shared" si="47"/>
        <v>103</v>
      </c>
      <c r="G76" s="3562">
        <v>2003</v>
      </c>
      <c r="H76" s="3215">
        <v>2</v>
      </c>
      <c r="I76" s="3268"/>
      <c r="J76" s="3268"/>
      <c r="K76" s="3268"/>
      <c r="L76" s="3268"/>
      <c r="M76" s="3194"/>
      <c r="N76" s="3222"/>
      <c r="O76" s="3194"/>
      <c r="P76" s="3194"/>
      <c r="Q76" s="3194"/>
      <c r="R76" s="3194"/>
      <c r="S76" s="3222"/>
      <c r="T76" s="3194"/>
      <c r="U76" s="3194"/>
      <c r="V76" s="3194"/>
      <c r="W76" s="3194"/>
      <c r="X76" s="3260"/>
      <c r="Y76" s="3260"/>
      <c r="Z76" s="3260"/>
      <c r="AA76" s="3194"/>
      <c r="AB76" s="3194"/>
      <c r="AC76" s="3194"/>
      <c r="AD76" s="3194"/>
      <c r="AE76" s="3194"/>
      <c r="AF76" s="3194"/>
      <c r="AG76" s="3194"/>
      <c r="AH76" s="3194"/>
    </row>
    <row r="77" spans="1:34" ht="13.5" thickBot="1">
      <c r="A77" s="3205" t="s">
        <v>3194</v>
      </c>
      <c r="B77" s="3270">
        <f t="shared" si="46"/>
        <v>107.25</v>
      </c>
      <c r="C77" s="3270">
        <f t="shared" si="46"/>
        <v>108.75</v>
      </c>
      <c r="D77" s="3270">
        <f t="shared" si="41"/>
        <v>108.75</v>
      </c>
      <c r="E77" s="3270">
        <f t="shared" si="47"/>
        <v>105.75</v>
      </c>
      <c r="F77" s="3270">
        <f t="shared" si="47"/>
        <v>102.5</v>
      </c>
      <c r="G77" s="3563">
        <v>2003</v>
      </c>
      <c r="H77" s="3271">
        <v>1</v>
      </c>
      <c r="I77" s="3268"/>
      <c r="J77" s="3268"/>
      <c r="K77" s="3268"/>
      <c r="L77" s="3268"/>
      <c r="M77" s="3194"/>
      <c r="N77" s="3222"/>
      <c r="O77" s="3194"/>
      <c r="P77" s="3194"/>
      <c r="Q77" s="3194"/>
      <c r="R77" s="3194"/>
      <c r="S77" s="3207"/>
      <c r="T77" s="3195"/>
      <c r="U77" s="3195"/>
      <c r="V77" s="3194"/>
      <c r="W77" s="3194"/>
      <c r="X77" s="3260"/>
      <c r="Y77" s="3260"/>
      <c r="Z77" s="3260"/>
      <c r="AA77" s="3194"/>
      <c r="AB77" s="3194"/>
      <c r="AC77" s="3194"/>
      <c r="AD77" s="3194"/>
      <c r="AE77" s="3194"/>
      <c r="AF77" s="3194"/>
      <c r="AG77" s="3194"/>
      <c r="AH77" s="3194"/>
    </row>
    <row r="78" spans="1:34" ht="13.5" thickBot="1">
      <c r="A78" s="3205" t="s">
        <v>3195</v>
      </c>
      <c r="B78" s="3272">
        <v>106</v>
      </c>
      <c r="C78" s="3272">
        <v>107</v>
      </c>
      <c r="D78" s="3272">
        <f t="shared" si="41"/>
        <v>107</v>
      </c>
      <c r="E78" s="3272">
        <v>105</v>
      </c>
      <c r="F78" s="3273">
        <v>102</v>
      </c>
      <c r="G78" s="3561">
        <v>2002</v>
      </c>
      <c r="H78" s="3220">
        <v>4</v>
      </c>
      <c r="I78" s="3268"/>
      <c r="J78" s="3268"/>
      <c r="K78" s="3268"/>
      <c r="L78" s="3268"/>
      <c r="M78" s="3194"/>
      <c r="N78" s="3269"/>
      <c r="O78" s="3268"/>
      <c r="P78" s="3268"/>
      <c r="Q78" s="3268"/>
      <c r="R78" s="3194"/>
      <c r="S78" s="3269"/>
      <c r="T78" s="3268"/>
      <c r="U78" s="3268"/>
      <c r="V78" s="3268"/>
      <c r="W78" s="3194"/>
      <c r="X78" s="3260"/>
      <c r="Y78" s="3260"/>
      <c r="Z78" s="3260"/>
      <c r="AA78" s="3194"/>
      <c r="AB78" s="3194"/>
      <c r="AC78" s="3194"/>
      <c r="AD78" s="3194"/>
      <c r="AE78" s="3194"/>
      <c r="AF78" s="3194"/>
      <c r="AG78" s="3194"/>
      <c r="AH78" s="3194"/>
    </row>
    <row r="79" spans="1:34">
      <c r="A79" s="3205" t="s">
        <v>3196</v>
      </c>
      <c r="B79" s="3270">
        <f t="shared" ref="B79:C81" si="48">B80+(B$78-B$82)/4</f>
        <v>105</v>
      </c>
      <c r="C79" s="3270">
        <f t="shared" si="48"/>
        <v>106</v>
      </c>
      <c r="D79" s="3270">
        <f t="shared" si="41"/>
        <v>106</v>
      </c>
      <c r="E79" s="3270">
        <f t="shared" ref="E79:F81" si="49">E80+(E$78-E$82)/4</f>
        <v>104.5</v>
      </c>
      <c r="F79" s="3270">
        <f t="shared" si="49"/>
        <v>101.5</v>
      </c>
      <c r="G79" s="3562">
        <v>2002</v>
      </c>
      <c r="H79" s="3223">
        <v>3</v>
      </c>
      <c r="I79" s="3268"/>
      <c r="J79" s="3268"/>
      <c r="K79" s="3268"/>
      <c r="L79" s="3268"/>
      <c r="M79" s="3194"/>
      <c r="N79" s="3222"/>
      <c r="O79" s="3194"/>
      <c r="P79" s="3194"/>
      <c r="Q79" s="3194"/>
      <c r="R79" s="3194"/>
      <c r="S79" s="3222"/>
      <c r="T79" s="3194"/>
      <c r="U79" s="3194"/>
      <c r="V79" s="3194"/>
      <c r="W79" s="3194"/>
      <c r="X79" s="3260"/>
      <c r="Y79" s="3260"/>
      <c r="Z79" s="3260"/>
      <c r="AA79" s="3194"/>
      <c r="AB79" s="3194"/>
      <c r="AC79" s="3194"/>
      <c r="AD79" s="3194"/>
      <c r="AE79" s="3194"/>
      <c r="AF79" s="3194"/>
      <c r="AG79" s="3194"/>
      <c r="AH79" s="3194"/>
    </row>
    <row r="80" spans="1:34">
      <c r="A80" s="3205" t="s">
        <v>3197</v>
      </c>
      <c r="B80" s="3270">
        <f t="shared" si="48"/>
        <v>104</v>
      </c>
      <c r="C80" s="3270">
        <f t="shared" si="48"/>
        <v>105</v>
      </c>
      <c r="D80" s="3270">
        <f t="shared" si="41"/>
        <v>105</v>
      </c>
      <c r="E80" s="3270">
        <f t="shared" si="49"/>
        <v>104</v>
      </c>
      <c r="F80" s="3270">
        <f t="shared" si="49"/>
        <v>101</v>
      </c>
      <c r="G80" s="3562">
        <v>2002</v>
      </c>
      <c r="H80" s="3215">
        <v>2</v>
      </c>
      <c r="I80" s="3268"/>
      <c r="J80" s="3268"/>
      <c r="K80" s="3268"/>
      <c r="L80" s="3268"/>
      <c r="M80" s="3194"/>
      <c r="N80" s="3222"/>
      <c r="O80" s="3194"/>
      <c r="P80" s="3194"/>
      <c r="Q80" s="3194"/>
      <c r="R80" s="3194"/>
      <c r="S80" s="3222"/>
      <c r="T80" s="3194"/>
      <c r="U80" s="3194"/>
      <c r="V80" s="3194"/>
      <c r="W80" s="3194"/>
      <c r="X80" s="3260"/>
      <c r="Y80" s="3260"/>
      <c r="Z80" s="3260"/>
      <c r="AA80" s="3194"/>
      <c r="AB80" s="3194"/>
      <c r="AC80" s="3194"/>
      <c r="AD80" s="3194"/>
      <c r="AE80" s="3194"/>
      <c r="AF80" s="3194"/>
      <c r="AG80" s="3194"/>
      <c r="AH80" s="3194"/>
    </row>
    <row r="81" spans="1:34" ht="13.5" thickBot="1">
      <c r="A81" s="3229" t="s">
        <v>3198</v>
      </c>
      <c r="B81" s="3236">
        <f t="shared" si="48"/>
        <v>103</v>
      </c>
      <c r="C81" s="3236">
        <f t="shared" si="48"/>
        <v>104</v>
      </c>
      <c r="D81" s="3236">
        <f t="shared" si="41"/>
        <v>104</v>
      </c>
      <c r="E81" s="3236">
        <f t="shared" si="49"/>
        <v>103.5</v>
      </c>
      <c r="F81" s="3236">
        <f t="shared" si="49"/>
        <v>100.5</v>
      </c>
      <c r="G81" s="3563">
        <v>2002</v>
      </c>
      <c r="H81" s="3274">
        <v>1</v>
      </c>
      <c r="I81" s="3275"/>
      <c r="J81" s="3275"/>
      <c r="K81" s="3275"/>
      <c r="L81" s="3275"/>
      <c r="M81" s="3233"/>
      <c r="N81" s="3276"/>
      <c r="O81" s="3233"/>
      <c r="P81" s="3233"/>
      <c r="Q81" s="3233"/>
      <c r="R81" s="3233"/>
      <c r="S81" s="3276"/>
      <c r="T81" s="3233"/>
      <c r="U81" s="3233"/>
      <c r="V81" s="3233"/>
      <c r="W81" s="3233"/>
      <c r="X81" s="3277"/>
      <c r="Y81" s="3277"/>
      <c r="Z81" s="3277"/>
      <c r="AA81" s="3233"/>
      <c r="AB81" s="3233"/>
      <c r="AC81" s="3233"/>
      <c r="AD81" s="3233"/>
      <c r="AE81" s="3233"/>
      <c r="AF81" s="3233"/>
      <c r="AG81" s="3233"/>
      <c r="AH81" s="3233"/>
    </row>
    <row r="82" spans="1:34" ht="13.5" thickBot="1">
      <c r="A82" s="3194"/>
      <c r="B82" s="3278">
        <v>102</v>
      </c>
      <c r="C82" s="3279">
        <v>103</v>
      </c>
      <c r="D82" s="3279">
        <f t="shared" si="41"/>
        <v>103</v>
      </c>
      <c r="E82" s="3279">
        <v>103</v>
      </c>
      <c r="F82" s="3280">
        <v>100</v>
      </c>
      <c r="G82" s="3222"/>
      <c r="H82" s="3194"/>
      <c r="I82" s="3268"/>
      <c r="J82" s="3268"/>
      <c r="K82" s="3268"/>
      <c r="L82" s="3268"/>
      <c r="M82" s="3194"/>
      <c r="N82" s="3269"/>
      <c r="O82" s="3268"/>
      <c r="P82" s="3268"/>
      <c r="Q82" s="3268"/>
      <c r="R82" s="3194"/>
      <c r="S82" s="3269"/>
      <c r="T82" s="3268"/>
      <c r="U82" s="3268"/>
      <c r="V82" s="3268"/>
      <c r="W82" s="3194"/>
      <c r="X82" s="3214"/>
      <c r="Y82" s="3214"/>
      <c r="Z82" s="3214"/>
      <c r="AA82" s="3194"/>
      <c r="AB82" s="3194"/>
      <c r="AC82" s="3194"/>
      <c r="AD82" s="3194"/>
      <c r="AE82" s="3194"/>
      <c r="AF82" s="3194"/>
      <c r="AG82" s="3194"/>
      <c r="AH82" s="3194"/>
    </row>
    <row r="83" spans="1:34">
      <c r="A83" s="3194"/>
      <c r="B83" s="3194"/>
      <c r="C83" s="3194"/>
      <c r="D83" s="3194"/>
      <c r="E83" s="3194"/>
      <c r="F83" s="3194"/>
      <c r="G83" s="3222"/>
      <c r="H83" s="3194"/>
      <c r="I83" s="3194"/>
      <c r="J83" s="3194"/>
      <c r="K83" s="3194"/>
      <c r="L83" s="3194"/>
      <c r="M83" s="3194"/>
      <c r="N83" s="3222"/>
      <c r="O83" s="3194"/>
      <c r="P83" s="3194"/>
      <c r="Q83" s="3194"/>
      <c r="R83" s="3194"/>
      <c r="S83" s="3222"/>
      <c r="T83" s="3194"/>
      <c r="U83" s="3194"/>
      <c r="V83" s="3194"/>
      <c r="W83" s="3194"/>
      <c r="X83" s="3194"/>
      <c r="Y83" s="3194"/>
      <c r="Z83" s="3194"/>
      <c r="AA83" s="3194"/>
      <c r="AB83" s="3194"/>
      <c r="AC83" s="3194"/>
      <c r="AD83" s="3194"/>
      <c r="AE83" s="3194"/>
      <c r="AF83" s="3194"/>
      <c r="AG83" s="3194"/>
      <c r="AH83" s="3194"/>
    </row>
    <row r="84" spans="1:34">
      <c r="A84" s="3281" t="s">
        <v>3199</v>
      </c>
      <c r="B84" s="3282"/>
      <c r="C84" s="3282"/>
      <c r="D84" s="3282"/>
      <c r="E84" s="3282"/>
      <c r="F84" s="3282"/>
      <c r="G84" s="3283"/>
      <c r="H84" s="3282"/>
      <c r="I84" s="3282"/>
      <c r="J84" s="3282"/>
      <c r="K84" s="3282"/>
      <c r="L84" s="3282"/>
      <c r="M84" s="3282"/>
      <c r="N84" s="3283"/>
      <c r="O84" s="3282"/>
      <c r="P84" s="3282"/>
      <c r="Q84" s="3282"/>
      <c r="R84" s="3282"/>
      <c r="S84" s="3283"/>
      <c r="T84" s="3282"/>
      <c r="U84" s="3282"/>
      <c r="V84" s="3282"/>
      <c r="W84" s="3282"/>
      <c r="X84" s="3282"/>
      <c r="Y84" s="3282"/>
      <c r="Z84" s="3282"/>
      <c r="AA84" s="3282"/>
      <c r="AB84" s="3282"/>
      <c r="AC84" s="3282"/>
      <c r="AD84" s="3282"/>
      <c r="AE84" s="3282"/>
      <c r="AF84" s="3282"/>
      <c r="AG84" s="3282"/>
      <c r="AH84" s="3282"/>
    </row>
    <row r="85" spans="1:34">
      <c r="A85" s="3282" t="s">
        <v>3200</v>
      </c>
      <c r="B85" s="3282"/>
      <c r="C85" s="3282"/>
      <c r="D85" s="3282"/>
      <c r="E85" s="3282"/>
      <c r="F85" s="3282"/>
      <c r="G85" s="3283"/>
      <c r="H85" s="3282"/>
      <c r="I85" s="3282"/>
      <c r="J85" s="3282"/>
      <c r="K85" s="3282"/>
      <c r="L85" s="3282"/>
      <c r="M85" s="3282"/>
      <c r="N85" s="3283"/>
      <c r="O85" s="3282"/>
      <c r="P85" s="3282"/>
      <c r="Q85" s="3282"/>
      <c r="R85" s="3282"/>
      <c r="S85" s="3283"/>
      <c r="T85" s="3282"/>
      <c r="U85" s="3282"/>
      <c r="V85" s="3282"/>
      <c r="W85" s="3282"/>
      <c r="X85" s="3282"/>
      <c r="Y85" s="3282"/>
      <c r="Z85" s="3282"/>
      <c r="AA85" s="3282"/>
      <c r="AB85" s="3282"/>
      <c r="AC85" s="3282"/>
      <c r="AD85" s="3282"/>
      <c r="AE85" s="3282"/>
      <c r="AF85" s="3282"/>
      <c r="AG85" s="3282"/>
      <c r="AH85" s="3282"/>
    </row>
    <row r="86" spans="1:34">
      <c r="A86" s="3282" t="s">
        <v>3201</v>
      </c>
      <c r="B86" s="3282"/>
      <c r="C86" s="3282"/>
      <c r="D86" s="3282"/>
      <c r="E86" s="3282"/>
      <c r="F86" s="3282"/>
      <c r="G86" s="3283"/>
      <c r="H86" s="3282"/>
      <c r="I86" s="3284"/>
      <c r="J86" s="3284"/>
      <c r="K86" s="3284"/>
      <c r="L86" s="3284"/>
      <c r="M86" s="3282"/>
      <c r="N86" s="3285"/>
      <c r="O86" s="3284"/>
      <c r="P86" s="3284"/>
      <c r="Q86" s="3284"/>
      <c r="R86" s="3282"/>
      <c r="S86" s="3285"/>
      <c r="T86" s="3284"/>
      <c r="U86" s="3284"/>
      <c r="V86" s="3284"/>
      <c r="W86" s="3282"/>
      <c r="X86" s="3282"/>
      <c r="Y86" s="3282"/>
      <c r="Z86" s="3282"/>
      <c r="AA86" s="3282"/>
      <c r="AB86" s="3282"/>
      <c r="AC86" s="3282"/>
      <c r="AD86" s="3282"/>
      <c r="AE86" s="3282"/>
      <c r="AF86" s="3282"/>
      <c r="AG86" s="3282"/>
      <c r="AH86" s="3282"/>
    </row>
    <row r="87" spans="1:34">
      <c r="A87" s="3282" t="s">
        <v>3202</v>
      </c>
      <c r="B87" s="3282"/>
      <c r="C87" s="3282"/>
      <c r="D87" s="3282"/>
      <c r="E87" s="3282"/>
      <c r="F87" s="3282"/>
      <c r="G87" s="3283"/>
      <c r="H87" s="3282"/>
      <c r="I87" s="3282"/>
      <c r="J87" s="3282"/>
      <c r="K87" s="3282"/>
      <c r="L87" s="3282"/>
      <c r="M87" s="3282"/>
      <c r="N87" s="3283"/>
      <c r="O87" s="3282"/>
      <c r="P87" s="3282"/>
      <c r="Q87" s="3282"/>
      <c r="R87" s="3282"/>
      <c r="S87" s="3283"/>
      <c r="T87" s="3282"/>
      <c r="U87" s="3282"/>
      <c r="V87" s="3282"/>
      <c r="W87" s="3282"/>
      <c r="X87" s="3282"/>
      <c r="Y87" s="3282"/>
      <c r="Z87" s="3282"/>
      <c r="AA87" s="3282"/>
      <c r="AB87" s="3282"/>
      <c r="AC87" s="3282"/>
      <c r="AD87" s="3282"/>
      <c r="AE87" s="3282"/>
      <c r="AF87" s="3282"/>
      <c r="AG87" s="3282"/>
      <c r="AH87" s="3282"/>
    </row>
    <row r="88" spans="1:34">
      <c r="A88" s="3194"/>
      <c r="B88" s="3194"/>
      <c r="C88" s="3194"/>
      <c r="D88" s="3194"/>
      <c r="E88" s="3194"/>
      <c r="F88" s="3194"/>
      <c r="G88" s="3222"/>
      <c r="H88" s="3194"/>
      <c r="I88" s="3194"/>
      <c r="J88" s="3194"/>
      <c r="K88" s="3194"/>
      <c r="L88" s="3194"/>
      <c r="M88" s="3194"/>
      <c r="N88" s="3222"/>
      <c r="O88" s="3194"/>
      <c r="P88" s="3194"/>
      <c r="Q88" s="3194"/>
      <c r="R88" s="3194"/>
      <c r="S88" s="3222"/>
      <c r="T88" s="3194"/>
      <c r="U88" s="3194"/>
      <c r="V88" s="3194"/>
      <c r="W88" s="3194"/>
      <c r="X88" s="3194"/>
      <c r="Y88" s="3194"/>
      <c r="Z88" s="3194"/>
      <c r="AA88" s="3194"/>
      <c r="AB88" s="3194"/>
      <c r="AC88" s="3194"/>
      <c r="AD88" s="3194"/>
      <c r="AE88" s="3194"/>
      <c r="AF88" s="3194"/>
      <c r="AG88" s="3194"/>
      <c r="AH88" s="3194"/>
    </row>
    <row r="89" spans="1:34">
      <c r="A89" s="3194"/>
      <c r="B89" s="3194"/>
      <c r="C89" s="3194"/>
      <c r="D89" s="3194"/>
      <c r="E89" s="3194"/>
      <c r="F89" s="3194"/>
      <c r="G89" s="3222"/>
      <c r="H89" s="3194"/>
      <c r="I89" s="3194"/>
      <c r="J89" s="3194"/>
      <c r="K89" s="3194"/>
      <c r="L89" s="3194"/>
      <c r="M89" s="3194"/>
      <c r="N89" s="3222"/>
      <c r="O89" s="3194"/>
      <c r="P89" s="3194"/>
      <c r="Q89" s="3194"/>
      <c r="R89" s="3194"/>
      <c r="S89" s="3222"/>
      <c r="T89" s="3194"/>
      <c r="U89" s="3194"/>
      <c r="V89" s="3194"/>
      <c r="W89" s="3194"/>
      <c r="X89" s="3194"/>
      <c r="Y89" s="3194"/>
      <c r="Z89" s="3194"/>
      <c r="AA89" s="3194"/>
      <c r="AB89" s="3194"/>
      <c r="AC89" s="3194"/>
      <c r="AD89" s="3194"/>
      <c r="AE89" s="3194"/>
      <c r="AF89" s="3194"/>
      <c r="AG89" s="3194"/>
      <c r="AH89" s="3194"/>
    </row>
    <row r="90" spans="1:34">
      <c r="A90" s="3194"/>
      <c r="B90" s="3194"/>
      <c r="C90" s="3194"/>
      <c r="D90" s="3194"/>
      <c r="E90" s="3194"/>
      <c r="F90" s="3194"/>
      <c r="G90" s="3222"/>
      <c r="H90" s="3194"/>
      <c r="I90" s="3194"/>
      <c r="J90" s="3194"/>
      <c r="K90" s="3194"/>
      <c r="L90" s="3194"/>
      <c r="M90" s="3194"/>
      <c r="N90" s="3222"/>
      <c r="O90" s="3194"/>
      <c r="P90" s="3194"/>
      <c r="Q90" s="3194"/>
      <c r="R90" s="3194"/>
      <c r="S90" s="3222"/>
      <c r="T90" s="3194"/>
      <c r="U90" s="3194"/>
      <c r="V90" s="3194"/>
      <c r="W90" s="3194"/>
      <c r="X90" s="3194"/>
      <c r="Y90" s="3194"/>
      <c r="Z90" s="3194"/>
      <c r="AA90" s="3194"/>
      <c r="AB90" s="3194"/>
      <c r="AC90" s="3194"/>
      <c r="AD90" s="3194"/>
      <c r="AE90" s="3194"/>
      <c r="AF90" s="3194"/>
      <c r="AG90" s="3194"/>
      <c r="AH90" s="3194"/>
    </row>
    <row r="91" spans="1:34">
      <c r="A91" s="3194"/>
      <c r="B91" s="3194"/>
      <c r="C91" s="3194"/>
      <c r="D91" s="3194"/>
      <c r="E91" s="3194"/>
      <c r="F91" s="3194"/>
      <c r="G91" s="3222"/>
      <c r="H91" s="3194"/>
      <c r="I91" s="3194"/>
      <c r="J91" s="3194"/>
      <c r="K91" s="3194"/>
      <c r="L91" s="3194"/>
      <c r="M91" s="3194"/>
      <c r="N91" s="3222"/>
      <c r="O91" s="3194"/>
      <c r="P91" s="3194"/>
      <c r="Q91" s="3194"/>
      <c r="R91" s="3194"/>
      <c r="S91" s="3222"/>
      <c r="T91" s="3194"/>
      <c r="U91" s="3194"/>
      <c r="V91" s="3194"/>
      <c r="W91" s="3194"/>
      <c r="X91" s="3194"/>
      <c r="Y91" s="3194"/>
      <c r="Z91" s="3194"/>
      <c r="AA91" s="3194"/>
      <c r="AB91" s="3194"/>
      <c r="AC91" s="3194"/>
      <c r="AD91" s="3194"/>
      <c r="AE91" s="3194"/>
      <c r="AF91" s="3194"/>
      <c r="AG91" s="3194"/>
      <c r="AH91" s="3194"/>
    </row>
    <row r="92" spans="1:34">
      <c r="A92" s="3194"/>
      <c r="B92" s="3194"/>
      <c r="C92" s="3194"/>
      <c r="D92" s="3194"/>
      <c r="E92" s="3194"/>
      <c r="F92" s="3194"/>
      <c r="G92" s="3222"/>
      <c r="H92" s="3194"/>
      <c r="I92" s="3194"/>
      <c r="J92" s="3194"/>
      <c r="K92" s="3194"/>
      <c r="L92" s="3194"/>
      <c r="M92" s="3194"/>
      <c r="N92" s="3222"/>
      <c r="O92" s="3194"/>
      <c r="P92" s="3194"/>
      <c r="Q92" s="3194"/>
      <c r="R92" s="3194"/>
      <c r="S92" s="3222"/>
      <c r="T92" s="3194"/>
      <c r="U92" s="3194"/>
      <c r="V92" s="3194"/>
      <c r="W92" s="3194"/>
      <c r="X92" s="3194"/>
      <c r="Y92" s="3194"/>
      <c r="Z92" s="3194"/>
      <c r="AA92" s="3194"/>
      <c r="AB92" s="3194"/>
      <c r="AC92" s="3194"/>
      <c r="AD92" s="3194"/>
      <c r="AE92" s="3194"/>
      <c r="AF92" s="3194"/>
      <c r="AG92" s="3194"/>
      <c r="AH92" s="3194"/>
    </row>
    <row r="93" spans="1:34">
      <c r="A93" s="3194"/>
      <c r="B93" s="3194"/>
      <c r="C93" s="3194"/>
      <c r="D93" s="3194"/>
      <c r="E93" s="3194"/>
      <c r="F93" s="3194"/>
      <c r="G93" s="3222"/>
      <c r="H93" s="3194"/>
      <c r="I93" s="3194"/>
      <c r="J93" s="3194"/>
      <c r="K93" s="3194"/>
      <c r="L93" s="3194"/>
      <c r="M93" s="3194"/>
      <c r="N93" s="3222"/>
      <c r="O93" s="3194"/>
      <c r="P93" s="3194"/>
      <c r="Q93" s="3194"/>
      <c r="R93" s="3194"/>
      <c r="S93" s="3222"/>
      <c r="T93" s="3194"/>
      <c r="U93" s="3194"/>
      <c r="V93" s="3194"/>
      <c r="W93" s="3194"/>
      <c r="X93" s="3194"/>
      <c r="Y93" s="3194"/>
      <c r="Z93" s="3194"/>
      <c r="AA93" s="3194"/>
      <c r="AB93" s="3194"/>
      <c r="AC93" s="3194"/>
      <c r="AD93" s="3194"/>
      <c r="AE93" s="3194"/>
      <c r="AF93" s="3194"/>
      <c r="AG93" s="3194"/>
      <c r="AH93" s="3194"/>
    </row>
    <row r="94" spans="1:34" ht="13.5" thickBot="1">
      <c r="A94" s="3194"/>
      <c r="B94" s="3194"/>
      <c r="C94" s="3194"/>
      <c r="D94" s="3194"/>
      <c r="E94" s="3194"/>
      <c r="F94" s="3194"/>
      <c r="G94" s="3222"/>
      <c r="H94" s="3194"/>
      <c r="I94" s="3194"/>
      <c r="J94" s="3194"/>
      <c r="K94" s="3194"/>
      <c r="L94" s="3194"/>
      <c r="M94" s="3194"/>
      <c r="N94" s="3222"/>
      <c r="O94" s="3194"/>
      <c r="P94" s="3194"/>
      <c r="Q94" s="3194"/>
      <c r="R94" s="3194"/>
      <c r="S94" s="3222"/>
      <c r="T94" s="3194"/>
      <c r="U94" s="3194"/>
      <c r="V94" s="3194"/>
      <c r="W94" s="3194"/>
      <c r="X94" s="3194"/>
      <c r="Y94" s="3194"/>
      <c r="Z94" s="3194"/>
      <c r="AA94" s="3194"/>
      <c r="AB94" s="3194"/>
      <c r="AC94" s="3194"/>
      <c r="AD94" s="3194"/>
      <c r="AE94" s="3194"/>
      <c r="AF94" s="3194"/>
      <c r="AG94" s="3194"/>
      <c r="AH94" s="3194"/>
    </row>
    <row r="95" spans="1:34">
      <c r="A95" s="3194"/>
      <c r="B95" s="3194"/>
      <c r="C95" s="3194"/>
      <c r="D95" s="3194"/>
      <c r="E95" s="3194"/>
      <c r="F95" s="3194"/>
      <c r="G95" s="3194"/>
      <c r="H95" s="3194"/>
      <c r="I95" s="3194"/>
      <c r="J95" s="3194"/>
      <c r="K95" s="3194"/>
      <c r="L95" s="3194"/>
      <c r="M95" s="3194"/>
      <c r="N95" s="3222"/>
      <c r="O95" s="3194"/>
      <c r="P95" s="3194"/>
      <c r="Q95" s="3194"/>
      <c r="R95" s="3194"/>
      <c r="S95" s="3286" t="s">
        <v>2591</v>
      </c>
      <c r="T95" s="3287" t="s">
        <v>2592</v>
      </c>
      <c r="U95" s="3287" t="s">
        <v>2593</v>
      </c>
      <c r="V95" s="3287" t="s">
        <v>2594</v>
      </c>
      <c r="W95" s="3194"/>
      <c r="X95" s="3194"/>
      <c r="Y95" s="3194"/>
      <c r="Z95" s="3194"/>
      <c r="AA95" s="3194"/>
      <c r="AB95" s="3194"/>
      <c r="AC95" s="3194"/>
      <c r="AD95" s="3194"/>
      <c r="AE95" s="3194"/>
      <c r="AF95" s="3194"/>
      <c r="AG95" s="3194"/>
      <c r="AH95" s="3194"/>
    </row>
    <row r="96" spans="1:34">
      <c r="A96" s="3194"/>
      <c r="B96" s="3194"/>
      <c r="C96" s="3194"/>
      <c r="D96" s="3194"/>
      <c r="E96" s="3194"/>
      <c r="F96" s="3194"/>
      <c r="G96" s="3194"/>
      <c r="H96" s="3194"/>
      <c r="I96" s="3194"/>
      <c r="J96" s="3194"/>
      <c r="K96" s="3194"/>
      <c r="L96" s="3194"/>
      <c r="M96" s="3194"/>
      <c r="N96" s="3213"/>
      <c r="O96" s="3214"/>
      <c r="P96" s="3214"/>
      <c r="Q96" s="3214"/>
      <c r="R96" s="3194"/>
      <c r="S96" s="3288">
        <v>2006</v>
      </c>
      <c r="T96" s="3289">
        <v>15.1</v>
      </c>
      <c r="U96" s="3289">
        <v>7.43</v>
      </c>
      <c r="V96" s="3289">
        <v>26.26</v>
      </c>
      <c r="W96" s="3194"/>
      <c r="X96" s="3194"/>
      <c r="Y96" s="3194"/>
      <c r="Z96" s="3194"/>
      <c r="AA96" s="3194"/>
      <c r="AB96" s="3194"/>
      <c r="AC96" s="3194"/>
      <c r="AD96" s="3194"/>
      <c r="AE96" s="3194"/>
      <c r="AF96" s="3194"/>
      <c r="AG96" s="3194"/>
      <c r="AH96" s="3194"/>
    </row>
    <row r="97" spans="1:34">
      <c r="A97" s="3194"/>
      <c r="B97" s="3194"/>
      <c r="C97" s="3194"/>
      <c r="D97" s="3194"/>
      <c r="E97" s="3194"/>
      <c r="F97" s="3194"/>
      <c r="G97" s="3194"/>
      <c r="H97" s="3194"/>
      <c r="I97" s="3194"/>
      <c r="J97" s="3194"/>
      <c r="K97" s="3194"/>
      <c r="L97" s="3194"/>
      <c r="M97" s="3194"/>
      <c r="N97" s="3213"/>
      <c r="O97" s="3214"/>
      <c r="P97" s="3214"/>
      <c r="Q97" s="3214"/>
      <c r="R97" s="3194"/>
      <c r="S97" s="3290">
        <v>2005</v>
      </c>
      <c r="T97" s="3291">
        <v>13.9</v>
      </c>
      <c r="U97" s="3291">
        <v>7.49</v>
      </c>
      <c r="V97" s="3291">
        <v>24.92</v>
      </c>
      <c r="W97" s="3194"/>
      <c r="X97" s="3194"/>
      <c r="Y97" s="3194"/>
      <c r="Z97" s="3194"/>
      <c r="AA97" s="3194"/>
      <c r="AB97" s="3194"/>
      <c r="AC97" s="3194"/>
      <c r="AD97" s="3194"/>
      <c r="AE97" s="3194"/>
      <c r="AF97" s="3194"/>
      <c r="AG97" s="3194"/>
      <c r="AH97" s="3194"/>
    </row>
    <row r="98" spans="1:34">
      <c r="A98" s="3194"/>
      <c r="B98" s="3194"/>
      <c r="C98" s="3194"/>
      <c r="D98" s="3194"/>
      <c r="E98" s="3194"/>
      <c r="F98" s="3194"/>
      <c r="G98" s="3194"/>
      <c r="H98" s="3194"/>
      <c r="I98" s="3194"/>
      <c r="J98" s="3194"/>
      <c r="K98" s="3194"/>
      <c r="L98" s="3194"/>
      <c r="M98" s="3194"/>
      <c r="N98" s="3213"/>
      <c r="O98" s="3214"/>
      <c r="P98" s="3214"/>
      <c r="Q98" s="3214"/>
      <c r="R98" s="3194"/>
      <c r="S98" s="3288">
        <v>2004</v>
      </c>
      <c r="T98" s="3289">
        <v>9.48</v>
      </c>
      <c r="U98" s="3289">
        <v>7.2</v>
      </c>
      <c r="V98" s="3289">
        <v>14.68</v>
      </c>
      <c r="W98" s="3194"/>
      <c r="X98" s="3194"/>
      <c r="Y98" s="3194"/>
      <c r="Z98" s="3194"/>
      <c r="AA98" s="3194"/>
      <c r="AB98" s="3194"/>
      <c r="AC98" s="3194"/>
      <c r="AD98" s="3194"/>
      <c r="AE98" s="3194"/>
      <c r="AF98" s="3194"/>
      <c r="AG98" s="3194"/>
      <c r="AH98" s="3194"/>
    </row>
    <row r="99" spans="1:34">
      <c r="A99" s="3194"/>
      <c r="B99" s="3194"/>
      <c r="C99" s="3194"/>
      <c r="D99" s="3194"/>
      <c r="E99" s="3194"/>
      <c r="F99" s="3194"/>
      <c r="G99" s="3194"/>
      <c r="H99" s="3194"/>
      <c r="I99" s="3194"/>
      <c r="J99" s="3194"/>
      <c r="K99" s="3194"/>
      <c r="L99" s="3194"/>
      <c r="M99" s="3194"/>
      <c r="N99" s="3213"/>
      <c r="O99" s="3214"/>
      <c r="P99" s="3214"/>
      <c r="Q99" s="3214"/>
      <c r="R99" s="3194"/>
      <c r="S99" s="3290">
        <v>2003</v>
      </c>
      <c r="T99" s="3291">
        <v>4.5</v>
      </c>
      <c r="U99" s="3291">
        <v>6.12</v>
      </c>
      <c r="V99" s="3291">
        <v>2.34</v>
      </c>
      <c r="W99" s="3194"/>
      <c r="X99" s="3194"/>
      <c r="Y99" s="3194"/>
      <c r="Z99" s="3194"/>
      <c r="AA99" s="3194"/>
      <c r="AB99" s="3194"/>
      <c r="AC99" s="3194"/>
      <c r="AD99" s="3194"/>
      <c r="AE99" s="3194"/>
      <c r="AF99" s="3194"/>
      <c r="AG99" s="3194"/>
      <c r="AH99" s="3194"/>
    </row>
    <row r="100" spans="1:34" ht="13.5" thickBot="1">
      <c r="A100" s="3194"/>
      <c r="B100" s="3194"/>
      <c r="C100" s="3194"/>
      <c r="D100" s="3194"/>
      <c r="E100" s="3194"/>
      <c r="F100" s="3194"/>
      <c r="G100" s="3194"/>
      <c r="H100" s="3194"/>
      <c r="I100" s="3194"/>
      <c r="J100" s="3194"/>
      <c r="K100" s="3194"/>
      <c r="L100" s="3194"/>
      <c r="M100" s="3194"/>
      <c r="N100" s="3213"/>
      <c r="O100" s="3214"/>
      <c r="P100" s="3214"/>
      <c r="Q100" s="3214"/>
      <c r="R100" s="3194"/>
      <c r="S100" s="3292">
        <v>2002</v>
      </c>
      <c r="T100" s="3293">
        <v>3.59</v>
      </c>
      <c r="U100" s="3293">
        <v>4.54</v>
      </c>
      <c r="V100" s="3293">
        <v>2.5499999999999998</v>
      </c>
      <c r="W100" s="3194"/>
      <c r="X100" s="3194"/>
      <c r="Y100" s="3194"/>
      <c r="Z100" s="3194"/>
      <c r="AA100" s="3194"/>
      <c r="AB100" s="3194"/>
      <c r="AC100" s="3194"/>
      <c r="AD100" s="3194"/>
      <c r="AE100" s="3194"/>
      <c r="AF100" s="3194"/>
      <c r="AG100" s="3194"/>
      <c r="AH100" s="3194"/>
    </row>
    <row r="101" spans="1:34">
      <c r="A101" s="3194"/>
      <c r="B101" s="3194"/>
      <c r="C101" s="3194"/>
      <c r="D101" s="3194"/>
      <c r="E101" s="3194"/>
      <c r="F101" s="3194"/>
      <c r="G101" s="3194"/>
      <c r="H101" s="3194"/>
      <c r="I101" s="3194"/>
      <c r="J101" s="3194"/>
      <c r="K101" s="3194"/>
      <c r="L101" s="3194"/>
      <c r="M101" s="3194"/>
      <c r="N101" s="3213"/>
      <c r="O101" s="3214"/>
      <c r="P101" s="3214"/>
      <c r="Q101" s="3214"/>
      <c r="R101" s="3194"/>
      <c r="S101" s="3222"/>
      <c r="T101" s="3194"/>
      <c r="U101" s="3194"/>
      <c r="V101" s="3194"/>
      <c r="W101" s="3194"/>
      <c r="X101" s="3194"/>
      <c r="Y101" s="3194"/>
      <c r="Z101" s="3194"/>
      <c r="AA101" s="3194"/>
      <c r="AB101" s="3194"/>
      <c r="AC101" s="3194"/>
      <c r="AD101" s="3194"/>
      <c r="AE101" s="3194"/>
      <c r="AF101" s="3194"/>
      <c r="AG101" s="3194"/>
      <c r="AH101" s="3194"/>
    </row>
    <row r="102" spans="1:34">
      <c r="A102" s="3194"/>
      <c r="B102" s="3194"/>
      <c r="C102" s="3194"/>
      <c r="D102" s="3194"/>
      <c r="E102" s="3194"/>
      <c r="F102" s="3194"/>
      <c r="G102" s="3194"/>
      <c r="H102" s="3194"/>
      <c r="I102" s="3194"/>
      <c r="J102" s="3194"/>
      <c r="K102" s="3194"/>
      <c r="L102" s="3194"/>
      <c r="M102" s="3194"/>
      <c r="N102" s="3213"/>
      <c r="O102" s="3214"/>
      <c r="P102" s="3214"/>
      <c r="Q102" s="3214"/>
      <c r="R102" s="3194"/>
      <c r="S102" s="3222"/>
      <c r="T102" s="3194"/>
      <c r="U102" s="3194"/>
      <c r="V102" s="3194"/>
      <c r="W102" s="3194"/>
      <c r="X102" s="3194"/>
      <c r="Y102" s="3194"/>
      <c r="Z102" s="3194"/>
      <c r="AA102" s="3194"/>
      <c r="AB102" s="3194"/>
      <c r="AC102" s="3194"/>
      <c r="AD102" s="3194"/>
      <c r="AE102" s="3194"/>
      <c r="AF102" s="3194"/>
      <c r="AG102" s="3194"/>
      <c r="AH102" s="3194"/>
    </row>
    <row r="103" spans="1:34">
      <c r="A103" s="3194"/>
      <c r="B103" s="3194"/>
      <c r="C103" s="3194"/>
      <c r="D103" s="3194"/>
      <c r="E103" s="3194"/>
      <c r="F103" s="3194"/>
      <c r="G103" s="3194"/>
      <c r="H103" s="3194"/>
      <c r="I103" s="3194"/>
      <c r="J103" s="3194"/>
      <c r="K103" s="3194"/>
      <c r="L103" s="3194"/>
      <c r="M103" s="3194"/>
      <c r="N103" s="3213"/>
      <c r="O103" s="3214"/>
      <c r="P103" s="3214"/>
      <c r="Q103" s="3214"/>
      <c r="R103" s="3194"/>
      <c r="S103" s="3222"/>
      <c r="T103" s="3194"/>
      <c r="U103" s="3194"/>
      <c r="V103" s="3194"/>
      <c r="W103" s="3194"/>
      <c r="X103" s="3194"/>
      <c r="Y103" s="3194"/>
      <c r="Z103" s="3194"/>
      <c r="AA103" s="3194"/>
      <c r="AB103" s="3194"/>
      <c r="AC103" s="3194"/>
      <c r="AD103" s="3194"/>
      <c r="AE103" s="3194"/>
      <c r="AF103" s="3194"/>
      <c r="AG103" s="3194"/>
      <c r="AH103" s="3194"/>
    </row>
    <row r="104" spans="1:34">
      <c r="A104" s="3194"/>
      <c r="B104" s="3194"/>
      <c r="C104" s="3194"/>
      <c r="D104" s="3194"/>
      <c r="E104" s="3194"/>
      <c r="F104" s="3194"/>
      <c r="G104" s="3194"/>
      <c r="H104" s="3194"/>
      <c r="I104" s="3194"/>
      <c r="J104" s="3194"/>
      <c r="K104" s="3194"/>
      <c r="L104" s="3194"/>
      <c r="M104" s="3194"/>
      <c r="N104" s="3213"/>
      <c r="O104" s="3214"/>
      <c r="P104" s="3214"/>
      <c r="Q104" s="3214"/>
      <c r="R104" s="3194"/>
      <c r="S104" s="3222"/>
      <c r="T104" s="3194"/>
      <c r="U104" s="3194"/>
      <c r="V104" s="3194"/>
      <c r="W104" s="3194"/>
      <c r="X104" s="3194"/>
      <c r="Y104" s="3194"/>
      <c r="Z104" s="3194"/>
      <c r="AA104" s="3194"/>
      <c r="AB104" s="3194"/>
      <c r="AC104" s="3194"/>
      <c r="AD104" s="3194"/>
      <c r="AE104" s="3194"/>
      <c r="AF104" s="3194"/>
      <c r="AG104" s="3194"/>
      <c r="AH104" s="3194"/>
    </row>
    <row r="105" spans="1:34">
      <c r="A105" s="3194"/>
      <c r="B105" s="3194"/>
      <c r="C105" s="3194"/>
      <c r="D105" s="3194"/>
      <c r="E105" s="3194"/>
      <c r="F105" s="3194"/>
      <c r="G105" s="3194"/>
      <c r="H105" s="3194"/>
      <c r="I105" s="3194"/>
      <c r="J105" s="3194"/>
      <c r="K105" s="3194"/>
      <c r="L105" s="3194"/>
      <c r="M105" s="3194"/>
      <c r="N105" s="3213"/>
      <c r="O105" s="3214"/>
      <c r="P105" s="3214"/>
      <c r="Q105" s="3214"/>
      <c r="R105" s="3194"/>
      <c r="S105" s="3222"/>
      <c r="T105" s="3194"/>
      <c r="U105" s="3194"/>
      <c r="V105" s="3194"/>
      <c r="W105" s="3194"/>
      <c r="X105" s="3194"/>
      <c r="Y105" s="3194"/>
      <c r="Z105" s="3194"/>
      <c r="AA105" s="3194"/>
      <c r="AB105" s="3194"/>
      <c r="AC105" s="3194"/>
      <c r="AD105" s="3194"/>
      <c r="AE105" s="3194"/>
      <c r="AF105" s="3194"/>
      <c r="AG105" s="3194"/>
      <c r="AH105" s="3194"/>
    </row>
    <row r="106" spans="1:34">
      <c r="A106" s="3194"/>
      <c r="B106" s="3194"/>
      <c r="C106" s="3194"/>
      <c r="D106" s="3194"/>
      <c r="E106" s="3194"/>
      <c r="F106" s="3194"/>
      <c r="G106" s="3194"/>
      <c r="H106" s="3194"/>
      <c r="I106" s="3194"/>
      <c r="J106" s="3194"/>
      <c r="K106" s="3194"/>
      <c r="L106" s="3194"/>
      <c r="M106" s="3194"/>
      <c r="N106" s="3213"/>
      <c r="O106" s="3214"/>
      <c r="P106" s="3214"/>
      <c r="Q106" s="3214"/>
      <c r="R106" s="3194"/>
      <c r="S106" s="3222"/>
      <c r="T106" s="3194"/>
      <c r="U106" s="3194"/>
      <c r="V106" s="3194"/>
      <c r="W106" s="3194"/>
      <c r="X106" s="3194"/>
      <c r="Y106" s="3194"/>
      <c r="Z106" s="3194"/>
      <c r="AA106" s="3194"/>
      <c r="AB106" s="3194"/>
      <c r="AC106" s="3194"/>
      <c r="AD106" s="3194"/>
      <c r="AE106" s="3194"/>
      <c r="AF106" s="3194"/>
      <c r="AG106" s="3194"/>
      <c r="AH106" s="3194"/>
    </row>
  </sheetData>
  <sheetProtection formatCells="0" formatColumns="0" formatRows="0"/>
  <mergeCells count="23">
    <mergeCell ref="B1:F1"/>
    <mergeCell ref="AD1:AH1"/>
    <mergeCell ref="G1:L1"/>
    <mergeCell ref="N1:Q1"/>
    <mergeCell ref="S1:V1"/>
    <mergeCell ref="G34:G37"/>
    <mergeCell ref="G38:G41"/>
    <mergeCell ref="G42:G45"/>
    <mergeCell ref="G46:G49"/>
    <mergeCell ref="X1:AB1"/>
    <mergeCell ref="G14:G17"/>
    <mergeCell ref="G18:G21"/>
    <mergeCell ref="G22:G25"/>
    <mergeCell ref="G26:G29"/>
    <mergeCell ref="G30:G33"/>
    <mergeCell ref="G70:G73"/>
    <mergeCell ref="G74:G77"/>
    <mergeCell ref="G78:G81"/>
    <mergeCell ref="G50:G53"/>
    <mergeCell ref="G54:G57"/>
    <mergeCell ref="G58:G61"/>
    <mergeCell ref="G62:G65"/>
    <mergeCell ref="G66:G69"/>
  </mergeCells>
  <phoneticPr fontId="228" type="noConversion"/>
  <pageMargins left="0.7" right="0.7" top="0.75" bottom="0.75" header="0.3" footer="0.3"/>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56.25">
      <c r="A7" s="1709" t="s">
        <v>2703</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2021年3月11日（评估专业人员勘察现场之日）</v>
      </c>
    </row>
    <row r="12" spans="1:4" ht="18.75">
      <c r="A12" s="1711" t="s">
        <v>2011</v>
      </c>
    </row>
    <row r="13" spans="1:4" ht="18.75">
      <c r="A13" s="1705" t="s">
        <v>2880</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18.75">
      <c r="A21" s="1705" t="s">
        <v>2060</v>
      </c>
    </row>
    <row r="22" spans="1:1" ht="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IF(项目基本情况!B9="市场价格","——",IF(项目基本情况!E9="——","",定义!C57))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28" customWidth="1"/>
    <col min="2" max="2" width="12.5" style="3128" customWidth="1"/>
    <col min="3" max="3" width="12.125" style="3128" customWidth="1"/>
    <col min="4" max="4" width="16.625" style="3128" customWidth="1"/>
    <col min="5" max="5" width="12.5" style="3128" customWidth="1"/>
    <col min="6" max="6" width="12.75" style="3128" customWidth="1"/>
    <col min="7" max="16384" width="8.875" style="3128"/>
  </cols>
  <sheetData>
    <row r="1" spans="1:14" ht="20.25">
      <c r="A1" s="3131" t="s">
        <v>2887</v>
      </c>
      <c r="B1" s="3126"/>
      <c r="C1" s="3126"/>
      <c r="D1" s="3126"/>
      <c r="E1" s="3126"/>
      <c r="F1" s="3126"/>
      <c r="G1" s="3127"/>
      <c r="H1" s="3127"/>
      <c r="I1" s="3127"/>
      <c r="J1" s="3127"/>
      <c r="K1" s="3127"/>
      <c r="L1" s="3127"/>
      <c r="M1" s="3127"/>
      <c r="N1" s="3127"/>
    </row>
    <row r="2" spans="1:14" ht="14.25">
      <c r="A2" s="3132" t="s">
        <v>2882</v>
      </c>
      <c r="B2" s="3137">
        <f ca="1">SUMIF(B7:B14,"&lt;&gt;#ref!",B7:B14)</f>
        <v>0</v>
      </c>
      <c r="C2" s="3132" t="s">
        <v>2883</v>
      </c>
      <c r="D2" s="3129"/>
      <c r="E2" s="3129"/>
      <c r="F2" s="3129"/>
      <c r="G2" s="3127"/>
      <c r="H2" s="3127"/>
      <c r="I2" s="3127"/>
      <c r="J2" s="3127"/>
      <c r="K2" s="3127"/>
      <c r="L2" s="3127"/>
      <c r="M2" s="3127"/>
      <c r="N2" s="3127"/>
    </row>
    <row r="3" spans="1:14" ht="14.25">
      <c r="A3" s="3132" t="s">
        <v>2908</v>
      </c>
      <c r="B3" s="3137" t="e">
        <f ca="1">ROUND(B2*10000/E3,0)</f>
        <v>#DIV/0!</v>
      </c>
      <c r="C3" s="3132" t="s">
        <v>2064</v>
      </c>
      <c r="D3" s="3132" t="s">
        <v>2884</v>
      </c>
      <c r="E3" s="3130">
        <f ca="1">SUMIF(E7:E14,"&lt;&gt;#ref!",E7:E14)</f>
        <v>0</v>
      </c>
      <c r="F3" s="3129"/>
      <c r="G3" s="3127"/>
      <c r="H3" s="3127"/>
      <c r="I3" s="3127"/>
      <c r="J3" s="3127"/>
      <c r="K3" s="3127"/>
      <c r="L3" s="3127"/>
      <c r="M3" s="3127"/>
      <c r="N3" s="3127"/>
    </row>
    <row r="4" spans="1:14" ht="14.25">
      <c r="A4" s="3132" t="s">
        <v>2890</v>
      </c>
      <c r="B4" s="3137" t="e">
        <f ca="1">ROUND(B2*10000/E4,0)</f>
        <v>#DIV/0!</v>
      </c>
      <c r="C4" s="3132" t="s">
        <v>2064</v>
      </c>
      <c r="D4" s="3132" t="s">
        <v>2891</v>
      </c>
      <c r="E4" s="3130">
        <f ca="1">SUMIF(F7:F14,"&lt;&gt;#ref!",F7:F14)</f>
        <v>0</v>
      </c>
      <c r="F4" s="3129"/>
      <c r="G4" s="3127"/>
      <c r="H4" s="3127"/>
      <c r="I4" s="3127"/>
      <c r="J4" s="3127"/>
      <c r="K4" s="3127"/>
      <c r="L4" s="3127"/>
      <c r="M4" s="3127"/>
      <c r="N4" s="3127"/>
    </row>
    <row r="5" spans="1:14" ht="14.25">
      <c r="A5" s="3133"/>
      <c r="B5" s="3129"/>
      <c r="C5" s="3129"/>
      <c r="D5" s="3129"/>
      <c r="E5" s="3129"/>
      <c r="F5" s="3129"/>
      <c r="G5" s="3127"/>
      <c r="H5" s="3127"/>
      <c r="I5" s="3127"/>
      <c r="J5" s="3127"/>
      <c r="K5" s="3127"/>
      <c r="L5" s="3127"/>
      <c r="M5" s="3127"/>
      <c r="N5" s="3127"/>
    </row>
    <row r="6" spans="1:14" ht="28.5">
      <c r="A6" s="3134" t="s">
        <v>2888</v>
      </c>
      <c r="B6" s="3132" t="s">
        <v>2885</v>
      </c>
      <c r="C6" s="2787"/>
      <c r="D6" s="3129"/>
      <c r="E6" s="3132" t="s">
        <v>2886</v>
      </c>
      <c r="F6" s="3132" t="s">
        <v>2889</v>
      </c>
      <c r="G6" s="3127"/>
      <c r="H6" s="3127"/>
      <c r="I6" s="3127"/>
      <c r="J6" s="3127"/>
      <c r="K6" s="3127"/>
      <c r="L6" s="3127"/>
      <c r="M6" s="3127"/>
      <c r="N6" s="3127"/>
    </row>
    <row r="7" spans="1:14" ht="14.25">
      <c r="A7" s="3135"/>
      <c r="B7" s="3137" t="e">
        <f ca="1">SUMIF(INDIRECT("'"&amp;A7&amp;"'"&amp;"!A:A"),"总价",INDIRECT("'"&amp;A7&amp;"'"&amp;"!B:B"))</f>
        <v>#REF!</v>
      </c>
      <c r="C7" s="3132" t="s">
        <v>2883</v>
      </c>
      <c r="D7" s="3129"/>
      <c r="E7" s="3130" t="e">
        <f ca="1">SUMIF(INDIRECT("'"&amp;A7&amp;"'"&amp;"!C:C"),"建筑面积",INDIRECT("'"&amp;A7&amp;"'"&amp;"!D:D"))</f>
        <v>#REF!</v>
      </c>
      <c r="F7" s="3130" t="e">
        <f ca="1">SUMIF(INDIRECT("'"&amp;A7&amp;"'"&amp;"!E:E"),"土地面积",INDIRECT("'"&amp;A7&amp;"'"&amp;"!F:F"))</f>
        <v>#REF!</v>
      </c>
      <c r="G7" s="3127"/>
      <c r="H7" s="3127"/>
      <c r="I7" s="3127"/>
      <c r="J7" s="3127"/>
      <c r="K7" s="3127"/>
      <c r="L7" s="3127"/>
      <c r="M7" s="3127"/>
      <c r="N7" s="3127"/>
    </row>
    <row r="8" spans="1:14" ht="14.25">
      <c r="A8" s="3135"/>
      <c r="B8" s="3137" t="e">
        <f t="shared" ref="B8:B14" ca="1" si="0">SUMIF(INDIRECT("'"&amp;A8&amp;"'"&amp;"!A:A"),"总价",INDIRECT("'"&amp;A8&amp;"'"&amp;"!B:B"))</f>
        <v>#REF!</v>
      </c>
      <c r="C8" s="3132" t="s">
        <v>2883</v>
      </c>
      <c r="D8" s="3129"/>
      <c r="E8" s="3130" t="e">
        <f t="shared" ref="E8:E14" ca="1" si="1">SUMIF(INDIRECT("'"&amp;A8&amp;"'"&amp;"!C:C"),"建筑面积",INDIRECT("'"&amp;A8&amp;"'"&amp;"!D:D"))</f>
        <v>#REF!</v>
      </c>
      <c r="F8" s="3130" t="e">
        <f t="shared" ref="F8:F14" ca="1" si="2">SUMIF(INDIRECT("'"&amp;A8&amp;"'"&amp;"!E:E"),"土地面积",INDIRECT("'"&amp;A8&amp;"'"&amp;"!F:F"))</f>
        <v>#REF!</v>
      </c>
      <c r="G8" s="3127"/>
      <c r="H8" s="3127"/>
      <c r="I8" s="3127"/>
      <c r="J8" s="3127"/>
      <c r="K8" s="3127"/>
      <c r="L8" s="3127"/>
      <c r="M8" s="3127"/>
      <c r="N8" s="3127"/>
    </row>
    <row r="9" spans="1:14" ht="14.25">
      <c r="A9" s="3135"/>
      <c r="B9" s="3137" t="e">
        <f t="shared" ca="1" si="0"/>
        <v>#REF!</v>
      </c>
      <c r="C9" s="3132" t="s">
        <v>2883</v>
      </c>
      <c r="D9" s="3129"/>
      <c r="E9" s="3130" t="e">
        <f t="shared" ca="1" si="1"/>
        <v>#REF!</v>
      </c>
      <c r="F9" s="3130" t="e">
        <f t="shared" ca="1" si="2"/>
        <v>#REF!</v>
      </c>
      <c r="G9" s="3127"/>
      <c r="H9" s="3127"/>
      <c r="I9" s="3127"/>
      <c r="J9" s="3127"/>
      <c r="K9" s="3127"/>
      <c r="L9" s="3127"/>
      <c r="M9" s="3127"/>
      <c r="N9" s="3127"/>
    </row>
    <row r="10" spans="1:14" ht="14.25">
      <c r="A10" s="3135"/>
      <c r="B10" s="3137" t="e">
        <f t="shared" ca="1" si="0"/>
        <v>#REF!</v>
      </c>
      <c r="C10" s="3132" t="s">
        <v>2883</v>
      </c>
      <c r="D10" s="3129"/>
      <c r="E10" s="3130" t="e">
        <f t="shared" ca="1" si="1"/>
        <v>#REF!</v>
      </c>
      <c r="F10" s="3130" t="e">
        <f t="shared" ca="1" si="2"/>
        <v>#REF!</v>
      </c>
      <c r="G10" s="3127"/>
      <c r="H10" s="3127"/>
      <c r="I10" s="3127"/>
      <c r="J10" s="3127"/>
      <c r="K10" s="3127"/>
      <c r="L10" s="3127"/>
      <c r="M10" s="3127"/>
      <c r="N10" s="3127"/>
    </row>
    <row r="11" spans="1:14" ht="14.25">
      <c r="A11" s="3135"/>
      <c r="B11" s="3137" t="e">
        <f t="shared" ca="1" si="0"/>
        <v>#REF!</v>
      </c>
      <c r="C11" s="3132" t="s">
        <v>2883</v>
      </c>
      <c r="D11" s="3129"/>
      <c r="E11" s="3130" t="e">
        <f t="shared" ca="1" si="1"/>
        <v>#REF!</v>
      </c>
      <c r="F11" s="3130" t="e">
        <f t="shared" ca="1" si="2"/>
        <v>#REF!</v>
      </c>
      <c r="G11" s="3127"/>
      <c r="H11" s="3127"/>
      <c r="I11" s="3127"/>
      <c r="J11" s="3127"/>
      <c r="K11" s="3127"/>
      <c r="L11" s="3127"/>
      <c r="M11" s="3127"/>
      <c r="N11" s="3127"/>
    </row>
    <row r="12" spans="1:14" ht="14.25">
      <c r="A12" s="3135"/>
      <c r="B12" s="3137" t="e">
        <f t="shared" ca="1" si="0"/>
        <v>#REF!</v>
      </c>
      <c r="C12" s="3132" t="s">
        <v>2883</v>
      </c>
      <c r="D12" s="3129"/>
      <c r="E12" s="3130" t="e">
        <f t="shared" ca="1" si="1"/>
        <v>#REF!</v>
      </c>
      <c r="F12" s="3130" t="e">
        <f t="shared" ca="1" si="2"/>
        <v>#REF!</v>
      </c>
      <c r="G12" s="3127"/>
      <c r="H12" s="3127"/>
      <c r="I12" s="3127"/>
      <c r="J12" s="3127"/>
      <c r="K12" s="3127"/>
      <c r="L12" s="3127"/>
      <c r="M12" s="3127"/>
      <c r="N12" s="3127"/>
    </row>
    <row r="13" spans="1:14" ht="14.25">
      <c r="A13" s="3135"/>
      <c r="B13" s="3137" t="e">
        <f t="shared" ca="1" si="0"/>
        <v>#REF!</v>
      </c>
      <c r="C13" s="3132" t="s">
        <v>2883</v>
      </c>
      <c r="D13" s="3129"/>
      <c r="E13" s="3130" t="e">
        <f t="shared" ca="1" si="1"/>
        <v>#REF!</v>
      </c>
      <c r="F13" s="3130" t="e">
        <f t="shared" ca="1" si="2"/>
        <v>#REF!</v>
      </c>
      <c r="G13" s="3127"/>
      <c r="H13" s="3127"/>
      <c r="I13" s="3127"/>
      <c r="J13" s="3127"/>
      <c r="K13" s="3127"/>
      <c r="L13" s="3127"/>
      <c r="M13" s="3127"/>
      <c r="N13" s="3127"/>
    </row>
    <row r="14" spans="1:14" ht="14.25">
      <c r="A14" s="3136"/>
      <c r="B14" s="3137" t="e">
        <f t="shared" ca="1" si="0"/>
        <v>#REF!</v>
      </c>
      <c r="C14" s="3132" t="s">
        <v>2883</v>
      </c>
      <c r="D14" s="3129"/>
      <c r="E14" s="3130" t="e">
        <f t="shared" ca="1" si="1"/>
        <v>#REF!</v>
      </c>
      <c r="F14" s="3130" t="e">
        <f t="shared" ca="1" si="2"/>
        <v>#REF!</v>
      </c>
      <c r="G14" s="3127"/>
      <c r="H14" s="3127"/>
      <c r="I14" s="3127"/>
      <c r="J14" s="3127"/>
      <c r="K14" s="3127"/>
      <c r="L14" s="3127"/>
      <c r="M14" s="3127"/>
      <c r="N14" s="3127"/>
    </row>
    <row r="15" spans="1:14">
      <c r="A15" s="3127"/>
      <c r="B15" s="3127"/>
      <c r="C15" s="3127"/>
      <c r="D15" s="3127"/>
      <c r="E15" s="3127"/>
      <c r="F15" s="3127"/>
      <c r="G15" s="3127"/>
      <c r="H15" s="3127"/>
      <c r="I15" s="3127"/>
      <c r="J15" s="3127"/>
      <c r="K15" s="3127"/>
      <c r="L15" s="3127"/>
      <c r="M15" s="3127"/>
      <c r="N15" s="3127"/>
    </row>
    <row r="16" spans="1:14">
      <c r="A16" s="3127"/>
      <c r="B16" s="3127"/>
      <c r="C16" s="3127"/>
      <c r="D16" s="3127"/>
      <c r="E16" s="3127"/>
      <c r="F16" s="3127"/>
      <c r="G16" s="3127"/>
      <c r="H16" s="3127"/>
      <c r="I16" s="3127"/>
      <c r="J16" s="3127"/>
      <c r="K16" s="3127"/>
      <c r="L16" s="3127"/>
      <c r="M16" s="3127"/>
      <c r="N16" s="3127"/>
    </row>
    <row r="17" spans="1:14">
      <c r="A17" s="3127"/>
      <c r="B17" s="3127"/>
      <c r="C17" s="3127"/>
      <c r="D17" s="3127"/>
      <c r="E17" s="3127"/>
      <c r="F17" s="3127"/>
      <c r="G17" s="3127"/>
      <c r="H17" s="3127"/>
      <c r="I17" s="3127"/>
      <c r="J17" s="3127"/>
      <c r="K17" s="3127"/>
      <c r="L17" s="3127"/>
      <c r="M17" s="3127"/>
      <c r="N17" s="3127"/>
    </row>
    <row r="18" spans="1:14">
      <c r="A18" s="3127"/>
      <c r="B18" s="3127"/>
      <c r="C18" s="3127"/>
      <c r="D18" s="3127"/>
      <c r="E18" s="3127"/>
      <c r="F18" s="3127"/>
      <c r="G18" s="3127"/>
      <c r="H18" s="3127"/>
      <c r="I18" s="3127"/>
      <c r="J18" s="3127"/>
      <c r="K18" s="3127"/>
      <c r="L18" s="3127"/>
      <c r="M18" s="3127"/>
      <c r="N18" s="3127"/>
    </row>
    <row r="19" spans="1:14">
      <c r="A19" s="3127"/>
      <c r="B19" s="3127"/>
      <c r="C19" s="3127"/>
      <c r="D19" s="3127"/>
      <c r="E19" s="3127"/>
      <c r="F19" s="3127"/>
      <c r="G19" s="3127"/>
      <c r="H19" s="3127"/>
      <c r="I19" s="3127"/>
      <c r="J19" s="3127"/>
      <c r="K19" s="3127"/>
      <c r="L19" s="3127"/>
      <c r="M19" s="3127"/>
      <c r="N19" s="3127"/>
    </row>
    <row r="20" spans="1:14">
      <c r="A20" s="3127"/>
      <c r="B20" s="3127"/>
      <c r="C20" s="3127"/>
      <c r="D20" s="3127"/>
      <c r="E20" s="3127"/>
      <c r="F20" s="3127"/>
      <c r="G20" s="3127"/>
      <c r="H20" s="3127"/>
      <c r="I20" s="3127"/>
      <c r="J20" s="3127"/>
      <c r="K20" s="3127"/>
      <c r="L20" s="3127"/>
      <c r="M20" s="3127"/>
      <c r="N20" s="3127"/>
    </row>
    <row r="21" spans="1:14">
      <c r="A21" s="3127"/>
      <c r="B21" s="3127"/>
      <c r="C21" s="3127"/>
      <c r="D21" s="3127"/>
      <c r="E21" s="3127"/>
      <c r="F21" s="3127"/>
      <c r="G21" s="3127"/>
      <c r="H21" s="3127"/>
      <c r="I21" s="3127"/>
      <c r="J21" s="3127"/>
      <c r="K21" s="3127"/>
      <c r="L21" s="3127"/>
      <c r="M21" s="3127"/>
      <c r="N21" s="3127"/>
    </row>
    <row r="22" spans="1:14">
      <c r="A22" s="3127"/>
      <c r="B22" s="3127"/>
      <c r="C22" s="3127"/>
      <c r="D22" s="3127"/>
      <c r="E22" s="3127"/>
      <c r="F22" s="3127"/>
      <c r="G22" s="3127"/>
      <c r="H22" s="3127"/>
      <c r="I22" s="3127"/>
      <c r="J22" s="3127"/>
      <c r="K22" s="3127"/>
      <c r="L22" s="3127"/>
      <c r="M22" s="3127"/>
      <c r="N22" s="3127"/>
    </row>
    <row r="23" spans="1:14">
      <c r="A23" s="3127"/>
      <c r="B23" s="3127"/>
      <c r="C23" s="3127"/>
      <c r="D23" s="3127"/>
      <c r="E23" s="3127"/>
      <c r="F23" s="3127"/>
      <c r="G23" s="3127"/>
      <c r="H23" s="3127"/>
      <c r="I23" s="3127"/>
      <c r="J23" s="3127"/>
      <c r="K23" s="3127"/>
      <c r="L23" s="3127"/>
      <c r="M23" s="3127"/>
      <c r="N23" s="3127"/>
    </row>
    <row r="24" spans="1:14">
      <c r="A24" s="3127"/>
      <c r="B24" s="3127"/>
      <c r="C24" s="3127"/>
      <c r="D24" s="3127"/>
      <c r="E24" s="3127"/>
      <c r="F24" s="3127"/>
      <c r="G24" s="3127"/>
      <c r="H24" s="3127"/>
      <c r="I24" s="3127"/>
      <c r="J24" s="3127"/>
      <c r="K24" s="3127"/>
      <c r="L24" s="3127"/>
      <c r="M24" s="3127"/>
      <c r="N24" s="3127"/>
    </row>
    <row r="25" spans="1:14">
      <c r="A25" s="3127"/>
      <c r="B25" s="3127"/>
      <c r="C25" s="3127"/>
      <c r="D25" s="3127"/>
      <c r="E25" s="3127"/>
      <c r="F25" s="3127"/>
      <c r="G25" s="3127"/>
      <c r="H25" s="3127"/>
      <c r="I25" s="3127"/>
      <c r="J25" s="3127"/>
      <c r="K25" s="3127"/>
      <c r="L25" s="3127"/>
      <c r="M25" s="3127"/>
      <c r="N25" s="3127"/>
    </row>
    <row r="26" spans="1:14">
      <c r="A26" s="3127"/>
      <c r="B26" s="3127"/>
      <c r="C26" s="3127"/>
      <c r="D26" s="3127"/>
      <c r="E26" s="3127"/>
      <c r="F26" s="3127"/>
      <c r="G26" s="3127"/>
      <c r="H26" s="3127"/>
      <c r="I26" s="3127"/>
      <c r="J26" s="3127"/>
      <c r="K26" s="3127"/>
      <c r="L26" s="3127"/>
      <c r="M26" s="3127"/>
      <c r="N26" s="3127"/>
    </row>
    <row r="27" spans="1:14">
      <c r="A27" s="3127"/>
      <c r="B27" s="3127"/>
      <c r="C27" s="3127"/>
      <c r="D27" s="3127"/>
      <c r="E27" s="3127"/>
      <c r="F27" s="3127"/>
      <c r="G27" s="3127"/>
      <c r="H27" s="3127"/>
      <c r="I27" s="3127"/>
      <c r="J27" s="3127"/>
      <c r="K27" s="3127"/>
      <c r="L27" s="3127"/>
      <c r="M27" s="3127"/>
      <c r="N27" s="3127"/>
    </row>
    <row r="28" spans="1:14">
      <c r="A28" s="3127"/>
      <c r="B28" s="3127"/>
      <c r="C28" s="3127"/>
      <c r="D28" s="3127"/>
      <c r="E28" s="3127"/>
      <c r="F28" s="3127"/>
      <c r="G28" s="3127"/>
      <c r="H28" s="3127"/>
      <c r="I28" s="3127"/>
      <c r="J28" s="3127"/>
      <c r="K28" s="3127"/>
      <c r="L28" s="3127"/>
      <c r="M28" s="3127"/>
      <c r="N28" s="3127"/>
    </row>
    <row r="29" spans="1:14">
      <c r="A29" s="3127"/>
      <c r="B29" s="3127"/>
      <c r="C29" s="3127"/>
      <c r="D29" s="3127"/>
      <c r="E29" s="3127"/>
      <c r="F29" s="3127"/>
      <c r="G29" s="3127"/>
      <c r="H29" s="3127"/>
      <c r="I29" s="3127"/>
      <c r="J29" s="3127"/>
      <c r="K29" s="3127"/>
      <c r="L29" s="3127"/>
      <c r="M29" s="3127"/>
      <c r="N29" s="312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2356</v>
      </c>
      <c r="F1" s="2241">
        <f ca="1">J54</f>
        <v>-1</v>
      </c>
      <c r="G1" s="763">
        <f>MATCH(C1,'数据-取费表'!A6:A16,0)+5</f>
        <v>8</v>
      </c>
      <c r="H1" s="1302"/>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3"/>
      <c r="D2" s="1936"/>
      <c r="E2" s="1937"/>
      <c r="F2" s="1937"/>
      <c r="G2" s="1523"/>
      <c r="H2" s="1315"/>
      <c r="I2" s="1938"/>
      <c r="J2" s="1938"/>
      <c r="K2" s="1939"/>
      <c r="L2" s="1938"/>
      <c r="M2" s="1938"/>
    </row>
    <row r="3" spans="1:25" ht="18" customHeight="1">
      <c r="A3" s="1572" t="s">
        <v>1677</v>
      </c>
      <c r="B3" s="1338">
        <f ca="1">ROUND(B2*10000/'数据-汇总表'!E3,0)</f>
        <v>0</v>
      </c>
      <c r="C3" s="1303"/>
      <c r="D3" s="1936"/>
      <c r="E3" s="1937"/>
      <c r="F3" s="1937"/>
      <c r="G3" s="1523"/>
      <c r="H3" s="765" t="s">
        <v>689</v>
      </c>
      <c r="I3" s="1938"/>
      <c r="J3" s="1938"/>
      <c r="K3" s="1939"/>
      <c r="L3" s="1938"/>
      <c r="M3" s="1938"/>
    </row>
    <row r="4" spans="1:25" ht="18" customHeight="1">
      <c r="A4" s="1573" t="s">
        <v>690</v>
      </c>
      <c r="B4" s="1304">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2437</v>
      </c>
      <c r="C7" s="53">
        <f ca="1">C8+C12+C14</f>
        <v>0</v>
      </c>
      <c r="D7" s="2347" t="s">
        <v>2440</v>
      </c>
      <c r="E7" s="2341"/>
      <c r="F7" s="2342"/>
      <c r="G7" s="1525"/>
      <c r="H7" s="770">
        <v>1</v>
      </c>
      <c r="I7" s="771" t="s">
        <v>2437</v>
      </c>
      <c r="J7" s="53">
        <f ca="1">J8+J12+J14</f>
        <v>0</v>
      </c>
      <c r="K7" s="2347" t="s">
        <v>2440</v>
      </c>
      <c r="L7" s="2341"/>
      <c r="M7" s="2342"/>
    </row>
    <row r="8" spans="1:25" ht="18" customHeight="1">
      <c r="A8" s="1744" t="s">
        <v>1815</v>
      </c>
      <c r="B8" s="3573" t="s">
        <v>2442</v>
      </c>
      <c r="C8" s="1739">
        <f ca="1">ROUND(F8*F10*F9*(1-F11)/10000,0)</f>
        <v>0</v>
      </c>
      <c r="D8" s="1736" t="s">
        <v>2513</v>
      </c>
      <c r="E8" s="61" t="s">
        <v>631</v>
      </c>
      <c r="F8" s="774">
        <f ca="1">INDIRECT("'数据-取费表'!u"&amp;$G$1)</f>
        <v>0</v>
      </c>
      <c r="G8" s="1525"/>
      <c r="H8" s="2355" t="s">
        <v>1815</v>
      </c>
      <c r="I8" s="3573" t="s">
        <v>2442</v>
      </c>
      <c r="J8" s="772">
        <f ca="1">ROUND(M8*M10*M9*(1-M11)/10000,0)</f>
        <v>0</v>
      </c>
      <c r="K8" s="338" t="s">
        <v>2513</v>
      </c>
      <c r="L8" s="773" t="s">
        <v>1729</v>
      </c>
      <c r="M8" s="774">
        <f ca="1">INDIRECT("'数据-取费表'!z"&amp;$G$1)</f>
        <v>0</v>
      </c>
    </row>
    <row r="9" spans="1:25" ht="18" customHeight="1">
      <c r="A9" s="2351"/>
      <c r="B9" s="3574"/>
      <c r="C9" s="1740"/>
      <c r="D9" s="1737"/>
      <c r="E9" s="61" t="s">
        <v>632</v>
      </c>
      <c r="F9" s="774">
        <f ca="1">IF(INDIRECT("'数据-取费表'!ah"&amp;$G$1)="",INDIRECT("'数据-取费表'!k"&amp;$G$1),INDIRECT("'数据-取费表'!ah"&amp;$G$1))</f>
        <v>0</v>
      </c>
      <c r="G9" s="1525"/>
      <c r="H9" s="2340"/>
      <c r="I9" s="3574"/>
      <c r="J9" s="777"/>
      <c r="K9" s="778"/>
      <c r="L9" s="773" t="s">
        <v>1730</v>
      </c>
      <c r="M9" s="774">
        <f ca="1">F9</f>
        <v>0</v>
      </c>
    </row>
    <row r="10" spans="1:25" ht="18" customHeight="1">
      <c r="A10" s="2344"/>
      <c r="B10" s="3575"/>
      <c r="C10" s="1740"/>
      <c r="D10" s="1737"/>
      <c r="E10" s="61" t="s">
        <v>633</v>
      </c>
      <c r="F10" s="774">
        <f ca="1">INDIRECT("'数据-取费表'!ai"&amp;$G$1)</f>
        <v>0</v>
      </c>
      <c r="G10" s="1525"/>
      <c r="H10" s="2340"/>
      <c r="I10" s="3575"/>
      <c r="J10" s="777"/>
      <c r="K10" s="778"/>
      <c r="L10" s="773" t="s">
        <v>1731</v>
      </c>
      <c r="M10" s="774">
        <f ca="1">INDIRECT("'数据-取费表'!ai"&amp;$G$1)</f>
        <v>0</v>
      </c>
    </row>
    <row r="11" spans="1:25" ht="18" customHeight="1">
      <c r="A11" s="775"/>
      <c r="B11" s="3576"/>
      <c r="C11" s="1740"/>
      <c r="D11" s="1737"/>
      <c r="E11" s="61" t="s">
        <v>634</v>
      </c>
      <c r="F11" s="783">
        <f ca="1">INDIRECT("'数据-取费表'!w"&amp;$G$1)</f>
        <v>0</v>
      </c>
      <c r="G11" s="1525"/>
      <c r="H11" s="2356"/>
      <c r="I11" s="3575"/>
      <c r="J11" s="777"/>
      <c r="K11" s="778"/>
      <c r="L11" s="784" t="s">
        <v>1732</v>
      </c>
      <c r="M11" s="785">
        <f ca="1">INDIRECT("'数据-取费表'!ab"&amp;$G$1)</f>
        <v>0</v>
      </c>
    </row>
    <row r="12" spans="1:25" ht="18" customHeight="1">
      <c r="A12" s="1744" t="s">
        <v>1816</v>
      </c>
      <c r="B12" s="2345" t="s">
        <v>2438</v>
      </c>
      <c r="C12" s="788">
        <f ca="1">ROUND(IF(F12="押一",C8/12*F13,IF(F12="押二",C8/12*2*F13,IF(F12="押三",C8/12*3*F13,C13*F13))),0)</f>
        <v>0</v>
      </c>
      <c r="D12" s="2352" t="s">
        <v>2905</v>
      </c>
      <c r="E12" s="2349" t="s">
        <v>2443</v>
      </c>
      <c r="F12" s="2463"/>
      <c r="G12" s="1525"/>
      <c r="H12" s="2412" t="s">
        <v>1816</v>
      </c>
      <c r="I12" s="2417" t="s">
        <v>2438</v>
      </c>
      <c r="J12" s="772">
        <f ca="1">ROUND(IF(M12="押一",J8/12*M13,IF(M12="押二",J8/12*2*M13,IF(M12="押三",J8/12*3*M13,J13*M13))),0)</f>
        <v>0</v>
      </c>
      <c r="K12" s="2352" t="s">
        <v>2905</v>
      </c>
      <c r="L12" s="2349" t="s">
        <v>2443</v>
      </c>
      <c r="M12" s="2463"/>
    </row>
    <row r="13" spans="1:25" ht="18" customHeight="1">
      <c r="A13" s="779"/>
      <c r="B13" s="2346" t="s">
        <v>2552</v>
      </c>
      <c r="C13" s="2350"/>
      <c r="D13" s="778"/>
      <c r="E13" s="2349" t="s">
        <v>2435</v>
      </c>
      <c r="F13" s="785">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3" t="s">
        <v>1865</v>
      </c>
      <c r="B15" s="1741" t="s">
        <v>635</v>
      </c>
      <c r="C15" s="781">
        <f ca="1">ROUND(C31*F15,0)</f>
        <v>0</v>
      </c>
      <c r="D15" s="1748" t="s">
        <v>636</v>
      </c>
      <c r="E15" s="784" t="s">
        <v>637</v>
      </c>
      <c r="F15" s="789">
        <f ca="1">INDIRECT("'数据-取费表'!y"&amp;$G$1)</f>
        <v>0</v>
      </c>
      <c r="G15" s="1525"/>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2055</v>
      </c>
      <c r="I16" s="2109" t="s">
        <v>2780</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6"/>
      <c r="H17" s="792" t="s">
        <v>2056</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6"/>
      <c r="H19" s="792" t="s">
        <v>2055</v>
      </c>
      <c r="I19" s="773" t="s">
        <v>650</v>
      </c>
      <c r="J19" s="2901">
        <f ca="1">ROUND(IF(AND(项目基本情况!B11="自然人",项目基本情况!B10="北京市"),J8*M19/(1+'数据-取费表'!C42),J20+J21+J22),0)</f>
        <v>0</v>
      </c>
      <c r="K19" s="1891" t="s">
        <v>651</v>
      </c>
      <c r="L19" s="1889" t="s">
        <v>652</v>
      </c>
      <c r="M19" s="2900"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89" t="s">
        <v>655</v>
      </c>
      <c r="L20" s="773" t="s">
        <v>643</v>
      </c>
      <c r="M20" s="798">
        <f>'数据-取费表'!B41</f>
        <v>5.5000000000000007E-2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5"/>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1.4999999999999999E-2</v>
      </c>
      <c r="G22" s="1526"/>
      <c r="H22" s="1746" t="s">
        <v>1841</v>
      </c>
      <c r="I22" s="1736" t="s">
        <v>662</v>
      </c>
      <c r="J22" s="54">
        <f ca="1">ROUND(M22*M23/10000,0)</f>
        <v>0</v>
      </c>
      <c r="K22" s="802" t="s">
        <v>663</v>
      </c>
      <c r="L22" s="773" t="s">
        <v>664</v>
      </c>
      <c r="M22" s="631">
        <f>'数据-取费表'!B52</f>
        <v>1.5</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1.4999999999999999E-2</v>
      </c>
      <c r="G23" s="1526"/>
      <c r="H23" s="1747"/>
      <c r="I23" s="1738"/>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单利计息。建造成本、管理费用、销售费用产生的利息。</v>
      </c>
      <c r="E24" s="1894"/>
      <c r="F24" s="56"/>
      <c r="G24" s="1525"/>
      <c r="H24" s="1745" t="s">
        <v>2056</v>
      </c>
      <c r="I24" s="773" t="s">
        <v>670</v>
      </c>
      <c r="J24" s="53">
        <f ca="1">ROUND(J16*M24,0)</f>
        <v>0</v>
      </c>
      <c r="K24" s="1889" t="s">
        <v>671</v>
      </c>
      <c r="L24" s="773" t="s">
        <v>643</v>
      </c>
      <c r="M24" s="805">
        <f ca="1">INDIRECT("'数据-取费表'!Ak"&amp;$G$1)</f>
        <v>0</v>
      </c>
    </row>
    <row r="25" spans="1:25" s="1945" customFormat="1" ht="18" customHeight="1">
      <c r="A25" s="792" t="s">
        <v>1866</v>
      </c>
      <c r="B25" s="773" t="s">
        <v>2418</v>
      </c>
      <c r="C25" s="53">
        <f ca="1">ROUND(IF('数据-取费表'!B22&lt;=1,(C21+C22)*F26*F25/2,(C21+C22)*(POWER((1+F26),F25/2)-1)),0)</f>
        <v>0</v>
      </c>
      <c r="D25" s="2421" t="str">
        <f>IF(F25&lt;=1,"(建造成本+管理费用)×利率×(建设周期÷2)","(建造成本+管理费用)×((1+利率)^(建设周期÷2)-1)")</f>
        <v>(建造成本+管理费用)×利率×(建设周期÷2)</v>
      </c>
      <c r="E25" s="773" t="s">
        <v>672</v>
      </c>
      <c r="F25" s="631">
        <f>'数据-取费表'!B20</f>
        <v>1</v>
      </c>
      <c r="G25" s="1526"/>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2.9999999999999997E-4</v>
      </c>
      <c r="D26" s="2421" t="str">
        <f>IF(F25&lt;=1,"销售费用×利率×(建设周期÷2)","销售费用×((1+利率)^(建设周期÷2)-1)")</f>
        <v>销售费用×利率×(建设周期÷2)</v>
      </c>
      <c r="E26" s="773" t="s">
        <v>676</v>
      </c>
      <c r="F26" s="807">
        <f ca="1">'数据-取费表'!B40</f>
        <v>4.3499999999999997E-2</v>
      </c>
      <c r="G26" s="1526"/>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5"/>
      <c r="H27" s="786" t="s">
        <v>1819</v>
      </c>
      <c r="I27" s="2722" t="s">
        <v>2777</v>
      </c>
      <c r="J27" s="788">
        <f ca="1">J7-J18</f>
        <v>0</v>
      </c>
      <c r="K27" s="1891" t="s">
        <v>694</v>
      </c>
      <c r="L27" s="1893"/>
      <c r="M27" s="808"/>
    </row>
    <row r="28" spans="1:25" ht="18" customHeight="1">
      <c r="A28" s="792" t="s">
        <v>1866</v>
      </c>
      <c r="B28" s="773" t="s">
        <v>2419</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5.2400000000000002E-2</v>
      </c>
      <c r="D30" s="800" t="s">
        <v>703</v>
      </c>
      <c r="E30" s="773" t="s">
        <v>643</v>
      </c>
      <c r="F30" s="798">
        <f>'数据-取费表'!B41</f>
        <v>5.5000000000000007E-2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2778</v>
      </c>
      <c r="C31" s="2395">
        <f ca="1">ROUND((C21+C22+C25+C28)/(1-F23-C26-C29-C30),0)</f>
        <v>0</v>
      </c>
      <c r="D31" s="2396"/>
      <c r="E31" s="2397"/>
      <c r="F31" s="2398"/>
      <c r="G31" s="1526"/>
      <c r="H31" s="811" t="s">
        <v>1863</v>
      </c>
      <c r="I31" s="2723" t="s">
        <v>2779</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3" t="s">
        <v>7</v>
      </c>
      <c r="B32" s="1741" t="s">
        <v>683</v>
      </c>
      <c r="C32" s="781">
        <f ca="1">ROUND(C33+C38+C39+C40,0)</f>
        <v>0</v>
      </c>
      <c r="D32" s="1735" t="s">
        <v>646</v>
      </c>
      <c r="E32" s="2338"/>
      <c r="F32" s="2342"/>
      <c r="G32" s="1943"/>
      <c r="H32" s="1946"/>
      <c r="I32" s="1947"/>
      <c r="J32" s="1948"/>
      <c r="K32" s="1949"/>
      <c r="L32" s="1950"/>
      <c r="M32" s="1951"/>
    </row>
    <row r="33" spans="1:18" ht="18" customHeight="1">
      <c r="A33" s="792" t="s">
        <v>1867</v>
      </c>
      <c r="B33" s="773" t="s">
        <v>650</v>
      </c>
      <c r="C33" s="2901">
        <f ca="1">ROUND(IF(AND(项目基本情况!B11="自然人",项目基本情况!B10="北京市"),C8*F33/(1+'数据-取费表'!C42),C34+C35+C36),0)</f>
        <v>0</v>
      </c>
      <c r="D33" s="1891" t="s">
        <v>651</v>
      </c>
      <c r="E33" s="1889" t="s">
        <v>684</v>
      </c>
      <c r="F33" s="2900" t="str">
        <f>IF(项目基本情况!B11="企业","——",IF('数据-取费表'!B10="住宅",IF(F8*F9*F10/12/(1+'数据-取费表'!F30)&gt;100000,4%,2.5%),IF(F8*F9*F10/12/(1+'数据-取费表'!F30)&gt;100000,12%,7%)))</f>
        <v>——</v>
      </c>
      <c r="G33" s="1943"/>
      <c r="H33" s="3138" t="s">
        <v>2963</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5.5000000000000007E-2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1.5</v>
      </c>
      <c r="G36" s="1943"/>
      <c r="H36" s="1946"/>
      <c r="I36" s="3572"/>
      <c r="J36" s="1960"/>
      <c r="K36" s="1961"/>
      <c r="L36" s="1960"/>
      <c r="M36" s="1960"/>
    </row>
    <row r="37" spans="1:18" ht="18" customHeight="1">
      <c r="A37" s="803"/>
      <c r="B37" s="782"/>
      <c r="C37" s="69"/>
      <c r="D37" s="804"/>
      <c r="E37" s="773" t="s">
        <v>668</v>
      </c>
      <c r="F37" s="774">
        <f ca="1">INDIRECT("'数据-取费表'!r"&amp;$G$1)</f>
        <v>0</v>
      </c>
      <c r="G37" s="1943"/>
      <c r="H37" s="1946"/>
      <c r="I37" s="3572"/>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2904"/>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2904"/>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2904"/>
      <c r="J40" s="1898"/>
      <c r="K40" s="1963"/>
      <c r="L40" s="1958"/>
      <c r="M40" s="1958"/>
    </row>
    <row r="41" spans="1:18" ht="18" customHeight="1" thickTop="1">
      <c r="A41" s="1743">
        <v>4</v>
      </c>
      <c r="B41" s="1741" t="s">
        <v>686</v>
      </c>
      <c r="C41" s="1305"/>
      <c r="D41" s="1306"/>
      <c r="E41" s="1306"/>
      <c r="F41" s="1307"/>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8" t="s">
        <v>706</v>
      </c>
      <c r="E43" s="2792" t="s">
        <v>2894</v>
      </c>
      <c r="F43" s="2793">
        <f ca="1">INDIRECT("'数据-取费表'!j"&amp;$G$1)</f>
        <v>0</v>
      </c>
      <c r="G43" s="1943"/>
      <c r="H43" s="1943"/>
      <c r="I43" s="1943"/>
      <c r="J43" s="1943"/>
      <c r="K43" s="1963"/>
      <c r="L43" s="1943"/>
      <c r="M43" s="1943"/>
    </row>
    <row r="44" spans="1:18" ht="18" customHeight="1">
      <c r="A44" s="792" t="s">
        <v>1869</v>
      </c>
      <c r="B44" s="823" t="s">
        <v>707</v>
      </c>
      <c r="C44" s="1309">
        <f ca="1">C42-C43</f>
        <v>0</v>
      </c>
      <c r="D44" s="456" t="s">
        <v>708</v>
      </c>
      <c r="E44" s="457"/>
      <c r="F44" s="458"/>
      <c r="G44" s="1943"/>
      <c r="H44" s="1943"/>
      <c r="I44" s="1943"/>
      <c r="J44" s="1943"/>
      <c r="K44" s="1963"/>
      <c r="L44" s="1943"/>
      <c r="M44" s="1943"/>
    </row>
    <row r="45" spans="1:18" ht="18" customHeight="1">
      <c r="A45" s="792" t="s">
        <v>1870</v>
      </c>
      <c r="B45" s="1308" t="s">
        <v>709</v>
      </c>
      <c r="C45" s="2749">
        <f ca="1">ROUND(-PV(F45,F46,C44,0),0)</f>
        <v>0</v>
      </c>
      <c r="D45" s="1310" t="s">
        <v>710</v>
      </c>
      <c r="E45" s="795" t="s">
        <v>711</v>
      </c>
      <c r="F45" s="818">
        <f ca="1">INDIRECT("'数据-取费表'!h"&amp;$G$1)</f>
        <v>0</v>
      </c>
      <c r="G45" s="1943"/>
      <c r="H45" s="1943"/>
      <c r="I45" s="1943"/>
      <c r="J45" s="1943"/>
      <c r="K45" s="1963"/>
      <c r="L45" s="1943"/>
      <c r="M45" s="1943"/>
    </row>
    <row r="46" spans="1:18" ht="18" customHeight="1" thickBot="1">
      <c r="A46" s="819"/>
      <c r="B46" s="1311"/>
      <c r="C46" s="1312"/>
      <c r="D46" s="1313"/>
      <c r="E46" s="2794" t="s">
        <v>2897</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8" t="str">
        <f ca="1">IF(M48="住宅",0,IF(L49&gt;J52,L61,J61))</f>
        <v>0</v>
      </c>
      <c r="O47" s="2247" t="s">
        <v>2392</v>
      </c>
      <c r="P47" s="1525"/>
      <c r="Q47" s="1533"/>
      <c r="R47" s="1525"/>
    </row>
    <row r="48" spans="1:18" s="1940" customFormat="1" ht="18" customHeight="1" thickBot="1">
      <c r="A48" s="1964"/>
      <c r="C48" s="1967"/>
      <c r="D48" s="1968"/>
      <c r="E48" s="1968"/>
      <c r="F48" s="1969"/>
      <c r="G48" s="1970"/>
      <c r="I48" s="2799" t="s">
        <v>2326</v>
      </c>
      <c r="J48" s="2234"/>
      <c r="K48" s="2805" t="s">
        <v>2331</v>
      </c>
      <c r="L48" s="2809">
        <f ca="1">INDIRECT("'数据-取费表'!d"&amp;$G$1)</f>
        <v>0</v>
      </c>
      <c r="M48" s="2791"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6" t="s">
        <v>2327</v>
      </c>
      <c r="J49" s="2235"/>
      <c r="K49" s="2806"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6" t="s">
        <v>2328</v>
      </c>
      <c r="J50" s="2236"/>
      <c r="K50" s="2807"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6" t="s">
        <v>2329</v>
      </c>
      <c r="J51" s="2803">
        <f>SUMPRODUCT((I64:I66=J48)*(J63:L63=J49)*(J64:L66))</f>
        <v>0</v>
      </c>
      <c r="K51" s="2807" t="s">
        <v>2335</v>
      </c>
      <c r="L51" s="2237"/>
      <c r="O51" s="2254" t="s">
        <v>2365</v>
      </c>
      <c r="P51" s="2252" t="s">
        <v>2389</v>
      </c>
      <c r="Q51" s="2253">
        <f ca="1">C31</f>
        <v>0</v>
      </c>
      <c r="R51" s="2252" t="s">
        <v>2362</v>
      </c>
    </row>
    <row r="52" spans="1:18" s="1940" customFormat="1" ht="18" customHeight="1" thickBot="1">
      <c r="A52" s="1976"/>
      <c r="F52" s="1965"/>
      <c r="I52" s="2800" t="s">
        <v>2330</v>
      </c>
      <c r="J52" s="2804">
        <f>IF(J50="",J51,J50+J51-YEAR('数据-取费表'!B3))</f>
        <v>0</v>
      </c>
      <c r="K52" s="2796" t="s">
        <v>2336</v>
      </c>
      <c r="L52" s="2810">
        <f ca="1">C45</f>
        <v>0</v>
      </c>
      <c r="O52" s="2254" t="s">
        <v>2366</v>
      </c>
      <c r="P52" s="2252" t="s">
        <v>2367</v>
      </c>
      <c r="Q52" s="2255" t="e">
        <f ca="1">J59</f>
        <v>#VALUE!</v>
      </c>
      <c r="R52" s="2256"/>
    </row>
    <row r="53" spans="1:18" s="1940" customFormat="1" ht="18" customHeight="1" thickBot="1">
      <c r="A53" s="1976"/>
      <c r="F53" s="1965"/>
      <c r="I53" s="2801" t="s">
        <v>2403</v>
      </c>
      <c r="J53" s="2238"/>
      <c r="K53" s="2801" t="s">
        <v>2402</v>
      </c>
      <c r="L53" s="2238"/>
      <c r="O53" s="2254" t="s">
        <v>2368</v>
      </c>
      <c r="P53" s="2252" t="s">
        <v>2369</v>
      </c>
      <c r="Q53" s="2255">
        <f>J53</f>
        <v>0</v>
      </c>
      <c r="R53" s="2256"/>
    </row>
    <row r="54" spans="1:18" s="1940" customFormat="1" ht="29.25" thickBot="1">
      <c r="A54" s="1976"/>
      <c r="I54" s="2802" t="s">
        <v>2909</v>
      </c>
      <c r="J54" s="2855">
        <f ca="1">IF(M48="住宅",MAX(J52,L49-'数据-取费表'!B20),MIN(J52,L49-'数据-取费表'!B20))</f>
        <v>-1</v>
      </c>
      <c r="K54" s="3577"/>
      <c r="L54" s="3578"/>
      <c r="O54" s="2254" t="s">
        <v>2370</v>
      </c>
      <c r="P54" s="2252" t="s">
        <v>2371</v>
      </c>
      <c r="Q54" s="2253">
        <f ca="1">J54</f>
        <v>-1</v>
      </c>
      <c r="R54" s="2252" t="s">
        <v>2372</v>
      </c>
    </row>
    <row r="55" spans="1:18" s="1940" customFormat="1" ht="18" customHeight="1" thickBot="1">
      <c r="A55" s="1976"/>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1" t="s">
        <v>2373</v>
      </c>
      <c r="P55" s="2252" t="s">
        <v>2390</v>
      </c>
      <c r="Q55" s="2253">
        <f ca="1">Q49+Q50</f>
        <v>0</v>
      </c>
      <c r="R55" s="2256" t="s">
        <v>2374</v>
      </c>
    </row>
    <row r="56" spans="1:18" s="1940" customFormat="1" ht="16.5" thickBot="1">
      <c r="A56" s="1976"/>
      <c r="B56" s="1977"/>
      <c r="C56" s="1977"/>
      <c r="I56" s="2813" t="s">
        <v>2337</v>
      </c>
      <c r="J56" s="2785" t="e">
        <f ca="1">ROUND(IF(J48="钢混",J58/J51,1-(1-2%)*(J51-J58)/J51),3)</f>
        <v>#VALUE!</v>
      </c>
      <c r="K56" s="2814" t="s">
        <v>2338</v>
      </c>
      <c r="L56" s="2239"/>
      <c r="O56" s="2257" t="s">
        <v>2393</v>
      </c>
      <c r="P56" s="1525"/>
      <c r="Q56" s="1533"/>
      <c r="R56" s="1525"/>
    </row>
    <row r="57" spans="1:18" s="1940" customFormat="1" ht="43.5" thickBot="1">
      <c r="A57" s="1976"/>
      <c r="B57" s="1977"/>
      <c r="C57" s="1977"/>
      <c r="I57" s="2815" t="s">
        <v>2339</v>
      </c>
      <c r="J57" s="2825" t="s">
        <v>1669</v>
      </c>
      <c r="K57" s="2796" t="s">
        <v>2344</v>
      </c>
      <c r="L57" s="1820">
        <f ca="1">IF(L49&lt;J52,"——",L49-J52)</f>
        <v>0</v>
      </c>
      <c r="O57" s="2248" t="s">
        <v>2357</v>
      </c>
      <c r="P57" s="2249" t="s">
        <v>2358</v>
      </c>
      <c r="Q57" s="2250" t="s">
        <v>2359</v>
      </c>
      <c r="R57" s="2249" t="s">
        <v>2360</v>
      </c>
    </row>
    <row r="58" spans="1:18" s="1940" customFormat="1" ht="29.25" thickBot="1">
      <c r="A58" s="1976"/>
      <c r="B58" s="1977"/>
      <c r="C58" s="1977"/>
      <c r="I58" s="2816" t="s">
        <v>2340</v>
      </c>
      <c r="J58" s="2817" t="str">
        <f ca="1">IF(OR(M48="住宅",J52&lt;L49,J57="是"),"——",J52-L49)</f>
        <v>——</v>
      </c>
      <c r="K58" s="2796"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6" t="s">
        <v>2341</v>
      </c>
      <c r="J59" s="2786" t="e">
        <f ca="1">IF(J56&lt;0.4,0.4,J56)</f>
        <v>#VALUE!</v>
      </c>
      <c r="K59" s="2796"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6" t="s">
        <v>2342</v>
      </c>
      <c r="J60" s="2817" t="str">
        <f ca="1">IF(OR(M48="住宅",J52&lt;L49,J57="是"),"——",ROUND(C30*J59,0))</f>
        <v>——</v>
      </c>
      <c r="K60" s="2796"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8" t="s">
        <v>2343</v>
      </c>
      <c r="J61" s="2819" t="str">
        <f ca="1">IF(OR(M48="住宅",J52&lt;L49,J57="是"),"0",ROUND(J60/(1+J53)^J54,0))</f>
        <v>0</v>
      </c>
      <c r="K61" s="2820" t="s">
        <v>2348</v>
      </c>
      <c r="L61" s="2819"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1" t="s">
        <v>2349</v>
      </c>
      <c r="J63" s="2822" t="s">
        <v>2350</v>
      </c>
      <c r="K63" s="2822" t="s">
        <v>2351</v>
      </c>
      <c r="L63" s="2822" t="s">
        <v>2332</v>
      </c>
      <c r="M63" s="2823" t="s">
        <v>2881</v>
      </c>
      <c r="O63" s="2254" t="s">
        <v>2370</v>
      </c>
      <c r="P63" s="2252" t="s">
        <v>2378</v>
      </c>
      <c r="Q63" s="2253">
        <f ca="1">L60</f>
        <v>0</v>
      </c>
      <c r="R63" s="2256" t="s">
        <v>2379</v>
      </c>
    </row>
    <row r="64" spans="1:18" s="1940" customFormat="1" ht="15.75" thickBot="1">
      <c r="A64" s="1976"/>
      <c r="B64" s="1977"/>
      <c r="C64" s="1977"/>
      <c r="I64" s="2821" t="s">
        <v>2352</v>
      </c>
      <c r="J64" s="2822">
        <v>70</v>
      </c>
      <c r="K64" s="2822">
        <v>50</v>
      </c>
      <c r="L64" s="2822">
        <v>80</v>
      </c>
      <c r="M64" s="2824">
        <v>0.02</v>
      </c>
      <c r="O64" s="2251" t="s">
        <v>2373</v>
      </c>
      <c r="P64" s="2252" t="s">
        <v>2390</v>
      </c>
      <c r="Q64" s="2253" t="e">
        <f ca="1">Q58+Q59</f>
        <v>#DIV/0!</v>
      </c>
      <c r="R64" s="2256" t="s">
        <v>2374</v>
      </c>
    </row>
    <row r="65" spans="1:18" s="1940" customFormat="1" ht="16.5" thickBot="1">
      <c r="A65" s="1976"/>
      <c r="B65" s="1977"/>
      <c r="C65" s="1977"/>
      <c r="I65" s="2821" t="s">
        <v>2353</v>
      </c>
      <c r="J65" s="2822">
        <v>50</v>
      </c>
      <c r="K65" s="2822">
        <v>35</v>
      </c>
      <c r="L65" s="2822">
        <v>60</v>
      </c>
      <c r="M65" s="834">
        <v>0</v>
      </c>
      <c r="O65" s="2257" t="s">
        <v>2397</v>
      </c>
      <c r="P65" s="1525"/>
      <c r="Q65" s="1533"/>
      <c r="R65" s="1525"/>
    </row>
    <row r="66" spans="1:18" s="1940" customFormat="1" ht="15.75" thickBot="1">
      <c r="A66" s="1976"/>
      <c r="B66" s="1977"/>
      <c r="C66" s="1977"/>
      <c r="I66" s="2821" t="s">
        <v>2354</v>
      </c>
      <c r="J66" s="2822">
        <v>40</v>
      </c>
      <c r="K66" s="2822">
        <v>30</v>
      </c>
      <c r="L66" s="2822">
        <v>50</v>
      </c>
      <c r="M66" s="2824">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E55" sqref="E5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2982</v>
      </c>
      <c r="D1" s="2795" t="s">
        <v>3135</v>
      </c>
      <c r="E1" s="2240" t="s">
        <v>2356</v>
      </c>
      <c r="F1" s="2241">
        <f ca="1">J53</f>
        <v>37.119999999999997</v>
      </c>
      <c r="G1" s="3139">
        <f>MATCH(C1,'数据-取费表'!A6:A16,0)+5</f>
        <v>6</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f ca="1">C40+J29+L46</f>
        <v>6762</v>
      </c>
      <c r="C2" s="3144"/>
      <c r="D2" s="3145"/>
      <c r="E2" s="3146"/>
      <c r="F2" s="3146"/>
      <c r="G2" s="3140"/>
      <c r="H2" s="1938"/>
      <c r="I2" s="1938"/>
      <c r="J2" s="1938"/>
      <c r="K2" s="1939"/>
      <c r="L2" s="1938"/>
      <c r="M2" s="1938"/>
    </row>
    <row r="3" spans="1:33" ht="18" customHeight="1" thickBot="1">
      <c r="A3" s="821" t="s">
        <v>1718</v>
      </c>
      <c r="B3" s="822">
        <f ca="1">IF(ISERROR(B2*10000/F43),0,ROUND(B2*10000/F43,0))</f>
        <v>6942</v>
      </c>
      <c r="C3" s="3144"/>
      <c r="D3" s="3145"/>
      <c r="E3" s="3146"/>
      <c r="F3" s="3146"/>
      <c r="G3" s="3140"/>
      <c r="H3" s="765" t="s">
        <v>689</v>
      </c>
      <c r="I3" s="1315"/>
      <c r="J3" s="1315"/>
      <c r="K3" s="1524"/>
      <c r="L3" s="1315"/>
      <c r="M3" s="1315"/>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2437</v>
      </c>
      <c r="C5" s="55">
        <f ca="1">C6+C10+C12</f>
        <v>577</v>
      </c>
      <c r="D5" s="2347" t="s">
        <v>2440</v>
      </c>
      <c r="E5" s="2341"/>
      <c r="F5" s="2342"/>
      <c r="G5" s="1943"/>
      <c r="H5" s="770">
        <v>1</v>
      </c>
      <c r="I5" s="771" t="s">
        <v>2437</v>
      </c>
      <c r="J5" s="55">
        <f ca="1">J6+J10+J12</f>
        <v>0</v>
      </c>
      <c r="K5" s="2347" t="s">
        <v>2440</v>
      </c>
      <c r="L5" s="2341"/>
      <c r="M5" s="2342"/>
    </row>
    <row r="6" spans="1:33" ht="18" customHeight="1">
      <c r="A6" s="1744" t="s">
        <v>1815</v>
      </c>
      <c r="B6" s="3573" t="s">
        <v>2442</v>
      </c>
      <c r="C6" s="772">
        <f ca="1">ROUND(F6*F8*F7*(1-F9)/10000,0)</f>
        <v>576</v>
      </c>
      <c r="D6" s="2348" t="s">
        <v>2441</v>
      </c>
      <c r="E6" s="773" t="s">
        <v>1729</v>
      </c>
      <c r="F6" s="774">
        <f ca="1">INDIRECT("'数据-取费表'!u"&amp;$G$1)</f>
        <v>1.8</v>
      </c>
      <c r="G6" s="1943"/>
      <c r="H6" s="2355" t="s">
        <v>2447</v>
      </c>
      <c r="I6" s="3573" t="s">
        <v>2442</v>
      </c>
      <c r="J6" s="772">
        <f ca="1">ROUND(M6*M8*M7*(1-M9)/10000,0)</f>
        <v>0</v>
      </c>
      <c r="K6" s="338" t="s">
        <v>1728</v>
      </c>
      <c r="L6" s="773" t="s">
        <v>1729</v>
      </c>
      <c r="M6" s="774">
        <f ca="1">INDIRECT("'数据-取费表'!z"&amp;$G$1)</f>
        <v>0</v>
      </c>
    </row>
    <row r="7" spans="1:33" ht="18" customHeight="1">
      <c r="A7" s="2351"/>
      <c r="B7" s="3574"/>
      <c r="C7" s="777"/>
      <c r="D7" s="778"/>
      <c r="E7" s="773" t="s">
        <v>1730</v>
      </c>
      <c r="F7" s="774">
        <f ca="1">IF(INDIRECT("'数据-取费表'!ah"&amp;$G$1)="",INDIRECT("'数据-取费表'!k"&amp;$G$1),INDIRECT("'数据-取费表'!ah"&amp;$G$1))</f>
        <v>9740.7800000000007</v>
      </c>
      <c r="G7" s="1943"/>
      <c r="H7" s="2340"/>
      <c r="I7" s="3574"/>
      <c r="J7" s="777"/>
      <c r="K7" s="778"/>
      <c r="L7" s="773" t="s">
        <v>1730</v>
      </c>
      <c r="M7" s="774">
        <f ca="1">F7</f>
        <v>9740.7800000000007</v>
      </c>
    </row>
    <row r="8" spans="1:33" ht="18" customHeight="1">
      <c r="A8" s="2344"/>
      <c r="B8" s="3575"/>
      <c r="C8" s="777"/>
      <c r="D8" s="778"/>
      <c r="E8" s="773" t="s">
        <v>1731</v>
      </c>
      <c r="F8" s="774">
        <f ca="1">INDIRECT("'数据-取费表'!ai"&amp;$G$1)</f>
        <v>365</v>
      </c>
      <c r="G8" s="1943"/>
      <c r="H8" s="2340"/>
      <c r="I8" s="3575"/>
      <c r="J8" s="777"/>
      <c r="K8" s="778"/>
      <c r="L8" s="773" t="s">
        <v>1731</v>
      </c>
      <c r="M8" s="774">
        <f ca="1">INDIRECT("'数据-取费表'!ai"&amp;$G$1)</f>
        <v>365</v>
      </c>
    </row>
    <row r="9" spans="1:33" ht="18" customHeight="1">
      <c r="A9" s="775"/>
      <c r="B9" s="3576"/>
      <c r="C9" s="777"/>
      <c r="D9" s="778"/>
      <c r="E9" s="773" t="s">
        <v>1732</v>
      </c>
      <c r="F9" s="783">
        <f ca="1">INDIRECT("'数据-取费表'!w"&amp;$G$1)</f>
        <v>0.1</v>
      </c>
      <c r="G9" s="1943"/>
      <c r="H9" s="2356"/>
      <c r="I9" s="3575"/>
      <c r="J9" s="777"/>
      <c r="K9" s="778"/>
      <c r="L9" s="784" t="s">
        <v>1732</v>
      </c>
      <c r="M9" s="785">
        <f ca="1">INDIRECT("'数据-取费表'!ab"&amp;$G$1)</f>
        <v>0</v>
      </c>
    </row>
    <row r="10" spans="1:33" ht="18" customHeight="1">
      <c r="A10" s="1744" t="s">
        <v>2445</v>
      </c>
      <c r="B10" s="2345" t="s">
        <v>2438</v>
      </c>
      <c r="C10" s="788">
        <f ca="1">ROUND(IF(F10="押一",C6/12*F11,IF(F10="押二",C6/12*2*F11,IF(F10="押三",C6/12*3*F11,C11*F11))),0)</f>
        <v>1</v>
      </c>
      <c r="D10" s="2352" t="s">
        <v>2905</v>
      </c>
      <c r="E10" s="2349" t="s">
        <v>2443</v>
      </c>
      <c r="F10" s="2463" t="s">
        <v>3136</v>
      </c>
      <c r="G10" s="1943"/>
      <c r="H10" s="2412" t="s">
        <v>2448</v>
      </c>
      <c r="I10" s="2417" t="s">
        <v>2438</v>
      </c>
      <c r="J10" s="772">
        <f ca="1">ROUND(IF(M10="押一",J6/12*M11,IF(M10="押二",J6/12*2*M11,IF(M10="押三",J6/12*3*M11,J11*M11))),0)</f>
        <v>0</v>
      </c>
      <c r="K10" s="2352" t="s">
        <v>2905</v>
      </c>
      <c r="L10" s="2349" t="s">
        <v>2443</v>
      </c>
      <c r="M10" s="2463"/>
    </row>
    <row r="11" spans="1:33" ht="18" customHeight="1">
      <c r="A11" s="779"/>
      <c r="B11" s="2346" t="s">
        <v>2552</v>
      </c>
      <c r="C11" s="2350"/>
      <c r="D11" s="778"/>
      <c r="E11" s="2349" t="s">
        <v>2444</v>
      </c>
      <c r="F11" s="785">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3">
        <v>2</v>
      </c>
      <c r="B13" s="1741" t="s">
        <v>1733</v>
      </c>
      <c r="C13" s="781">
        <f ca="1">ROUND(C29*F13,0)</f>
        <v>3763</v>
      </c>
      <c r="D13" s="1748" t="s">
        <v>2282</v>
      </c>
      <c r="E13" s="1748" t="s">
        <v>1735</v>
      </c>
      <c r="F13" s="2387">
        <f ca="1">INDIRECT("'数据-取费表'!y"&amp;$G$1)</f>
        <v>1</v>
      </c>
      <c r="G13" s="1943"/>
      <c r="H13" s="1743">
        <v>2</v>
      </c>
      <c r="I13" s="1741" t="s">
        <v>1733</v>
      </c>
      <c r="J13" s="1733">
        <f ca="1">ROUND(J14*J15,0)</f>
        <v>0</v>
      </c>
      <c r="K13" s="1735" t="s">
        <v>1734</v>
      </c>
      <c r="L13" s="2403"/>
      <c r="M13" s="2404"/>
    </row>
    <row r="14" spans="1:33" ht="18" customHeight="1">
      <c r="A14" s="1575" t="s">
        <v>1875</v>
      </c>
      <c r="B14" s="773" t="s">
        <v>639</v>
      </c>
      <c r="C14" s="793">
        <f ca="1">INDIRECT("'数据-取费表'!m"&amp;$G$1)+INDIRECT("'数据-取费表'!t"&amp;$G$1)</f>
        <v>2687</v>
      </c>
      <c r="D14" s="1891" t="s">
        <v>1736</v>
      </c>
      <c r="E14" s="1892"/>
      <c r="F14" s="794"/>
      <c r="G14" s="1943"/>
      <c r="H14" s="1576" t="s">
        <v>1821</v>
      </c>
      <c r="I14" s="2109" t="s">
        <v>2781</v>
      </c>
      <c r="J14" s="53">
        <f ca="1">C29</f>
        <v>3763</v>
      </c>
      <c r="K14" s="26"/>
      <c r="L14" s="790"/>
      <c r="M14" s="791"/>
    </row>
    <row r="15" spans="1:33" s="1945" customFormat="1" ht="18" customHeight="1" thickBot="1">
      <c r="A15" s="1575" t="s">
        <v>1876</v>
      </c>
      <c r="B15" s="773" t="s">
        <v>641</v>
      </c>
      <c r="C15" s="53">
        <f ca="1">ROUND(C14*F15,0)</f>
        <v>81</v>
      </c>
      <c r="D15" s="795" t="s">
        <v>1737</v>
      </c>
      <c r="E15" s="795" t="s">
        <v>1738</v>
      </c>
      <c r="F15" s="796">
        <f>'数据-取费表'!B33</f>
        <v>0.03</v>
      </c>
      <c r="G15" s="3141"/>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3"/>
      <c r="H16" s="1743" t="s">
        <v>1739</v>
      </c>
      <c r="I16" s="1741" t="s">
        <v>1740</v>
      </c>
      <c r="J16" s="781">
        <f ca="1">ROUND(J17+J22+J23+J24,0)</f>
        <v>355</v>
      </c>
      <c r="K16" s="1735" t="s">
        <v>1741</v>
      </c>
      <c r="L16" s="2337"/>
      <c r="M16" s="2342"/>
    </row>
    <row r="17" spans="1:33" s="1945" customFormat="1" ht="18" customHeight="1">
      <c r="A17" s="1575" t="s">
        <v>1878</v>
      </c>
      <c r="B17" s="773" t="s">
        <v>647</v>
      </c>
      <c r="C17" s="53">
        <f ca="1">ROUND(F17*(F43+INDIRECT("'数据-取费表'!S"&amp;$G$1))/10000,0)</f>
        <v>269</v>
      </c>
      <c r="D17" s="773" t="s">
        <v>1742</v>
      </c>
      <c r="E17" s="773" t="s">
        <v>1743</v>
      </c>
      <c r="F17" s="56">
        <f>'数据-取费表'!B35</f>
        <v>200</v>
      </c>
      <c r="G17" s="3141"/>
      <c r="H17" s="1576" t="s">
        <v>1821</v>
      </c>
      <c r="I17" s="773" t="s">
        <v>650</v>
      </c>
      <c r="J17" s="2901">
        <f ca="1">ROUND(IF(AND(项目基本情况!B11="自然人",项目基本情况!B10="北京市"),J6*M17/(1+'数据-取费表'!C42),J18+J19+J20),0)</f>
        <v>317</v>
      </c>
      <c r="K17" s="2336" t="s">
        <v>1744</v>
      </c>
      <c r="L17" s="2335" t="s">
        <v>1745</v>
      </c>
      <c r="M17" s="2900"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40</v>
      </c>
      <c r="D18" s="773" t="s">
        <v>1737</v>
      </c>
      <c r="E18" s="773" t="s">
        <v>1738</v>
      </c>
      <c r="F18" s="798">
        <f>'数据-取费表'!B36</f>
        <v>1.4999999999999999E-2</v>
      </c>
      <c r="G18" s="3141"/>
      <c r="H18" s="1575" t="s">
        <v>1875</v>
      </c>
      <c r="I18" s="773" t="s">
        <v>1746</v>
      </c>
      <c r="J18" s="53">
        <f ca="1">ROUND(J6*M18/(1+'数据-取费表'!C42),1)</f>
        <v>0</v>
      </c>
      <c r="K18" s="2335" t="s">
        <v>1747</v>
      </c>
      <c r="L18" s="773" t="s">
        <v>1738</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3">
        <f ca="1">SUM(C14:C18)</f>
        <v>3077</v>
      </c>
      <c r="D19" s="258" t="s">
        <v>1748</v>
      </c>
      <c r="E19" s="1894"/>
      <c r="F19" s="56"/>
      <c r="G19" s="1943"/>
      <c r="H19" s="1575" t="s">
        <v>1876</v>
      </c>
      <c r="I19" s="773" t="s">
        <v>1749</v>
      </c>
      <c r="J19" s="53">
        <f ca="1">IF(K19="按租金收入计税",ROUND(J6*M19/(1+'数据-取费表'!C42),1),ROUND(C29*F33*0.7,1))</f>
        <v>316.10000000000002</v>
      </c>
      <c r="K19" s="799" t="s">
        <v>659</v>
      </c>
      <c r="L19" s="773" t="s">
        <v>1738</v>
      </c>
      <c r="M19" s="798">
        <f>IF(K19="按租金收入计税",'数据-取费表'!B51,'数据-取费表'!B50)</f>
        <v>1.2E-2</v>
      </c>
    </row>
    <row r="20" spans="1:33" s="1945" customFormat="1" ht="18" customHeight="1">
      <c r="A20" s="1576" t="s">
        <v>1880</v>
      </c>
      <c r="B20" s="773" t="s">
        <v>660</v>
      </c>
      <c r="C20" s="53">
        <f ca="1">ROUND(C19*F20,0)</f>
        <v>46</v>
      </c>
      <c r="D20" s="800" t="s">
        <v>1750</v>
      </c>
      <c r="E20" s="773" t="s">
        <v>1738</v>
      </c>
      <c r="F20" s="798">
        <f>'数据-取费表'!B37</f>
        <v>1.4999999999999999E-2</v>
      </c>
      <c r="G20" s="3141"/>
      <c r="H20" s="1578" t="s">
        <v>1871</v>
      </c>
      <c r="I20" s="338" t="s">
        <v>1751</v>
      </c>
      <c r="J20" s="54">
        <f ca="1">ROUND(M20*M21/10000,0)</f>
        <v>1</v>
      </c>
      <c r="K20" s="802" t="s">
        <v>1752</v>
      </c>
      <c r="L20" s="773" t="s">
        <v>1753</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3" t="s">
        <v>1755</v>
      </c>
      <c r="D21" s="800" t="s">
        <v>2283</v>
      </c>
      <c r="E21" s="773" t="s">
        <v>1756</v>
      </c>
      <c r="F21" s="798">
        <f>'数据-取费表'!B38</f>
        <v>1.4999999999999999E-2</v>
      </c>
      <c r="G21" s="3141"/>
      <c r="H21" s="2357"/>
      <c r="I21" s="782"/>
      <c r="J21" s="69"/>
      <c r="K21" s="804"/>
      <c r="L21" s="773" t="s">
        <v>1757</v>
      </c>
      <c r="M21" s="774">
        <f ca="1">INDIRECT("'数据-取费表'!r"&amp;$G$1)</f>
        <v>9019.94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3"/>
      <c r="D22" s="2422" t="str">
        <f>IF(F23&lt;=1,"单利计息。","复利计息。")&amp;"建造成本、管理费用、销售费用产生的利息。"</f>
        <v>单利计息。建造成本、管理费用、销售费用产生的利息。</v>
      </c>
      <c r="E22" s="1894"/>
      <c r="F22" s="56"/>
      <c r="G22" s="1943"/>
      <c r="H22" s="1576" t="s">
        <v>1880</v>
      </c>
      <c r="I22" s="773" t="s">
        <v>1759</v>
      </c>
      <c r="J22" s="53">
        <f ca="1">ROUND(J14*M22,0)</f>
        <v>38</v>
      </c>
      <c r="K22" s="2335" t="s">
        <v>1760</v>
      </c>
      <c r="L22" s="773" t="s">
        <v>1738</v>
      </c>
      <c r="M22" s="805">
        <f ca="1">INDIRECT("'数据-取费表'!Ak"&amp;$G$1)</f>
        <v>0.01</v>
      </c>
    </row>
    <row r="23" spans="1:33" s="1945" customFormat="1" ht="18" customHeight="1">
      <c r="A23" s="1575" t="s">
        <v>1822</v>
      </c>
      <c r="B23" s="773" t="s">
        <v>2514</v>
      </c>
      <c r="C23" s="53">
        <f ca="1">ROUND(IF('数据-取费表'!B22&lt;=1,(C19+C20)*F24*F23/2,(C19+C20)*(POWER((1+F24),F23/2)-1)),0)</f>
        <v>68</v>
      </c>
      <c r="D23" s="2421" t="str">
        <f>IF(F23&lt;=1,"(建造成本+管理费用)×利率×(建设周期÷2)","(建造成本+管理费用)×((1+利率)^(建设周期÷2)-1)")</f>
        <v>(建造成本+管理费用)×利率×(建设周期÷2)</v>
      </c>
      <c r="E23" s="773" t="s">
        <v>1761</v>
      </c>
      <c r="F23" s="631">
        <f>'数据-取费表'!B20</f>
        <v>1</v>
      </c>
      <c r="G23" s="3141"/>
      <c r="H23" s="1576" t="s">
        <v>1881</v>
      </c>
      <c r="I23" s="773" t="s">
        <v>673</v>
      </c>
      <c r="J23" s="53">
        <f ca="1">ROUND(J13*M23,0)</f>
        <v>0</v>
      </c>
      <c r="K23" s="2335" t="s">
        <v>1762</v>
      </c>
      <c r="L23" s="773" t="s">
        <v>1738</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3">
        <f ca="1">ROUND(IF('数据-取费表'!B22&lt;=1,F21*F24*F23/2,F21*(POWER((1+F24),F23/2)-1)),4)</f>
        <v>2.9999999999999997E-4</v>
      </c>
      <c r="D24" s="2421" t="str">
        <f>IF(F23&lt;=1,"销售费用×利率×(建设周期÷2)","销售费用×((1+利率)^(建设周期÷2)-1)")</f>
        <v>销售费用×利率×(建设周期÷2)</v>
      </c>
      <c r="E24" s="773" t="s">
        <v>1764</v>
      </c>
      <c r="F24" s="807">
        <f ca="1">'数据-取费表'!B40</f>
        <v>4.3499999999999997E-2</v>
      </c>
      <c r="G24" s="3141"/>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1766</v>
      </c>
      <c r="E25" s="1894"/>
      <c r="F25" s="56"/>
      <c r="G25" s="1943"/>
      <c r="H25" s="1743" t="s">
        <v>1767</v>
      </c>
      <c r="I25" s="2721" t="s">
        <v>2777</v>
      </c>
      <c r="J25" s="781">
        <f ca="1">J5-J16</f>
        <v>-355</v>
      </c>
      <c r="K25" s="2399" t="s">
        <v>1768</v>
      </c>
      <c r="L25" s="2400"/>
      <c r="M25" s="2401"/>
    </row>
    <row r="26" spans="1:33" ht="18" customHeight="1">
      <c r="A26" s="1575" t="s">
        <v>1822</v>
      </c>
      <c r="B26" s="773" t="s">
        <v>2419</v>
      </c>
      <c r="C26" s="53">
        <f ca="1">ROUND((C19+C20)*F26,0)</f>
        <v>312</v>
      </c>
      <c r="D26" s="800" t="s">
        <v>1769</v>
      </c>
      <c r="E26" s="784" t="s">
        <v>1770</v>
      </c>
      <c r="F26" s="783">
        <f ca="1">INDIRECT("'数据-取费表'!q"&amp;$G$1)</f>
        <v>0.1</v>
      </c>
      <c r="G26" s="1943"/>
      <c r="H26" s="2353" t="s">
        <v>1771</v>
      </c>
      <c r="I26" s="2110" t="s">
        <v>2782</v>
      </c>
      <c r="J26" s="772">
        <f ca="1">IF(J5&lt;&gt;0,ROUND(J25*(1-((1+M28)/(1+M26))^M27)/(M26-M28),0),0)</f>
        <v>0</v>
      </c>
      <c r="K26" s="802" t="s">
        <v>1772</v>
      </c>
      <c r="L26" s="773" t="s">
        <v>2401</v>
      </c>
      <c r="M26" s="783">
        <f ca="1">INDIRECT("'数据-取费表'!I"&amp;$G$1)</f>
        <v>5.5E-2</v>
      </c>
    </row>
    <row r="27" spans="1:33" ht="18" customHeight="1">
      <c r="A27" s="1575" t="s">
        <v>1823</v>
      </c>
      <c r="B27" s="773" t="s">
        <v>680</v>
      </c>
      <c r="C27" s="53">
        <f ca="1">ROUND(F21*F26,4)</f>
        <v>1.5E-3</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3">
        <f>ROUND(F28/(1+'数据-取费表'!C42),4)</f>
        <v>5.2400000000000002E-2</v>
      </c>
      <c r="D28" s="800" t="s">
        <v>2284</v>
      </c>
      <c r="E28" s="773" t="s">
        <v>1776</v>
      </c>
      <c r="F28" s="798">
        <f>'数据-取费表'!B41</f>
        <v>5.5000000000000007E-2</v>
      </c>
      <c r="G28" s="3141"/>
      <c r="H28" s="1743"/>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3763</v>
      </c>
      <c r="D29" s="2396"/>
      <c r="E29" s="2397"/>
      <c r="F29" s="2398"/>
      <c r="G29" s="3141"/>
      <c r="H29" s="811" t="s">
        <v>1778</v>
      </c>
      <c r="I29" s="812" t="s">
        <v>1779</v>
      </c>
      <c r="J29" s="813">
        <f ca="1">ROUND(J26/(1+F40)^F41,0)</f>
        <v>0</v>
      </c>
      <c r="K29" s="814" t="s">
        <v>1780</v>
      </c>
      <c r="L29" s="815"/>
      <c r="M29" s="816">
        <f ca="1">INDIRECT("'数据-取费表'!k"&amp;$G$1)</f>
        <v>9740.7800000000007</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1884</v>
      </c>
      <c r="B30" s="1741" t="s">
        <v>1781</v>
      </c>
      <c r="C30" s="781">
        <f ca="1">ROUND(C31+C36+C37+C38,0)</f>
        <v>146</v>
      </c>
      <c r="D30" s="1735" t="s">
        <v>1782</v>
      </c>
      <c r="E30" s="2337"/>
      <c r="F30" s="2342"/>
      <c r="G30" s="1943"/>
      <c r="H30" s="1946"/>
      <c r="I30" s="1947"/>
      <c r="J30" s="1948"/>
      <c r="K30" s="1949"/>
      <c r="L30" s="1950"/>
      <c r="M30" s="1951"/>
    </row>
    <row r="31" spans="1:33" ht="18" customHeight="1">
      <c r="A31" s="1576" t="s">
        <v>1821</v>
      </c>
      <c r="B31" s="773" t="s">
        <v>650</v>
      </c>
      <c r="C31" s="2901">
        <f ca="1">ROUND(IF(AND(项目基本情况!B11="自然人",项目基本情况!B10="北京市"),C6*F31/(1+'数据-取费表'!C42),C32+C33+C34),0)</f>
        <v>97</v>
      </c>
      <c r="D31" s="1891" t="s">
        <v>1783</v>
      </c>
      <c r="E31" s="1889" t="s">
        <v>1784</v>
      </c>
      <c r="F31" s="2900" t="str">
        <f>IF(项目基本情况!B11="企业","——",IF('数据-取费表'!B10="住宅",IF(F6*F7*F8/12/(1+'数据-取费表'!F30)&gt;100000,4%,2.5%),IF(F6*F7*F8/12/(1+'数据-取费表'!F30)&gt;100000,12%,7%)))</f>
        <v>——</v>
      </c>
      <c r="G31" s="1943"/>
      <c r="H31" s="3138" t="s">
        <v>2964</v>
      </c>
      <c r="I31" s="1947"/>
      <c r="J31" s="1948"/>
      <c r="K31" s="1949"/>
      <c r="L31" s="1950"/>
      <c r="M31" s="1951"/>
    </row>
    <row r="32" spans="1:33" ht="18" customHeight="1">
      <c r="A32" s="1575" t="s">
        <v>1822</v>
      </c>
      <c r="B32" s="773" t="s">
        <v>1785</v>
      </c>
      <c r="C32" s="53">
        <f ca="1">ROUND(C6*F32/(1+'数据-取费表'!C42),1)</f>
        <v>30.2</v>
      </c>
      <c r="D32" s="1889" t="s">
        <v>1786</v>
      </c>
      <c r="E32" s="773" t="s">
        <v>1787</v>
      </c>
      <c r="F32" s="798">
        <f>'数据-取费表'!B41</f>
        <v>5.5000000000000007E-2</v>
      </c>
      <c r="G32" s="1943"/>
      <c r="H32" s="1952"/>
      <c r="I32" s="1953"/>
      <c r="J32" s="1954"/>
      <c r="K32" s="1955"/>
      <c r="L32" s="1956"/>
      <c r="M32" s="1957"/>
    </row>
    <row r="33" spans="1:18" ht="18" customHeight="1">
      <c r="A33" s="1575" t="s">
        <v>1823</v>
      </c>
      <c r="B33" s="773" t="s">
        <v>1788</v>
      </c>
      <c r="C33" s="53">
        <f ca="1">IF(D33="按租金收入计税",ROUND(C6*F33/(1+'数据-取费表'!C42),1),IF(D33="按房产原值计税",ROUND(C29*F33*0.7,1),INDIRECT("'数据-取费表'!Aj"&amp;$G$1)))</f>
        <v>65.8</v>
      </c>
      <c r="D33" s="799" t="s">
        <v>3137</v>
      </c>
      <c r="E33" s="773" t="s">
        <v>1787</v>
      </c>
      <c r="F33" s="798">
        <f>IF(D33="按租金收入计税",'数据-取费表'!B51,'数据-取费表'!B50)</f>
        <v>0.12</v>
      </c>
      <c r="G33" s="1943"/>
      <c r="H33" s="1958"/>
      <c r="I33" s="1958"/>
      <c r="J33" s="1958"/>
      <c r="K33" s="1959"/>
      <c r="L33" s="1958"/>
      <c r="M33" s="1958"/>
    </row>
    <row r="34" spans="1:18" ht="18" customHeight="1">
      <c r="A34" s="1578" t="s">
        <v>1824</v>
      </c>
      <c r="B34" s="338" t="s">
        <v>1789</v>
      </c>
      <c r="C34" s="54">
        <f ca="1">ROUND(F34*F35/10000,1)</f>
        <v>1.4</v>
      </c>
      <c r="D34" s="802" t="s">
        <v>1790</v>
      </c>
      <c r="E34" s="773" t="s">
        <v>1791</v>
      </c>
      <c r="F34" s="631">
        <f>'数据-取费表'!B52</f>
        <v>1.5</v>
      </c>
      <c r="G34" s="1943"/>
      <c r="H34" s="1946"/>
      <c r="I34" s="823" t="s">
        <v>1804</v>
      </c>
      <c r="J34" s="824"/>
      <c r="K34" s="1961"/>
      <c r="L34" s="1960"/>
      <c r="M34" s="1960"/>
    </row>
    <row r="35" spans="1:18" ht="18" customHeight="1">
      <c r="A35" s="803"/>
      <c r="B35" s="782"/>
      <c r="C35" s="69"/>
      <c r="D35" s="804"/>
      <c r="E35" s="773" t="s">
        <v>1792</v>
      </c>
      <c r="F35" s="774">
        <f ca="1">INDIRECT("'数据-取费表'!r"&amp;$G$1)</f>
        <v>9019.94</v>
      </c>
      <c r="G35" s="1943"/>
      <c r="H35" s="1946"/>
      <c r="I35" s="825" t="s">
        <v>1805</v>
      </c>
      <c r="J35" s="826">
        <f ca="1">ROUND(C13*J36,0)</f>
        <v>0</v>
      </c>
      <c r="K35" s="1959"/>
      <c r="L35" s="1958"/>
      <c r="M35" s="1958"/>
    </row>
    <row r="36" spans="1:18" ht="18" customHeight="1">
      <c r="A36" s="1576" t="s">
        <v>1880</v>
      </c>
      <c r="B36" s="773" t="s">
        <v>1793</v>
      </c>
      <c r="C36" s="53">
        <f ca="1">ROUND(C29*F36,1)</f>
        <v>37.6</v>
      </c>
      <c r="D36" s="1889" t="s">
        <v>1794</v>
      </c>
      <c r="E36" s="773" t="s">
        <v>1787</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5.6</v>
      </c>
      <c r="D37" s="1889" t="s">
        <v>1795</v>
      </c>
      <c r="E37" s="773" t="s">
        <v>1787</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5.8</v>
      </c>
      <c r="D38" s="2396" t="s">
        <v>1796</v>
      </c>
      <c r="E38" s="2397" t="s">
        <v>1787</v>
      </c>
      <c r="F38" s="2393">
        <f ca="1">INDIRECT("'数据-取费表'!Am"&amp;$G$1)</f>
        <v>0.01</v>
      </c>
      <c r="G38" s="1943"/>
      <c r="H38" s="1958"/>
      <c r="I38" s="831" t="s">
        <v>1808</v>
      </c>
      <c r="J38" s="832"/>
      <c r="K38" s="1963"/>
      <c r="L38" s="1958"/>
      <c r="M38" s="1958"/>
    </row>
    <row r="39" spans="1:18" ht="24.6" customHeight="1" thickTop="1">
      <c r="A39" s="1743" t="s">
        <v>1885</v>
      </c>
      <c r="B39" s="2721" t="s">
        <v>2777</v>
      </c>
      <c r="C39" s="781">
        <f ca="1">C5-C30</f>
        <v>431</v>
      </c>
      <c r="D39" s="2399" t="s">
        <v>1797</v>
      </c>
      <c r="E39" s="2400"/>
      <c r="F39" s="2401"/>
      <c r="G39" s="1943"/>
      <c r="H39" s="1958"/>
      <c r="I39" s="825" t="s">
        <v>1809</v>
      </c>
      <c r="J39" s="833">
        <f ca="1">ROUND(J35/C39,3)</f>
        <v>0</v>
      </c>
      <c r="K39" s="1963"/>
      <c r="L39" s="1958"/>
      <c r="M39" s="1958"/>
    </row>
    <row r="40" spans="1:18" ht="18" customHeight="1">
      <c r="A40" s="770" t="s">
        <v>1886</v>
      </c>
      <c r="B40" s="2110" t="s">
        <v>2286</v>
      </c>
      <c r="C40" s="772">
        <f ca="1">ROUND(C39*(1-((1+F42)/(1+F40))^F41)/(F40-F42),0)</f>
        <v>6762</v>
      </c>
      <c r="D40" s="802" t="s">
        <v>1798</v>
      </c>
      <c r="E40" s="773" t="s">
        <v>2401</v>
      </c>
      <c r="F40" s="783">
        <f ca="1">INDIRECT("'数据-取费表'!I"&amp;$G$1)</f>
        <v>5.5E-2</v>
      </c>
      <c r="G40" s="1943"/>
      <c r="H40" s="1943"/>
      <c r="I40" s="825" t="s">
        <v>1810</v>
      </c>
      <c r="J40" s="833">
        <f ca="1">1-J39</f>
        <v>1</v>
      </c>
      <c r="K40" s="1963"/>
      <c r="L40" s="1943"/>
      <c r="M40" s="1943"/>
    </row>
    <row r="41" spans="1:18" ht="18" customHeight="1">
      <c r="A41" s="775"/>
      <c r="B41" s="776"/>
      <c r="C41" s="777"/>
      <c r="D41" s="809" t="s">
        <v>1799</v>
      </c>
      <c r="E41" s="773" t="s">
        <v>2896</v>
      </c>
      <c r="F41" s="810">
        <f ca="1">IF(INDIRECT("'数据-取费表'!af"&amp;$G$1)=0,INDIRECT("'数据-取费表'!ae"&amp;$G$1),INDIRECT("'数据-取费表'!af"&amp;$G$1))</f>
        <v>37.119999999999997</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f ca="1">ROUND(C13/C40,3)</f>
        <v>0.55600000000000005</v>
      </c>
      <c r="K42" s="1962"/>
      <c r="L42" s="1898"/>
      <c r="M42" s="1898"/>
    </row>
    <row r="43" spans="1:18" ht="18" customHeight="1" thickBot="1">
      <c r="A43" s="811" t="s">
        <v>1778</v>
      </c>
      <c r="B43" s="812" t="s">
        <v>1801</v>
      </c>
      <c r="C43" s="813">
        <f ca="1">ROUND(C40*10000/F43,0)</f>
        <v>6942</v>
      </c>
      <c r="D43" s="814" t="s">
        <v>1802</v>
      </c>
      <c r="E43" s="815" t="s">
        <v>1803</v>
      </c>
      <c r="F43" s="816">
        <f ca="1">INDIRECT("'数据-取费表'!k"&amp;$G$1)</f>
        <v>9740.7800000000007</v>
      </c>
      <c r="G43" s="1943"/>
      <c r="H43" s="1898"/>
      <c r="I43" s="835" t="s">
        <v>1813</v>
      </c>
      <c r="J43" s="836">
        <f ca="1">1-J42</f>
        <v>0.44399999999999995</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-7452</v>
      </c>
      <c r="D46" s="3142"/>
      <c r="E46" s="3142"/>
      <c r="F46" s="3142"/>
      <c r="I46" s="2231" t="s">
        <v>2325</v>
      </c>
      <c r="J46" s="2232"/>
      <c r="K46" s="2233"/>
      <c r="L46" s="2808">
        <f>IF(OR(M47="住宅",D1="土地（套用方法）"),0,IF(L48&gt;J51,L60,J60))</f>
        <v>0</v>
      </c>
      <c r="M46" s="3143"/>
      <c r="O46" s="2247" t="s">
        <v>2392</v>
      </c>
      <c r="P46" s="1525"/>
      <c r="Q46" s="1533"/>
      <c r="R46" s="1525"/>
    </row>
    <row r="47" spans="1:18" s="1940" customFormat="1" ht="18" customHeight="1" thickBot="1">
      <c r="A47" s="2225">
        <v>1</v>
      </c>
      <c r="B47" s="2226" t="s">
        <v>629</v>
      </c>
      <c r="C47" s="2424">
        <f ca="1">C48+C52+C54</f>
        <v>0</v>
      </c>
      <c r="D47" s="3142"/>
      <c r="E47" s="3142"/>
      <c r="F47" s="3142"/>
      <c r="I47" s="2799" t="s">
        <v>2326</v>
      </c>
      <c r="J47" s="2234" t="s">
        <v>3138</v>
      </c>
      <c r="K47" s="2805" t="s">
        <v>2331</v>
      </c>
      <c r="L47" s="2809">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630</v>
      </c>
      <c r="E48" s="2229" t="s">
        <v>2281</v>
      </c>
      <c r="F48" s="2230"/>
      <c r="G48" s="1970"/>
      <c r="I48" s="2796" t="s">
        <v>2327</v>
      </c>
      <c r="J48" s="2235" t="s">
        <v>2332</v>
      </c>
      <c r="K48" s="2806" t="s">
        <v>2333</v>
      </c>
      <c r="L48" s="1820">
        <f ca="1">INDIRECT("'数据-取费表'!f"&amp;$G$1)</f>
        <v>38.119999999999997</v>
      </c>
      <c r="M48" s="3143"/>
      <c r="O48" s="2251" t="s">
        <v>2361</v>
      </c>
      <c r="P48" s="2252" t="s">
        <v>2387</v>
      </c>
      <c r="Q48" s="2253">
        <f ca="1">C40+J29</f>
        <v>6762</v>
      </c>
      <c r="R48" s="2252" t="s">
        <v>2362</v>
      </c>
    </row>
    <row r="49" spans="1:18" s="1940" customFormat="1" ht="18" customHeight="1" thickBot="1">
      <c r="A49" s="775"/>
      <c r="B49" s="776"/>
      <c r="C49" s="777"/>
      <c r="D49" s="778"/>
      <c r="E49" s="773" t="s">
        <v>1730</v>
      </c>
      <c r="F49" s="774">
        <f ca="1">F7</f>
        <v>9740.7800000000007</v>
      </c>
      <c r="G49" s="1970"/>
      <c r="H49" s="1973"/>
      <c r="I49" s="2796" t="s">
        <v>2328</v>
      </c>
      <c r="J49" s="2236">
        <v>2021</v>
      </c>
      <c r="K49" s="2807" t="s">
        <v>2334</v>
      </c>
      <c r="L49" s="2237"/>
      <c r="M49" s="3143"/>
      <c r="O49" s="2251" t="s">
        <v>2363</v>
      </c>
      <c r="P49" s="2252" t="s">
        <v>2388</v>
      </c>
      <c r="Q49" s="2253" t="str">
        <f ca="1">J60</f>
        <v>0</v>
      </c>
      <c r="R49" s="2252" t="s">
        <v>2364</v>
      </c>
    </row>
    <row r="50" spans="1:18" s="1940" customFormat="1" ht="18" customHeight="1" thickBot="1">
      <c r="A50" s="775"/>
      <c r="B50" s="776"/>
      <c r="C50" s="777"/>
      <c r="D50" s="778"/>
      <c r="E50" s="773" t="s">
        <v>1731</v>
      </c>
      <c r="F50" s="774">
        <f ca="1">F8</f>
        <v>365</v>
      </c>
      <c r="G50" s="1975"/>
      <c r="H50" s="1973"/>
      <c r="I50" s="2796" t="s">
        <v>2329</v>
      </c>
      <c r="J50" s="2803">
        <f>SUMPRODUCT((I63:I65=J47)*(J62:L62=J48)*(J63:L65))</f>
        <v>60</v>
      </c>
      <c r="K50" s="2807" t="s">
        <v>2335</v>
      </c>
      <c r="L50" s="2237"/>
      <c r="M50" s="3143"/>
      <c r="O50" s="2254" t="s">
        <v>2365</v>
      </c>
      <c r="P50" s="2252" t="s">
        <v>2389</v>
      </c>
      <c r="Q50" s="2253">
        <f ca="1">C29</f>
        <v>3763</v>
      </c>
      <c r="R50" s="2252" t="s">
        <v>2362</v>
      </c>
    </row>
    <row r="51" spans="1:18" s="1940" customFormat="1" ht="18" customHeight="1" thickBot="1">
      <c r="A51" s="775"/>
      <c r="B51" s="776"/>
      <c r="C51" s="777"/>
      <c r="D51" s="778"/>
      <c r="E51" s="773" t="s">
        <v>634</v>
      </c>
      <c r="F51" s="2224"/>
      <c r="H51" s="1973"/>
      <c r="I51" s="2800" t="s">
        <v>2330</v>
      </c>
      <c r="J51" s="2804">
        <f>IF(J49="",J50,J49+J50-YEAR('数据-取费表'!B2))</f>
        <v>60</v>
      </c>
      <c r="K51" s="2796" t="s">
        <v>2336</v>
      </c>
      <c r="L51" s="2810">
        <f ca="1">ROUND(-PV(INDIRECT("'数据-取费表'!h"&amp;$G$1),J51,(C39-C13*J36),0),0)</f>
        <v>8159</v>
      </c>
      <c r="M51" s="3143"/>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2906</v>
      </c>
      <c r="E52" s="2349" t="s">
        <v>2443</v>
      </c>
      <c r="F52" s="2463"/>
      <c r="I52" s="2801" t="s">
        <v>2403</v>
      </c>
      <c r="J52" s="2238"/>
      <c r="K52" s="2801" t="s">
        <v>2402</v>
      </c>
      <c r="L52" s="2238"/>
      <c r="M52" s="3143"/>
      <c r="O52" s="2254" t="s">
        <v>2368</v>
      </c>
      <c r="P52" s="2252" t="s">
        <v>2369</v>
      </c>
      <c r="Q52" s="2255">
        <f>J52</f>
        <v>0</v>
      </c>
      <c r="R52" s="2256"/>
    </row>
    <row r="53" spans="1:18" s="1940" customFormat="1" ht="39.75" customHeight="1" thickBot="1">
      <c r="A53" s="775"/>
      <c r="B53" s="2346" t="s">
        <v>2552</v>
      </c>
      <c r="C53" s="2350"/>
      <c r="D53" s="2352"/>
      <c r="E53" s="2349"/>
      <c r="F53" s="789"/>
      <c r="I53" s="2802" t="s">
        <v>2909</v>
      </c>
      <c r="J53" s="2855">
        <f ca="1">IF(M47="住宅",IF(D1="——",MAX(J51,L48),MAX(J51,L48-'数据-取费表'!B20)),IF(D1="——",MIN(J51,L48),MIN(J51,L48-'数据-取费表'!B20)))</f>
        <v>37.119999999999997</v>
      </c>
      <c r="K53" s="3579" t="s">
        <v>2898</v>
      </c>
      <c r="L53" s="3580"/>
      <c r="M53" s="3143"/>
      <c r="O53" s="2254" t="s">
        <v>2370</v>
      </c>
      <c r="P53" s="2252" t="s">
        <v>2371</v>
      </c>
      <c r="Q53" s="2253">
        <f ca="1">J53</f>
        <v>37.119999999999997</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143"/>
      <c r="O54" s="2251" t="s">
        <v>2373</v>
      </c>
      <c r="P54" s="2252" t="s">
        <v>2390</v>
      </c>
      <c r="Q54" s="2253">
        <f ca="1">Q48+Q49</f>
        <v>6762</v>
      </c>
      <c r="R54" s="2256" t="s">
        <v>2374</v>
      </c>
    </row>
    <row r="55" spans="1:18" s="1940" customFormat="1" ht="18" customHeight="1" thickTop="1" thickBot="1">
      <c r="A55" s="786">
        <v>2</v>
      </c>
      <c r="B55" s="787" t="s">
        <v>638</v>
      </c>
      <c r="C55" s="788">
        <f ca="1">C13</f>
        <v>3763</v>
      </c>
      <c r="D55" s="784"/>
      <c r="E55" s="784"/>
      <c r="F55" s="789"/>
      <c r="I55" s="2813" t="s">
        <v>2337</v>
      </c>
      <c r="J55" s="2785" t="e">
        <f ca="1">ROUND(IF(J47="钢混",J57/J50,1-(1-2%)*(J50-J57)/J50),3)</f>
        <v>#VALUE!</v>
      </c>
      <c r="K55" s="2814" t="s">
        <v>2338</v>
      </c>
      <c r="L55" s="2239"/>
      <c r="M55" s="3143"/>
      <c r="O55" s="2257" t="s">
        <v>2393</v>
      </c>
      <c r="P55" s="1525"/>
      <c r="Q55" s="1533"/>
      <c r="R55" s="1525"/>
    </row>
    <row r="56" spans="1:18" s="1940" customFormat="1" ht="42.75" customHeight="1" thickBot="1">
      <c r="A56" s="1577"/>
      <c r="B56" s="2109" t="s">
        <v>2287</v>
      </c>
      <c r="C56" s="53">
        <f ca="1">C29</f>
        <v>3763</v>
      </c>
      <c r="D56" s="2479"/>
      <c r="E56" s="773"/>
      <c r="F56" s="798"/>
      <c r="I56" s="2815" t="s">
        <v>2339</v>
      </c>
      <c r="J56" s="2825" t="s">
        <v>1669</v>
      </c>
      <c r="K56" s="2796" t="s">
        <v>2344</v>
      </c>
      <c r="L56" s="1820" t="str">
        <f ca="1">IF(L48&lt;J51,"——",L48-J51)</f>
        <v>——</v>
      </c>
      <c r="M56" s="3143"/>
      <c r="O56" s="2248" t="s">
        <v>2357</v>
      </c>
      <c r="P56" s="2249" t="s">
        <v>2358</v>
      </c>
      <c r="Q56" s="2250" t="s">
        <v>2359</v>
      </c>
      <c r="R56" s="2249" t="s">
        <v>2360</v>
      </c>
    </row>
    <row r="57" spans="1:18" s="1940" customFormat="1" ht="28.5" customHeight="1" thickBot="1">
      <c r="A57" s="786" t="s">
        <v>1739</v>
      </c>
      <c r="B57" s="787" t="s">
        <v>645</v>
      </c>
      <c r="C57" s="788">
        <f ca="1">ROUND(C58+C63+C64+C65,0)</f>
        <v>44</v>
      </c>
      <c r="D57" s="26" t="s">
        <v>1741</v>
      </c>
      <c r="E57" s="2480"/>
      <c r="F57" s="56"/>
      <c r="I57" s="2816" t="s">
        <v>2340</v>
      </c>
      <c r="J57" s="2817" t="str">
        <f ca="1">IF(OR(M47="住宅",J51&lt;L48,J56="是"),"——",J51-L48)</f>
        <v>——</v>
      </c>
      <c r="K57" s="2796" t="s">
        <v>2345</v>
      </c>
      <c r="L57" s="1820" t="str">
        <f ca="1">IF(L48&lt;J51,"——",IF(L55="比较法",L49,IF(L55="基准地价",L50,L51)))</f>
        <v>——</v>
      </c>
      <c r="M57" s="3143"/>
      <c r="O57" s="2251" t="s">
        <v>2361</v>
      </c>
      <c r="P57" s="2252" t="s">
        <v>2391</v>
      </c>
      <c r="Q57" s="2253">
        <f ca="1">C40+J29</f>
        <v>6762</v>
      </c>
      <c r="R57" s="2252" t="s">
        <v>2362</v>
      </c>
    </row>
    <row r="58" spans="1:18" s="1940" customFormat="1" ht="28.5" customHeight="1" thickBot="1">
      <c r="A58" s="1576" t="s">
        <v>1815</v>
      </c>
      <c r="B58" s="773" t="s">
        <v>650</v>
      </c>
      <c r="C58" s="2901">
        <f ca="1">ROUND(IF(AND(项目基本情况!B11="自然人",项目基本情况!B10="北京市"),C48*F58/(1+'数据-取费表'!C42),C59+C60+C61),0)</f>
        <v>1</v>
      </c>
      <c r="D58" s="2478" t="s">
        <v>651</v>
      </c>
      <c r="E58" s="2479" t="s">
        <v>684</v>
      </c>
      <c r="F58" s="2900"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143"/>
      <c r="O58" s="2251" t="s">
        <v>2363</v>
      </c>
      <c r="P58" s="2252" t="s">
        <v>2394</v>
      </c>
      <c r="Q58" s="2253">
        <f ca="1">L60</f>
        <v>0</v>
      </c>
      <c r="R58" s="2256" t="s">
        <v>2396</v>
      </c>
    </row>
    <row r="59" spans="1:18" s="1940" customFormat="1" ht="28.5" customHeight="1" thickBot="1">
      <c r="A59" s="1575" t="s">
        <v>1822</v>
      </c>
      <c r="B59" s="773" t="s">
        <v>654</v>
      </c>
      <c r="C59" s="53">
        <f ca="1">ROUND(C47*F59/1.05,1)</f>
        <v>0</v>
      </c>
      <c r="D59" s="2479" t="s">
        <v>1747</v>
      </c>
      <c r="E59" s="773" t="s">
        <v>1738</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143"/>
      <c r="O59" s="2254" t="s">
        <v>2365</v>
      </c>
      <c r="P59" s="2252" t="s">
        <v>2395</v>
      </c>
      <c r="Q59" s="2253">
        <f>IF(L55="比较法",L49,IF(L55="基准地价",L50,0))</f>
        <v>0</v>
      </c>
      <c r="R59" s="2252" t="s">
        <v>2362</v>
      </c>
    </row>
    <row r="60" spans="1:18" s="1940" customFormat="1" ht="18" customHeight="1" thickBot="1">
      <c r="A60" s="1575" t="s">
        <v>1823</v>
      </c>
      <c r="B60" s="773" t="s">
        <v>1749</v>
      </c>
      <c r="C60" s="53">
        <f ca="1">IF(D60="按租金收入计税",ROUND(C47*F60,1),IF(D60="按房产原值计税",ROUND(C56*F60*0.7,1),INDIRECT("'数据-取费表'!Aj"&amp;$G$1)))</f>
        <v>0</v>
      </c>
      <c r="D60" s="2479" t="str">
        <f>D33</f>
        <v>按租金收入计税</v>
      </c>
      <c r="E60" s="773" t="s">
        <v>1738</v>
      </c>
      <c r="F60" s="798">
        <f t="shared" si="0"/>
        <v>0.12</v>
      </c>
      <c r="I60" s="2818" t="s">
        <v>2343</v>
      </c>
      <c r="J60" s="2819" t="str">
        <f ca="1">IF(OR(M47="住宅",J51&lt;L48,J56="是"),"0",ROUND(J59/(1+J52)^J53,0))</f>
        <v>0</v>
      </c>
      <c r="K60" s="2820" t="s">
        <v>2348</v>
      </c>
      <c r="L60" s="2819">
        <f ca="1">IF(OR(M47="住宅",L48&lt;J51),0,ROUND(L57*(L58/L59-1),0))</f>
        <v>0</v>
      </c>
      <c r="M60" s="3143"/>
      <c r="O60" s="2254" t="s">
        <v>2366</v>
      </c>
      <c r="P60" s="2252" t="s">
        <v>2375</v>
      </c>
      <c r="Q60" s="2255">
        <f>L52</f>
        <v>0</v>
      </c>
      <c r="R60" s="2256"/>
    </row>
    <row r="61" spans="1:18" s="1940" customFormat="1" ht="18" customHeight="1" thickBot="1">
      <c r="A61" s="1578" t="s">
        <v>1824</v>
      </c>
      <c r="B61" s="338" t="s">
        <v>662</v>
      </c>
      <c r="C61" s="54">
        <f ca="1">ROUND(F61*F62/10000,1)</f>
        <v>1.4</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9019.94</v>
      </c>
      <c r="I62" s="2821" t="s">
        <v>2349</v>
      </c>
      <c r="J62" s="2822" t="s">
        <v>2350</v>
      </c>
      <c r="K62" s="2822" t="s">
        <v>2351</v>
      </c>
      <c r="L62" s="2822" t="s">
        <v>2332</v>
      </c>
      <c r="M62" s="2823" t="s">
        <v>2881</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37.6</v>
      </c>
      <c r="D63" s="2479" t="s">
        <v>1794</v>
      </c>
      <c r="E63" s="773" t="s">
        <v>1738</v>
      </c>
      <c r="F63" s="805">
        <f t="shared" ca="1" si="0"/>
        <v>0.01</v>
      </c>
      <c r="I63" s="2821" t="s">
        <v>2352</v>
      </c>
      <c r="J63" s="2822">
        <v>70</v>
      </c>
      <c r="K63" s="2822">
        <v>50</v>
      </c>
      <c r="L63" s="2822">
        <v>80</v>
      </c>
      <c r="M63" s="2824">
        <v>0.02</v>
      </c>
      <c r="O63" s="2251" t="s">
        <v>2373</v>
      </c>
      <c r="P63" s="2252" t="s">
        <v>2390</v>
      </c>
      <c r="Q63" s="2253">
        <f ca="1">Q57+Q58</f>
        <v>6762</v>
      </c>
      <c r="R63" s="2256" t="s">
        <v>2374</v>
      </c>
    </row>
    <row r="64" spans="1:18" s="1940" customFormat="1" ht="16.5" thickBot="1">
      <c r="A64" s="1576" t="s">
        <v>1881</v>
      </c>
      <c r="B64" s="773" t="s">
        <v>673</v>
      </c>
      <c r="C64" s="53">
        <f ca="1">ROUND(C55*F64,1)</f>
        <v>5.6</v>
      </c>
      <c r="D64" s="2479" t="s">
        <v>674</v>
      </c>
      <c r="E64" s="773" t="s">
        <v>1738</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2479" t="s">
        <v>677</v>
      </c>
      <c r="E65" s="773" t="s">
        <v>1738</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2777</v>
      </c>
      <c r="C66" s="788">
        <f ca="1">C47-C57</f>
        <v>-44</v>
      </c>
      <c r="D66" s="2478" t="s">
        <v>694</v>
      </c>
      <c r="E66" s="2477"/>
      <c r="F66" s="808"/>
      <c r="K66" s="1966"/>
      <c r="O66" s="2251" t="s">
        <v>2361</v>
      </c>
      <c r="P66" s="2252" t="s">
        <v>2391</v>
      </c>
      <c r="Q66" s="2253">
        <f ca="1">C40+J29</f>
        <v>6762</v>
      </c>
      <c r="R66" s="2252" t="s">
        <v>2362</v>
      </c>
    </row>
    <row r="67" spans="1:18" s="1940" customFormat="1" ht="20.25" thickBot="1">
      <c r="A67" s="770" t="s">
        <v>1771</v>
      </c>
      <c r="B67" s="2110" t="s">
        <v>2286</v>
      </c>
      <c r="C67" s="772">
        <f ca="1">ROUND(C66*(1-((1+F69)/(1+F67))^F68)/(F67-F69),0)</f>
        <v>-690</v>
      </c>
      <c r="D67" s="802" t="s">
        <v>698</v>
      </c>
      <c r="E67" s="773" t="s">
        <v>699</v>
      </c>
      <c r="F67" s="783">
        <f ca="1">F40</f>
        <v>5.5E-2</v>
      </c>
      <c r="K67" s="1966"/>
      <c r="O67" s="2251" t="s">
        <v>2363</v>
      </c>
      <c r="P67" s="2252" t="s">
        <v>2394</v>
      </c>
      <c r="Q67" s="2253">
        <f ca="1">L60</f>
        <v>0</v>
      </c>
      <c r="R67" s="2256" t="s">
        <v>2396</v>
      </c>
    </row>
    <row r="68" spans="1:18" ht="21.75" thickBot="1">
      <c r="A68" s="775"/>
      <c r="B68" s="776"/>
      <c r="C68" s="777"/>
      <c r="D68" s="809" t="s">
        <v>1799</v>
      </c>
      <c r="E68" s="773" t="s">
        <v>1775</v>
      </c>
      <c r="F68" s="810">
        <f ca="1">F41</f>
        <v>37.119999999999997</v>
      </c>
      <c r="O68" s="2254" t="s">
        <v>2365</v>
      </c>
      <c r="P68" s="2252" t="s">
        <v>2395</v>
      </c>
      <c r="Q68" s="2258">
        <f ca="1">L51</f>
        <v>8159</v>
      </c>
      <c r="R68" s="2259" t="s">
        <v>2398</v>
      </c>
    </row>
    <row r="69" spans="1:18" ht="20.25" thickBot="1">
      <c r="A69" s="779"/>
      <c r="B69" s="780"/>
      <c r="C69" s="781"/>
      <c r="D69" s="804"/>
      <c r="E69" s="773" t="s">
        <v>704</v>
      </c>
      <c r="F69" s="2224"/>
      <c r="O69" s="2254" t="s">
        <v>2366</v>
      </c>
      <c r="P69" s="2260" t="s">
        <v>2380</v>
      </c>
      <c r="Q69" s="2253">
        <f ca="1">ROUND(Q70-Q71*Q72,0)</f>
        <v>431</v>
      </c>
      <c r="R69" s="2256"/>
    </row>
    <row r="70" spans="1:18" ht="15.75" thickBot="1">
      <c r="A70" s="811" t="s">
        <v>1778</v>
      </c>
      <c r="B70" s="812" t="s">
        <v>1801</v>
      </c>
      <c r="C70" s="813">
        <f ca="1">ROUND(C67*10000/F70,0)</f>
        <v>-708</v>
      </c>
      <c r="D70" s="814" t="s">
        <v>1802</v>
      </c>
      <c r="E70" s="815" t="s">
        <v>1803</v>
      </c>
      <c r="F70" s="816">
        <f ca="1">F43</f>
        <v>9740.7800000000007</v>
      </c>
      <c r="O70" s="2254" t="s">
        <v>2381</v>
      </c>
      <c r="P70" s="2260" t="s">
        <v>2382</v>
      </c>
      <c r="Q70" s="2253">
        <f ca="1">C39</f>
        <v>431</v>
      </c>
      <c r="R70" s="2252" t="s">
        <v>2362</v>
      </c>
    </row>
    <row r="71" spans="1:18" ht="15.75" thickBot="1">
      <c r="O71" s="2254" t="s">
        <v>2383</v>
      </c>
      <c r="P71" s="2260" t="s">
        <v>2384</v>
      </c>
      <c r="Q71" s="2253">
        <f ca="1">C13</f>
        <v>3763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6762</v>
      </c>
      <c r="R76" s="2256"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1" t="s">
        <v>2450</v>
      </c>
      <c r="B1" s="3582"/>
      <c r="C1" s="3583"/>
      <c r="D1" s="3584">
        <f>SUM(I10,I15,I20,I21,I23)</f>
        <v>0</v>
      </c>
      <c r="E1" s="3584"/>
      <c r="F1" s="3584"/>
      <c r="G1" s="3584"/>
      <c r="H1" s="3584"/>
      <c r="I1" s="3585"/>
    </row>
    <row r="2" spans="1:9">
      <c r="A2" s="3586" t="s">
        <v>2451</v>
      </c>
      <c r="B2" s="3587" t="s">
        <v>2452</v>
      </c>
      <c r="C2" s="3587"/>
      <c r="D2" s="2358" t="s">
        <v>2453</v>
      </c>
      <c r="E2" s="2358" t="s">
        <v>2454</v>
      </c>
      <c r="F2" s="2358" t="s">
        <v>2455</v>
      </c>
      <c r="G2" s="2358" t="s">
        <v>2456</v>
      </c>
      <c r="H2" s="2358" t="s">
        <v>2457</v>
      </c>
      <c r="I2" s="2359" t="s">
        <v>2458</v>
      </c>
    </row>
    <row r="3" spans="1:9">
      <c r="A3" s="3586"/>
      <c r="B3" s="3587" t="s">
        <v>2459</v>
      </c>
      <c r="C3" s="3587"/>
      <c r="D3" s="2360"/>
      <c r="E3" s="2358"/>
      <c r="F3" s="2361"/>
      <c r="G3" s="2361"/>
      <c r="H3" s="2362"/>
      <c r="I3" s="2363">
        <f>ROUND(D3*E3*F3*G3*H3/10000,0)</f>
        <v>0</v>
      </c>
    </row>
    <row r="4" spans="1:9">
      <c r="A4" s="3586"/>
      <c r="B4" s="3587" t="s">
        <v>2460</v>
      </c>
      <c r="C4" s="3587"/>
      <c r="D4" s="2360"/>
      <c r="E4" s="2358"/>
      <c r="F4" s="2361"/>
      <c r="G4" s="2361"/>
      <c r="H4" s="2362"/>
      <c r="I4" s="2363">
        <f t="shared" ref="I4:I9" si="0">ROUND(D4*E4*F4*G4*H4/10000,0)</f>
        <v>0</v>
      </c>
    </row>
    <row r="5" spans="1:9">
      <c r="A5" s="3586"/>
      <c r="B5" s="3587" t="s">
        <v>2461</v>
      </c>
      <c r="C5" s="3587"/>
      <c r="D5" s="2360"/>
      <c r="E5" s="2358"/>
      <c r="F5" s="2361"/>
      <c r="G5" s="2361"/>
      <c r="H5" s="2362"/>
      <c r="I5" s="2363">
        <f t="shared" si="0"/>
        <v>0</v>
      </c>
    </row>
    <row r="6" spans="1:9">
      <c r="A6" s="3586"/>
      <c r="B6" s="3587" t="s">
        <v>2462</v>
      </c>
      <c r="C6" s="3587"/>
      <c r="D6" s="2360"/>
      <c r="E6" s="2358"/>
      <c r="F6" s="2361"/>
      <c r="G6" s="2361"/>
      <c r="H6" s="2362"/>
      <c r="I6" s="2363">
        <f t="shared" si="0"/>
        <v>0</v>
      </c>
    </row>
    <row r="7" spans="1:9">
      <c r="A7" s="3586"/>
      <c r="B7" s="3587" t="s">
        <v>2463</v>
      </c>
      <c r="C7" s="3587"/>
      <c r="D7" s="2360"/>
      <c r="E7" s="2358"/>
      <c r="F7" s="2361"/>
      <c r="G7" s="2361"/>
      <c r="H7" s="2362"/>
      <c r="I7" s="2363">
        <f t="shared" si="0"/>
        <v>0</v>
      </c>
    </row>
    <row r="8" spans="1:9">
      <c r="A8" s="3586"/>
      <c r="B8" s="3587" t="s">
        <v>2464</v>
      </c>
      <c r="C8" s="3587"/>
      <c r="D8" s="2360"/>
      <c r="E8" s="2358"/>
      <c r="F8" s="2361"/>
      <c r="G8" s="2361"/>
      <c r="H8" s="2362"/>
      <c r="I8" s="2363">
        <f t="shared" si="0"/>
        <v>0</v>
      </c>
    </row>
    <row r="9" spans="1:9">
      <c r="A9" s="3586"/>
      <c r="B9" s="3587" t="s">
        <v>2465</v>
      </c>
      <c r="C9" s="3587"/>
      <c r="D9" s="2360"/>
      <c r="E9" s="2358"/>
      <c r="F9" s="2361"/>
      <c r="G9" s="2361"/>
      <c r="H9" s="2362"/>
      <c r="I9" s="2363">
        <f t="shared" si="0"/>
        <v>0</v>
      </c>
    </row>
    <row r="10" spans="1:9">
      <c r="A10" s="3586"/>
      <c r="B10" s="3588" t="s">
        <v>2466</v>
      </c>
      <c r="C10" s="3588"/>
      <c r="D10" s="2364">
        <v>527</v>
      </c>
      <c r="E10" s="2364" t="e">
        <f>ROUND(D1*10000/D10/H9,0)</f>
        <v>#DIV/0!</v>
      </c>
      <c r="F10" s="2365"/>
      <c r="G10" s="2365"/>
      <c r="H10" s="2366"/>
      <c r="I10" s="2367">
        <f>SUM(I3:I9)</f>
        <v>0</v>
      </c>
    </row>
    <row r="11" spans="1:9" ht="14.25">
      <c r="A11" s="3586" t="s">
        <v>2467</v>
      </c>
      <c r="B11" s="3587" t="s">
        <v>2468</v>
      </c>
      <c r="C11" s="3587"/>
      <c r="D11" s="2360" t="s">
        <v>2469</v>
      </c>
      <c r="E11" s="2360" t="s">
        <v>2470</v>
      </c>
      <c r="F11" s="2361" t="s">
        <v>2471</v>
      </c>
      <c r="G11" s="2361" t="s">
        <v>2472</v>
      </c>
      <c r="H11" s="2368" t="s">
        <v>2473</v>
      </c>
      <c r="I11" s="2359" t="s">
        <v>2474</v>
      </c>
    </row>
    <row r="12" spans="1:9">
      <c r="A12" s="3586"/>
      <c r="B12" s="3587" t="s">
        <v>2475</v>
      </c>
      <c r="C12" s="3587"/>
      <c r="D12" s="2360"/>
      <c r="E12" s="2360"/>
      <c r="F12" s="2361"/>
      <c r="G12" s="2362"/>
      <c r="H12" s="2369"/>
      <c r="I12" s="2359">
        <f>ROUND(D12*E12*F12*G12/10000,0)</f>
        <v>0</v>
      </c>
    </row>
    <row r="13" spans="1:9">
      <c r="A13" s="3586"/>
      <c r="B13" s="3587" t="s">
        <v>2476</v>
      </c>
      <c r="C13" s="3587"/>
      <c r="D13" s="2360"/>
      <c r="E13" s="2360"/>
      <c r="F13" s="2361"/>
      <c r="G13" s="2362"/>
      <c r="H13" s="2369"/>
      <c r="I13" s="2359">
        <f>ROUND(D13*E13*F13*G13/10000,0)</f>
        <v>0</v>
      </c>
    </row>
    <row r="14" spans="1:9">
      <c r="A14" s="3586"/>
      <c r="B14" s="3587" t="s">
        <v>2477</v>
      </c>
      <c r="C14" s="3587"/>
      <c r="D14" s="2360"/>
      <c r="E14" s="2360"/>
      <c r="F14" s="2361"/>
      <c r="G14" s="2362"/>
      <c r="H14" s="2369"/>
      <c r="I14" s="2359">
        <f>ROUND(D14*E14*F14*G14/10000,0)</f>
        <v>0</v>
      </c>
    </row>
    <row r="15" spans="1:9">
      <c r="A15" s="3586"/>
      <c r="B15" s="3588" t="s">
        <v>2466</v>
      </c>
      <c r="C15" s="3588"/>
      <c r="D15" s="2364"/>
      <c r="E15" s="2364">
        <f>SUM(E12:E14)</f>
        <v>0</v>
      </c>
      <c r="F15" s="2365"/>
      <c r="G15" s="2362"/>
      <c r="H15" s="2369"/>
      <c r="I15" s="2370">
        <f>SUM(I12:I14)</f>
        <v>0</v>
      </c>
    </row>
    <row r="16" spans="1:9" ht="24">
      <c r="A16" s="3586" t="s">
        <v>2478</v>
      </c>
      <c r="B16" s="3587" t="s">
        <v>2479</v>
      </c>
      <c r="C16" s="3587"/>
      <c r="D16" s="2360" t="s">
        <v>2480</v>
      </c>
      <c r="E16" s="2371" t="s">
        <v>2481</v>
      </c>
      <c r="F16" s="2361" t="s">
        <v>2482</v>
      </c>
      <c r="G16" s="2362" t="s">
        <v>2472</v>
      </c>
      <c r="H16" s="2368" t="s">
        <v>2473</v>
      </c>
      <c r="I16" s="2359" t="s">
        <v>2474</v>
      </c>
    </row>
    <row r="17" spans="1:9" ht="14.25">
      <c r="A17" s="3586"/>
      <c r="B17" s="3587" t="s">
        <v>2483</v>
      </c>
      <c r="C17" s="3587"/>
      <c r="D17" s="2360"/>
      <c r="E17" s="2360"/>
      <c r="F17" s="2361"/>
      <c r="G17" s="2362"/>
      <c r="H17" s="2372"/>
      <c r="I17" s="2373">
        <f>ROUND(D17*E17*F17*G17/10000,0)</f>
        <v>0</v>
      </c>
    </row>
    <row r="18" spans="1:9" ht="14.25">
      <c r="A18" s="3586"/>
      <c r="B18" s="3587" t="s">
        <v>2484</v>
      </c>
      <c r="C18" s="3587"/>
      <c r="D18" s="2360"/>
      <c r="E18" s="2360"/>
      <c r="F18" s="2361"/>
      <c r="G18" s="2362"/>
      <c r="H18" s="2372"/>
      <c r="I18" s="2373">
        <f>ROUND(D18*E18*F18*G18/10000,0)</f>
        <v>0</v>
      </c>
    </row>
    <row r="19" spans="1:9" ht="14.25">
      <c r="A19" s="3586"/>
      <c r="B19" s="3587" t="s">
        <v>2485</v>
      </c>
      <c r="C19" s="3587"/>
      <c r="D19" s="2360"/>
      <c r="E19" s="2360"/>
      <c r="F19" s="2361"/>
      <c r="G19" s="2362"/>
      <c r="H19" s="2372"/>
      <c r="I19" s="2373">
        <f>ROUND(D19*E19*F19*G19/10000,0)</f>
        <v>0</v>
      </c>
    </row>
    <row r="20" spans="1:9">
      <c r="A20" s="3586"/>
      <c r="B20" s="3588" t="s">
        <v>2466</v>
      </c>
      <c r="C20" s="3588"/>
      <c r="D20" s="2364">
        <f>SUM(D17:D19)</f>
        <v>0</v>
      </c>
      <c r="E20" s="2364"/>
      <c r="F20" s="2365"/>
      <c r="G20" s="2362"/>
      <c r="H20" s="2369"/>
      <c r="I20" s="2370">
        <f>SUM(I17:I19)</f>
        <v>0</v>
      </c>
    </row>
    <row r="21" spans="1:9">
      <c r="A21" s="3586" t="s">
        <v>2486</v>
      </c>
      <c r="B21" s="3590"/>
      <c r="C21" s="3590"/>
      <c r="D21" s="3590"/>
      <c r="E21" s="3590"/>
      <c r="F21" s="3590"/>
      <c r="G21" s="3590"/>
      <c r="H21" s="2374">
        <v>0.1</v>
      </c>
      <c r="I21" s="2367">
        <f>ROUND(I10*H21,0)</f>
        <v>0</v>
      </c>
    </row>
    <row r="22" spans="1:9" ht="14.25">
      <c r="A22" s="3591" t="s">
        <v>2487</v>
      </c>
      <c r="B22" s="3592"/>
      <c r="C22" s="3593"/>
      <c r="D22" s="2375" t="s">
        <v>2488</v>
      </c>
      <c r="E22" s="2375" t="s">
        <v>2489</v>
      </c>
      <c r="F22" s="2376" t="s">
        <v>2490</v>
      </c>
      <c r="G22" s="2376" t="s">
        <v>2491</v>
      </c>
      <c r="H22" s="2368" t="s">
        <v>2492</v>
      </c>
      <c r="I22" s="2359" t="s">
        <v>2493</v>
      </c>
    </row>
    <row r="23" spans="1:9" ht="14.25" thickBot="1">
      <c r="A23" s="3594"/>
      <c r="B23" s="3595"/>
      <c r="C23" s="3596"/>
      <c r="D23" s="2377"/>
      <c r="E23" s="2377"/>
      <c r="F23" s="2377"/>
      <c r="G23" s="2378"/>
      <c r="H23" s="2379"/>
      <c r="I23" s="2380">
        <f>ROUND(E23*D23*F23*(1-G23)/10000,0)</f>
        <v>0</v>
      </c>
    </row>
    <row r="26" spans="1:9">
      <c r="A26" s="2381" t="s">
        <v>2494</v>
      </c>
      <c r="B26" s="2381"/>
      <c r="C26" s="2381"/>
      <c r="D26" s="2381"/>
      <c r="E26" s="3597">
        <f>C27-C30-C31-C32</f>
        <v>0</v>
      </c>
      <c r="F26" s="3597"/>
      <c r="G26" s="3597"/>
      <c r="H26" s="2754" t="s">
        <v>2798</v>
      </c>
    </row>
    <row r="27" spans="1:9">
      <c r="A27" s="2382">
        <v>1</v>
      </c>
      <c r="B27" s="2383" t="s">
        <v>2495</v>
      </c>
      <c r="C27" s="2383"/>
      <c r="D27" s="2383"/>
      <c r="E27" s="3598"/>
      <c r="F27" s="3598"/>
      <c r="G27" s="3598"/>
    </row>
    <row r="28" spans="1:9">
      <c r="A28" s="2384" t="s">
        <v>2496</v>
      </c>
      <c r="B28" s="2383" t="s">
        <v>2497</v>
      </c>
      <c r="C28" s="2383"/>
      <c r="D28" s="2383"/>
      <c r="E28" s="3598"/>
      <c r="F28" s="3598"/>
      <c r="G28" s="3598"/>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589"/>
      <c r="F32" s="3589"/>
      <c r="G32" s="3589"/>
    </row>
    <row r="33" spans="1:7" hidden="1">
      <c r="A33" s="3599" t="s">
        <v>2505</v>
      </c>
      <c r="B33" s="3600"/>
      <c r="C33" s="3600"/>
      <c r="D33" s="3601"/>
      <c r="E33" s="3597"/>
      <c r="F33" s="3597"/>
      <c r="G33" s="3597"/>
    </row>
    <row r="34" spans="1:7" hidden="1">
      <c r="A34" s="2386">
        <v>1</v>
      </c>
      <c r="B34" s="2383" t="s">
        <v>2506</v>
      </c>
      <c r="C34" s="2383"/>
      <c r="D34" s="2383"/>
      <c r="E34" s="3598"/>
      <c r="F34" s="3598"/>
      <c r="G34" s="3598"/>
    </row>
    <row r="35" spans="1:7" hidden="1">
      <c r="A35" s="2386">
        <v>2</v>
      </c>
      <c r="B35" s="2383" t="s">
        <v>2507</v>
      </c>
      <c r="C35" s="2383"/>
      <c r="D35" s="2383"/>
      <c r="E35" s="3598"/>
      <c r="F35" s="3598"/>
      <c r="G35" s="3598"/>
    </row>
    <row r="36" spans="1:7" hidden="1">
      <c r="A36" s="2386">
        <v>3</v>
      </c>
      <c r="B36" s="2383" t="s">
        <v>2508</v>
      </c>
      <c r="C36" s="2383"/>
      <c r="D36" s="2383"/>
      <c r="E36" s="3598"/>
      <c r="F36" s="3598"/>
      <c r="G36" s="3598"/>
    </row>
    <row r="37" spans="1:7" hidden="1">
      <c r="A37" s="2386">
        <v>4</v>
      </c>
      <c r="B37" s="2383" t="s">
        <v>2509</v>
      </c>
      <c r="C37" s="2383"/>
      <c r="D37" s="2383"/>
      <c r="E37" s="3598"/>
      <c r="F37" s="3598"/>
      <c r="G37" s="3598"/>
    </row>
    <row r="38" spans="1:7" hidden="1">
      <c r="A38" s="3599" t="s">
        <v>2510</v>
      </c>
      <c r="B38" s="3600"/>
      <c r="C38" s="3600"/>
      <c r="D38" s="3601"/>
      <c r="E38" s="3597"/>
      <c r="F38" s="3597"/>
      <c r="G38" s="35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148"/>
      <c r="D2" s="3148"/>
      <c r="E2" s="3148"/>
      <c r="F2" s="3148"/>
      <c r="G2" s="3148"/>
    </row>
    <row r="3" spans="1:25" s="1940" customFormat="1" ht="18" customHeight="1">
      <c r="A3" s="1329" t="s">
        <v>1676</v>
      </c>
      <c r="B3" s="418">
        <f ca="1">ROUND(B2*10000/'数据-汇总表'!E3,0)</f>
        <v>0</v>
      </c>
      <c r="C3" s="3148"/>
      <c r="D3" s="3148"/>
      <c r="E3" s="3148"/>
      <c r="F3" s="3148"/>
      <c r="G3" s="3148"/>
    </row>
    <row r="4" spans="1:25" s="1940" customFormat="1" ht="18" customHeight="1">
      <c r="A4" s="419" t="s">
        <v>462</v>
      </c>
      <c r="B4" s="420">
        <f ca="1">ROUND(B2*10000/'数据-汇总表'!D3,0)</f>
        <v>0</v>
      </c>
      <c r="C4" s="3101"/>
      <c r="D4" s="3148"/>
      <c r="E4" s="3148"/>
      <c r="F4" s="3148"/>
      <c r="G4" s="3148"/>
    </row>
    <row r="5" spans="1:25" s="1940" customFormat="1" ht="18" customHeight="1" thickBot="1">
      <c r="A5" s="422"/>
      <c r="B5" s="423">
        <f ca="1">ROUND(B2/('数据-汇总表'!D3/666.67),0)</f>
        <v>0</v>
      </c>
      <c r="C5" s="424" t="s">
        <v>463</v>
      </c>
      <c r="D5" s="3148"/>
      <c r="E5" s="3148"/>
      <c r="F5" s="3148"/>
      <c r="G5" s="3148"/>
    </row>
    <row r="6" spans="1:25" s="2062" customFormat="1" ht="13.5" customHeight="1">
      <c r="A6" s="734"/>
      <c r="B6" s="735" t="s">
        <v>598</v>
      </c>
      <c r="C6" s="736" t="s">
        <v>599</v>
      </c>
      <c r="D6" s="736" t="s">
        <v>600</v>
      </c>
      <c r="E6" s="737" t="s">
        <v>601</v>
      </c>
      <c r="F6" s="737" t="s">
        <v>602</v>
      </c>
      <c r="G6" s="3147" t="s">
        <v>2965</v>
      </c>
    </row>
    <row r="7" spans="1:25" s="2062" customFormat="1" ht="13.5" customHeight="1">
      <c r="A7" s="2321">
        <v>1</v>
      </c>
      <c r="B7" s="738" t="s">
        <v>603</v>
      </c>
      <c r="C7" s="739">
        <f>C8+C9</f>
        <v>0</v>
      </c>
      <c r="D7" s="739"/>
      <c r="E7" s="740"/>
      <c r="F7" s="740"/>
      <c r="G7" s="2330"/>
    </row>
    <row r="8" spans="1:25" s="2062" customFormat="1" ht="13.5" customHeight="1">
      <c r="A8" s="2321" t="s">
        <v>2420</v>
      </c>
      <c r="B8" s="2324" t="s">
        <v>2422</v>
      </c>
      <c r="C8" s="3151">
        <f t="shared" ref="C8:C9" si="0">ROUND(D8*E8/10000,0)</f>
        <v>0</v>
      </c>
      <c r="D8" s="3151">
        <v>0</v>
      </c>
      <c r="E8" s="3152">
        <v>0</v>
      </c>
      <c r="F8" s="740"/>
      <c r="G8" s="741"/>
    </row>
    <row r="9" spans="1:25" s="2062" customFormat="1" ht="13.5" customHeight="1">
      <c r="A9" s="2321" t="s">
        <v>2421</v>
      </c>
      <c r="B9" s="2324" t="s">
        <v>2423</v>
      </c>
      <c r="C9" s="3151">
        <f t="shared" si="0"/>
        <v>0</v>
      </c>
      <c r="D9" s="3151">
        <v>0</v>
      </c>
      <c r="E9" s="3152">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2420</v>
      </c>
      <c r="B11" s="742" t="s">
        <v>604</v>
      </c>
      <c r="C11" s="743">
        <f>'数据-取费表'!B29</f>
        <v>0</v>
      </c>
      <c r="D11" s="744"/>
      <c r="E11" s="743"/>
      <c r="F11" s="745"/>
      <c r="G11" s="2329" t="s">
        <v>2431</v>
      </c>
    </row>
    <row r="12" spans="1:25" s="2062" customFormat="1" ht="13.5" customHeight="1">
      <c r="A12" s="2327" t="s">
        <v>2428</v>
      </c>
      <c r="B12" s="746" t="s">
        <v>605</v>
      </c>
      <c r="C12" s="747">
        <f>ROUND(D12*E12/10000,0)</f>
        <v>0</v>
      </c>
      <c r="D12" s="3151">
        <f>'数据-汇总表'!E5</f>
        <v>0</v>
      </c>
      <c r="E12" s="3151">
        <f>'数据-取费表'!B27</f>
        <v>80</v>
      </c>
      <c r="F12" s="745"/>
      <c r="G12" s="748"/>
    </row>
    <row r="13" spans="1:25" s="2062" customFormat="1" ht="13.5" customHeight="1">
      <c r="A13" s="2327" t="s">
        <v>2427</v>
      </c>
      <c r="B13" s="746" t="s">
        <v>606</v>
      </c>
      <c r="C13" s="747">
        <f>ROUND(D13*E13/10000,0)</f>
        <v>117</v>
      </c>
      <c r="D13" s="3151">
        <f>'数据-汇总表'!E6</f>
        <v>14621.33</v>
      </c>
      <c r="E13" s="3151">
        <f>'数据-取费表'!B28</f>
        <v>80</v>
      </c>
      <c r="F13" s="745"/>
      <c r="G13" s="748"/>
    </row>
    <row r="14" spans="1:25" s="2062" customFormat="1" ht="13.5" customHeight="1">
      <c r="A14" s="2321" t="s">
        <v>2421</v>
      </c>
      <c r="B14" s="2326" t="s">
        <v>2424</v>
      </c>
      <c r="C14" s="3153">
        <f t="shared" ref="C14:C15" si="1">ROUND(D14*E14/10000,0)</f>
        <v>0</v>
      </c>
      <c r="D14" s="3151">
        <v>0</v>
      </c>
      <c r="E14" s="3152">
        <v>0</v>
      </c>
      <c r="F14" s="2325"/>
      <c r="G14" s="2328" t="s">
        <v>2429</v>
      </c>
    </row>
    <row r="15" spans="1:25" s="2062" customFormat="1" ht="13.5" customHeight="1">
      <c r="A15" s="2321" t="s">
        <v>2426</v>
      </c>
      <c r="B15" s="2326" t="s">
        <v>2425</v>
      </c>
      <c r="C15" s="3153">
        <f t="shared" si="1"/>
        <v>0</v>
      </c>
      <c r="D15" s="3151">
        <v>0</v>
      </c>
      <c r="E15" s="3152">
        <v>0</v>
      </c>
      <c r="F15" s="2325"/>
      <c r="G15" s="2328" t="s">
        <v>2430</v>
      </c>
    </row>
    <row r="16" spans="1:25" s="2063" customFormat="1" ht="48">
      <c r="A16" s="2321">
        <v>3</v>
      </c>
      <c r="B16" s="738" t="s">
        <v>609</v>
      </c>
      <c r="C16" s="3153">
        <f t="shared" ref="C16" si="2">ROUND(D16*E16/10000,0)</f>
        <v>0</v>
      </c>
      <c r="D16" s="3151">
        <v>0</v>
      </c>
      <c r="E16" s="3152">
        <v>0</v>
      </c>
      <c r="F16" s="750"/>
      <c r="G16" s="748"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1">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1">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0.84699999999999998</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150" customFormat="1">
      <c r="A24" s="3149"/>
      <c r="D24" s="1882"/>
      <c r="E24" s="1882"/>
    </row>
    <row r="25" spans="1:25" s="3150" customFormat="1">
      <c r="A25" s="3149"/>
      <c r="D25" s="1882"/>
      <c r="E25" s="1882"/>
    </row>
    <row r="26" spans="1:25" s="3150" customFormat="1">
      <c r="A26" s="3149"/>
      <c r="D26" s="1882"/>
      <c r="E26" s="1882"/>
    </row>
    <row r="27" spans="1:25" s="3150" customFormat="1">
      <c r="A27" s="3149"/>
      <c r="D27" s="1882"/>
      <c r="E27" s="1882"/>
    </row>
    <row r="28" spans="1:25" s="3150" customFormat="1">
      <c r="A28" s="3149"/>
      <c r="D28" s="1882"/>
      <c r="E28" s="1882"/>
    </row>
    <row r="29" spans="1:25" s="3150" customFormat="1">
      <c r="A29" s="3149"/>
      <c r="D29" s="1882"/>
      <c r="E29" s="1882"/>
    </row>
    <row r="30" spans="1:25" s="3150" customFormat="1">
      <c r="A30" s="3149"/>
      <c r="D30" s="1882"/>
      <c r="E30" s="1882"/>
    </row>
    <row r="31" spans="1:25" s="3150" customFormat="1">
      <c r="A31" s="3149"/>
      <c r="D31" s="1882"/>
      <c r="E31" s="1882"/>
    </row>
    <row r="32" spans="1:25" s="3150" customFormat="1">
      <c r="A32" s="3149"/>
      <c r="D32" s="1882"/>
      <c r="E32" s="1882"/>
    </row>
    <row r="33" spans="1:5" s="3150" customFormat="1">
      <c r="A33" s="3149"/>
      <c r="D33" s="1882"/>
      <c r="E33" s="1882"/>
    </row>
    <row r="34" spans="1:5" s="3150" customFormat="1">
      <c r="A34" s="3149"/>
      <c r="D34" s="1882"/>
      <c r="E34" s="1882"/>
    </row>
    <row r="35" spans="1:5" s="3150" customFormat="1">
      <c r="A35" s="3149"/>
      <c r="D35" s="1882"/>
      <c r="E35" s="1882"/>
    </row>
    <row r="36" spans="1:5" s="3150" customFormat="1">
      <c r="A36" s="3149"/>
      <c r="D36" s="1882"/>
      <c r="E36" s="1882"/>
    </row>
    <row r="37" spans="1:5" s="3150" customFormat="1">
      <c r="A37" s="3149"/>
      <c r="D37" s="1882"/>
      <c r="E37" s="1882"/>
    </row>
    <row r="38" spans="1:5" s="3150" customFormat="1">
      <c r="A38" s="3149"/>
      <c r="D38" s="1882"/>
      <c r="E38" s="1882"/>
    </row>
    <row r="39" spans="1:5" s="3150" customFormat="1">
      <c r="A39" s="3149"/>
      <c r="D39" s="1882"/>
      <c r="E39" s="1882"/>
    </row>
    <row r="40" spans="1:5" s="3150" customFormat="1">
      <c r="A40" s="3149"/>
      <c r="D40" s="1882"/>
      <c r="E40" s="1882"/>
    </row>
    <row r="41" spans="1:5" s="3150" customFormat="1">
      <c r="A41" s="3149"/>
      <c r="D41" s="1882"/>
      <c r="E41" s="1882"/>
    </row>
    <row r="42" spans="1:5" s="3150" customFormat="1">
      <c r="A42" s="3149"/>
      <c r="D42" s="1882"/>
      <c r="E42" s="1882"/>
    </row>
    <row r="43" spans="1:5" s="3150" customFormat="1">
      <c r="A43" s="3149"/>
      <c r="D43" s="1882"/>
      <c r="E43" s="1882"/>
    </row>
    <row r="44" spans="1:5" s="3150" customFormat="1">
      <c r="A44" s="3149"/>
      <c r="D44" s="1882"/>
      <c r="E44" s="1882"/>
    </row>
    <row r="45" spans="1:5" s="3150" customFormat="1">
      <c r="A45" s="3149"/>
      <c r="D45" s="1882"/>
      <c r="E45" s="1882"/>
    </row>
    <row r="46" spans="1:5" s="3150" customFormat="1">
      <c r="A46" s="3149"/>
      <c r="D46" s="1882"/>
      <c r="E46" s="1882"/>
    </row>
    <row r="47" spans="1:5" s="3150" customFormat="1">
      <c r="A47" s="3149"/>
      <c r="D47" s="1882"/>
      <c r="E47" s="1882"/>
    </row>
    <row r="48" spans="1:5" s="3150" customFormat="1">
      <c r="A48" s="3149"/>
      <c r="D48" s="1882"/>
      <c r="E48" s="1882"/>
    </row>
    <row r="49" spans="1:5" s="3150" customFormat="1">
      <c r="A49" s="3149"/>
      <c r="D49" s="1882"/>
      <c r="E49" s="1882"/>
    </row>
    <row r="50" spans="1:5" s="3150" customFormat="1">
      <c r="A50" s="3149"/>
      <c r="D50" s="1882"/>
      <c r="E50" s="1882"/>
    </row>
    <row r="51" spans="1:5" s="3150" customFormat="1">
      <c r="A51" s="3149"/>
      <c r="D51" s="1882"/>
      <c r="E51" s="1882"/>
    </row>
    <row r="52" spans="1:5" s="3150" customFormat="1">
      <c r="A52" s="3149"/>
      <c r="D52" s="1882"/>
      <c r="E52" s="1882"/>
    </row>
    <row r="53" spans="1:5" s="3150" customFormat="1">
      <c r="A53" s="3149"/>
      <c r="D53" s="1882"/>
      <c r="E53" s="1882"/>
    </row>
    <row r="54" spans="1:5" s="3150" customFormat="1">
      <c r="A54" s="3149"/>
      <c r="D54" s="1882"/>
      <c r="E54" s="1882"/>
    </row>
    <row r="55" spans="1:5" s="3150" customFormat="1">
      <c r="A55" s="3149"/>
      <c r="D55" s="1882"/>
      <c r="E55" s="1882"/>
    </row>
    <row r="56" spans="1:5" s="3150" customFormat="1">
      <c r="A56" s="3149"/>
      <c r="D56" s="1882"/>
      <c r="E56" s="1882"/>
    </row>
    <row r="57" spans="1:5" s="3150" customFormat="1">
      <c r="A57" s="3149"/>
      <c r="D57" s="1882"/>
      <c r="E57" s="1882"/>
    </row>
    <row r="58" spans="1:5" s="3150" customFormat="1">
      <c r="A58" s="3149"/>
      <c r="D58" s="1882"/>
      <c r="E58" s="1882"/>
    </row>
    <row r="59" spans="1:5" s="3150" customFormat="1">
      <c r="A59" s="3149"/>
      <c r="D59" s="1882"/>
      <c r="E59" s="1882"/>
    </row>
    <row r="60" spans="1:5" s="3150" customFormat="1">
      <c r="A60" s="3149"/>
      <c r="D60" s="1882"/>
      <c r="E60" s="1882"/>
    </row>
    <row r="61" spans="1:5" s="3150" customFormat="1">
      <c r="A61" s="3149"/>
      <c r="D61" s="1882"/>
      <c r="E61" s="1882"/>
    </row>
    <row r="62" spans="1:5" s="3150" customFormat="1">
      <c r="A62" s="3149"/>
      <c r="D62" s="1882"/>
      <c r="E62" s="1882"/>
    </row>
    <row r="63" spans="1:5" s="3150" customFormat="1">
      <c r="A63" s="3149"/>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5" t="s">
        <v>713</v>
      </c>
      <c r="C1" s="2466" t="s">
        <v>714</v>
      </c>
      <c r="D1" s="2467"/>
      <c r="E1" s="2007"/>
      <c r="F1" s="2522"/>
      <c r="G1" s="1530" t="s">
        <v>715</v>
      </c>
      <c r="H1" s="499"/>
      <c r="I1" s="499"/>
      <c r="J1" s="499"/>
      <c r="K1" s="500"/>
      <c r="L1" s="3090"/>
      <c r="M1" s="3091"/>
      <c r="N1" s="3091"/>
      <c r="O1" s="3091"/>
      <c r="P1" s="1498"/>
      <c r="Q1" s="1498"/>
      <c r="R1" s="1498"/>
      <c r="S1" s="1498"/>
      <c r="T1" s="1498"/>
      <c r="U1" s="1498"/>
      <c r="V1" s="1498"/>
      <c r="W1" s="1498"/>
      <c r="X1" s="1498"/>
      <c r="Y1" s="1498"/>
      <c r="Z1" s="1498"/>
      <c r="AA1" s="1498"/>
      <c r="AB1" s="1498"/>
      <c r="AC1" s="1499"/>
    </row>
    <row r="2" spans="1:29" s="1314" customFormat="1" ht="28.5" customHeight="1">
      <c r="A2" s="416" t="s">
        <v>461</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4" customFormat="1" ht="28.5" customHeight="1" thickBot="1">
      <c r="A3" s="502" t="s">
        <v>513</v>
      </c>
      <c r="B3" s="839" t="e">
        <f>C49</f>
        <v>#DIV/0!</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512" t="s">
        <v>516</v>
      </c>
      <c r="D4" s="3513"/>
      <c r="E4" s="3546" t="s">
        <v>517</v>
      </c>
      <c r="F4" s="3547"/>
      <c r="G4" s="3512" t="s">
        <v>518</v>
      </c>
      <c r="H4" s="3513"/>
      <c r="I4" s="3512" t="s">
        <v>519</v>
      </c>
      <c r="J4" s="3513"/>
      <c r="K4" s="841" t="s">
        <v>520</v>
      </c>
      <c r="L4" s="2013"/>
      <c r="M4" s="2014"/>
      <c r="N4" s="2014"/>
      <c r="O4" s="2014"/>
      <c r="P4" s="3514" t="s">
        <v>521</v>
      </c>
      <c r="Q4" s="3515"/>
      <c r="R4" s="3520" t="s">
        <v>517</v>
      </c>
      <c r="S4" s="3521"/>
      <c r="T4" s="3520" t="s">
        <v>518</v>
      </c>
      <c r="U4" s="3521"/>
      <c r="V4" s="3507" t="s">
        <v>519</v>
      </c>
      <c r="W4" s="3507"/>
      <c r="X4" s="1500"/>
      <c r="Y4" s="3520" t="s">
        <v>521</v>
      </c>
      <c r="Z4" s="3521"/>
      <c r="AA4" s="3509" t="s">
        <v>517</v>
      </c>
      <c r="AB4" s="3509" t="s">
        <v>518</v>
      </c>
      <c r="AC4" s="3509" t="s">
        <v>519</v>
      </c>
    </row>
    <row r="5" spans="1:29" ht="15">
      <c r="A5" s="508"/>
      <c r="B5" s="509"/>
      <c r="C5" s="3528" t="s">
        <v>2868</v>
      </c>
      <c r="D5" s="3529"/>
      <c r="E5" s="3548" t="s">
        <v>2869</v>
      </c>
      <c r="F5" s="3549"/>
      <c r="G5" s="3528" t="s">
        <v>2870</v>
      </c>
      <c r="H5" s="3529"/>
      <c r="I5" s="3528" t="s">
        <v>2871</v>
      </c>
      <c r="J5" s="3529"/>
      <c r="K5" s="842"/>
      <c r="L5" s="2013"/>
      <c r="M5" s="2014"/>
      <c r="N5" s="2014"/>
      <c r="O5" s="2014"/>
      <c r="P5" s="3516"/>
      <c r="Q5" s="3517"/>
      <c r="R5" s="3522"/>
      <c r="S5" s="3523"/>
      <c r="T5" s="3522"/>
      <c r="U5" s="3523"/>
      <c r="V5" s="3507"/>
      <c r="W5" s="3507"/>
      <c r="X5" s="1500"/>
      <c r="Y5" s="3522"/>
      <c r="Z5" s="3523"/>
      <c r="AA5" s="3510"/>
      <c r="AB5" s="3510"/>
      <c r="AC5" s="3510"/>
    </row>
    <row r="6" spans="1:29" ht="15.75" thickBot="1">
      <c r="A6" s="510"/>
      <c r="B6" s="511"/>
      <c r="C6" s="3526" t="s">
        <v>2872</v>
      </c>
      <c r="D6" s="3527"/>
      <c r="E6" s="3544" t="s">
        <v>2872</v>
      </c>
      <c r="F6" s="3545"/>
      <c r="G6" s="3526" t="s">
        <v>2872</v>
      </c>
      <c r="H6" s="3527"/>
      <c r="I6" s="3526" t="s">
        <v>2872</v>
      </c>
      <c r="J6" s="3527"/>
      <c r="K6" s="842" t="s">
        <v>522</v>
      </c>
      <c r="L6" s="2013"/>
      <c r="M6" s="2014"/>
      <c r="N6" s="2014"/>
      <c r="O6" s="2014"/>
      <c r="P6" s="3518"/>
      <c r="Q6" s="3519"/>
      <c r="R6" s="3522"/>
      <c r="S6" s="3523"/>
      <c r="T6" s="3524"/>
      <c r="U6" s="3525"/>
      <c r="V6" s="3507"/>
      <c r="W6" s="3507"/>
      <c r="X6" s="1500"/>
      <c r="Y6" s="3524"/>
      <c r="Z6" s="3525"/>
      <c r="AA6" s="3511"/>
      <c r="AB6" s="3511"/>
      <c r="AC6" s="3511"/>
    </row>
    <row r="7" spans="1:29" s="1202" customFormat="1" ht="15.75" thickBot="1">
      <c r="A7" s="2627"/>
      <c r="B7" s="2634" t="s">
        <v>523</v>
      </c>
      <c r="C7" s="512">
        <f>'数据-取费表'!B2</f>
        <v>44266</v>
      </c>
      <c r="D7" s="513">
        <v>100</v>
      </c>
      <c r="E7" s="514"/>
      <c r="F7" s="515">
        <f>SUMIF(58:58,YEAR(E7)&amp;"-"&amp;MONTH(E7),59:59)</f>
        <v>0</v>
      </c>
      <c r="G7" s="516"/>
      <c r="H7" s="513">
        <f>SUMIF(58:58,YEAR(G7)&amp;"-"&amp;MONTH(G7),59:59)</f>
        <v>0</v>
      </c>
      <c r="I7" s="516"/>
      <c r="J7" s="513">
        <f>SUMIF(58:58,YEAR(I7)&amp;"-"&amp;MONTH(I7),59:59)</f>
        <v>0</v>
      </c>
      <c r="K7" s="843"/>
      <c r="L7" s="2015"/>
      <c r="M7" s="2016"/>
      <c r="N7" s="2016"/>
      <c r="O7" s="2016"/>
      <c r="P7" s="3537" t="s">
        <v>524</v>
      </c>
      <c r="Q7" s="3539"/>
      <c r="R7" s="1501" t="s">
        <v>13</v>
      </c>
      <c r="S7" s="1502">
        <f t="shared" ref="S7:S15" si="0">F7</f>
        <v>0</v>
      </c>
      <c r="T7" s="1501" t="s">
        <v>13</v>
      </c>
      <c r="U7" s="1502">
        <f t="shared" ref="U7:U15" si="1">H7</f>
        <v>0</v>
      </c>
      <c r="V7" s="1501" t="s">
        <v>13</v>
      </c>
      <c r="W7" s="1502">
        <f t="shared" ref="W7:W15"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844"/>
      <c r="F8" s="515">
        <f>SUMIF(61:61,E8,62:62)-SUMIF(61:61,C8,62:62)+100</f>
        <v>0</v>
      </c>
      <c r="G8" s="518"/>
      <c r="H8" s="513">
        <f>SUMIF(61:61,G8,62:62)-SUMIF(61:61,C8,62:62)+100</f>
        <v>0</v>
      </c>
      <c r="I8" s="844"/>
      <c r="J8" s="513">
        <f>SUMIF(61:61,I8,62:62)-SUMIF(61:61,C8,62:62)+100</f>
        <v>0</v>
      </c>
      <c r="K8" s="843"/>
      <c r="L8" s="2015"/>
      <c r="M8" s="2016"/>
      <c r="N8" s="2016"/>
      <c r="O8" s="2016"/>
      <c r="P8" s="3537" t="s">
        <v>527</v>
      </c>
      <c r="Q8" s="3538"/>
      <c r="R8" s="1501" t="s">
        <v>13</v>
      </c>
      <c r="S8" s="1502">
        <f t="shared" si="0"/>
        <v>0</v>
      </c>
      <c r="T8" s="1501" t="s">
        <v>13</v>
      </c>
      <c r="U8" s="1502">
        <f t="shared" si="1"/>
        <v>0</v>
      </c>
      <c r="V8" s="1501" t="s">
        <v>13</v>
      </c>
      <c r="W8" s="1502">
        <f t="shared" si="2"/>
        <v>0</v>
      </c>
      <c r="X8" s="1503"/>
      <c r="Y8" s="3537" t="s">
        <v>527</v>
      </c>
      <c r="Z8" s="3538"/>
      <c r="AA8" s="1504" t="e">
        <f t="shared" ref="AA8:AA46" si="3">D8/F8</f>
        <v>#DIV/0!</v>
      </c>
      <c r="AB8" s="1504" t="e">
        <f t="shared" ref="AB8:AB46" si="4">D8/H8</f>
        <v>#DIV/0!</v>
      </c>
      <c r="AC8" s="1504" t="e">
        <f t="shared" ref="AC8:AC46" si="5">D8/J8</f>
        <v>#DIV/0!</v>
      </c>
    </row>
    <row r="9" spans="1:29" s="1202" customFormat="1" ht="15">
      <c r="A9" s="2629"/>
      <c r="B9" s="2636" t="s">
        <v>2712</v>
      </c>
      <c r="C9" s="845"/>
      <c r="D9" s="251">
        <v>100</v>
      </c>
      <c r="E9" s="846"/>
      <c r="F9" s="847">
        <f>SUMIF(63:63,E9,64:64)-SUMIF(63:63,C9,64:64)+100</f>
        <v>100</v>
      </c>
      <c r="G9" s="848"/>
      <c r="H9" s="251">
        <f>SUMIF(63:63,G9,64:64)-SUMIF(63:63,C9,64:64)+100</f>
        <v>100</v>
      </c>
      <c r="I9" s="848"/>
      <c r="J9" s="251">
        <f>SUMIF(63:63,I9,64:64)-SUMIF(63:63,C9,64:64)+100</f>
        <v>100</v>
      </c>
      <c r="K9" s="843"/>
      <c r="L9" s="2015"/>
      <c r="M9" s="2016"/>
      <c r="N9" s="2016"/>
      <c r="O9" s="2017"/>
      <c r="P9" s="3506" t="s">
        <v>529</v>
      </c>
      <c r="Q9" s="1133" t="str">
        <f t="shared" ref="Q9:Q15" si="6">B9</f>
        <v>用途</v>
      </c>
      <c r="R9" s="1501" t="s">
        <v>8</v>
      </c>
      <c r="S9" s="1502">
        <f t="shared" si="0"/>
        <v>100</v>
      </c>
      <c r="T9" s="1501" t="s">
        <v>8</v>
      </c>
      <c r="U9" s="1502">
        <f t="shared" si="1"/>
        <v>100</v>
      </c>
      <c r="V9" s="1501" t="s">
        <v>8</v>
      </c>
      <c r="W9" s="1502">
        <f t="shared" si="2"/>
        <v>100</v>
      </c>
      <c r="X9" s="1503"/>
      <c r="Y9" s="3431"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50"/>
      <c r="F10" s="851">
        <f>SUMIF(65:65,E10,66:66)-SUMIF(65:65,C10,66:66)+100</f>
        <v>100</v>
      </c>
      <c r="G10" s="849"/>
      <c r="H10" s="252">
        <f>SUMIF(65:65,G10,66:66)-SUMIF(65:65,C10,66:66)+100</f>
        <v>100</v>
      </c>
      <c r="I10" s="849"/>
      <c r="J10" s="252">
        <f>SUMIF(65:65,I10,66:66)-SUMIF(65:65,C10,66:66)+100</f>
        <v>100</v>
      </c>
      <c r="K10" s="852"/>
      <c r="L10" s="2018"/>
      <c r="M10" s="2057"/>
      <c r="N10" s="2057"/>
      <c r="O10" s="2019"/>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1"/>
      <c r="B11" s="2635" t="s">
        <v>2714</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0"/>
      <c r="M11" s="2014"/>
      <c r="N11" s="2014"/>
      <c r="O11" s="2021"/>
      <c r="P11" s="3506"/>
      <c r="Q11" s="1133" t="str">
        <f t="shared" si="6"/>
        <v>容积率</v>
      </c>
      <c r="R11" s="1501" t="s">
        <v>11</v>
      </c>
      <c r="S11" s="1502" t="e">
        <f t="shared" si="0"/>
        <v>#N/A</v>
      </c>
      <c r="T11" s="1501" t="s">
        <v>11</v>
      </c>
      <c r="U11" s="1502" t="e">
        <f t="shared" si="1"/>
        <v>#N/A</v>
      </c>
      <c r="V11" s="1501" t="s">
        <v>11</v>
      </c>
      <c r="W11" s="1502" t="e">
        <f t="shared" si="2"/>
        <v>#N/A</v>
      </c>
      <c r="X11" s="1503"/>
      <c r="Y11" s="343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506"/>
      <c r="Q12" s="1133">
        <f t="shared" si="6"/>
        <v>111</v>
      </c>
      <c r="R12" s="1501" t="s">
        <v>11</v>
      </c>
      <c r="S12" s="1502">
        <f t="shared" si="0"/>
        <v>100</v>
      </c>
      <c r="T12" s="1501" t="s">
        <v>11</v>
      </c>
      <c r="U12" s="1502">
        <f t="shared" si="1"/>
        <v>100</v>
      </c>
      <c r="V12" s="1501" t="s">
        <v>11</v>
      </c>
      <c r="W12" s="1502">
        <f t="shared" si="2"/>
        <v>100</v>
      </c>
      <c r="X12" s="1503"/>
      <c r="Y12" s="3431"/>
      <c r="Z12" s="1132">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06"/>
      <c r="Q13" s="1133">
        <f t="shared" si="6"/>
        <v>111</v>
      </c>
      <c r="R13" s="1501" t="s">
        <v>11</v>
      </c>
      <c r="S13" s="1502">
        <f t="shared" si="0"/>
        <v>100</v>
      </c>
      <c r="T13" s="1501" t="s">
        <v>11</v>
      </c>
      <c r="U13" s="1502">
        <f t="shared" si="1"/>
        <v>100</v>
      </c>
      <c r="V13" s="1501" t="s">
        <v>11</v>
      </c>
      <c r="W13" s="1502">
        <f t="shared" si="2"/>
        <v>100</v>
      </c>
      <c r="X13" s="1503"/>
      <c r="Y13" s="3431"/>
      <c r="Z13" s="1132">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06"/>
      <c r="Q14" s="1133">
        <f t="shared" si="6"/>
        <v>111</v>
      </c>
      <c r="R14" s="1501" t="s">
        <v>11</v>
      </c>
      <c r="S14" s="1502">
        <f t="shared" si="0"/>
        <v>100</v>
      </c>
      <c r="T14" s="1501" t="s">
        <v>11</v>
      </c>
      <c r="U14" s="1502">
        <f t="shared" si="1"/>
        <v>100</v>
      </c>
      <c r="V14" s="1501" t="s">
        <v>11</v>
      </c>
      <c r="W14" s="1502">
        <f t="shared" si="2"/>
        <v>100</v>
      </c>
      <c r="X14" s="1503"/>
      <c r="Y14" s="3431"/>
      <c r="Z14" s="1132">
        <f t="shared" si="7"/>
        <v>111</v>
      </c>
      <c r="AA14" s="1504">
        <f t="shared" si="3"/>
        <v>1</v>
      </c>
      <c r="AB14" s="1504">
        <f t="shared" si="4"/>
        <v>1</v>
      </c>
      <c r="AC14" s="1504">
        <f t="shared" si="5"/>
        <v>1</v>
      </c>
    </row>
    <row r="15" spans="1:29" ht="15">
      <c r="A15" s="2625" t="s">
        <v>2710</v>
      </c>
      <c r="B15" s="164" t="s">
        <v>295</v>
      </c>
      <c r="C15" s="855" t="str">
        <f>估价对象房地状况!C3</f>
        <v>较差</v>
      </c>
      <c r="D15" s="542">
        <v>100</v>
      </c>
      <c r="E15" s="543"/>
      <c r="F15" s="544">
        <f>SUMIF(76:76,E16,77:77)-SUMIF(76:76,C16,77:77)+100</f>
        <v>100</v>
      </c>
      <c r="G15" s="545"/>
      <c r="H15" s="542">
        <f>SUMIF(76:76,G16,77:77)-SUMIF(76:76,C16,77:77)+100</f>
        <v>100</v>
      </c>
      <c r="I15" s="543"/>
      <c r="J15" s="542">
        <f>SUMIF(76:76,I16,77:77)-SUMIF(76:76,C16,77:77)+100</f>
        <v>100</v>
      </c>
      <c r="K15" s="856"/>
      <c r="L15" s="2022"/>
      <c r="M15" s="2014"/>
      <c r="N15" s="2014"/>
      <c r="O15" s="2021"/>
      <c r="P15" s="3540" t="s">
        <v>534</v>
      </c>
      <c r="Q15" s="1505" t="str">
        <f t="shared" si="6"/>
        <v>居住社区成熟度</v>
      </c>
      <c r="R15" s="1506" t="s">
        <v>11</v>
      </c>
      <c r="S15" s="1507">
        <f t="shared" si="0"/>
        <v>100</v>
      </c>
      <c r="T15" s="1506" t="s">
        <v>11</v>
      </c>
      <c r="U15" s="1507">
        <f t="shared" si="1"/>
        <v>100</v>
      </c>
      <c r="V15" s="1506" t="s">
        <v>11</v>
      </c>
      <c r="W15" s="1507">
        <f t="shared" si="2"/>
        <v>100</v>
      </c>
      <c r="X15" s="1500"/>
      <c r="Y15" s="3540" t="s">
        <v>534</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2"/>
      <c r="M16" s="2014"/>
      <c r="N16" s="2014"/>
      <c r="O16" s="2021"/>
      <c r="P16" s="3541"/>
      <c r="Q16" s="1505"/>
      <c r="R16" s="1506"/>
      <c r="S16" s="1507"/>
      <c r="T16" s="1506"/>
      <c r="U16" s="1507"/>
      <c r="V16" s="1506"/>
      <c r="W16" s="1507"/>
      <c r="X16" s="1500"/>
      <c r="Y16" s="3541"/>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56"/>
      <c r="L17" s="2022"/>
      <c r="M17" s="2014"/>
      <c r="N17" s="2014"/>
      <c r="O17" s="2021"/>
      <c r="P17" s="3541"/>
      <c r="Q17" s="1505" t="str">
        <f>B17</f>
        <v>交通便捷度</v>
      </c>
      <c r="R17" s="1506" t="s">
        <v>11</v>
      </c>
      <c r="S17" s="1507">
        <f>F17</f>
        <v>100</v>
      </c>
      <c r="T17" s="1506" t="s">
        <v>11</v>
      </c>
      <c r="U17" s="1507">
        <f>H17</f>
        <v>100</v>
      </c>
      <c r="V17" s="1506" t="s">
        <v>11</v>
      </c>
      <c r="W17" s="1507">
        <f>J17</f>
        <v>100</v>
      </c>
      <c r="X17" s="1500"/>
      <c r="Y17" s="354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2"/>
      <c r="M18" s="2014"/>
      <c r="N18" s="2014"/>
      <c r="O18" s="2021"/>
      <c r="P18" s="3541"/>
      <c r="Q18" s="1505"/>
      <c r="R18" s="1506"/>
      <c r="S18" s="1507"/>
      <c r="T18" s="1506"/>
      <c r="U18" s="1507"/>
      <c r="V18" s="1506"/>
      <c r="W18" s="1507"/>
      <c r="X18" s="1500"/>
      <c r="Y18" s="3541"/>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56"/>
      <c r="L19" s="2022"/>
      <c r="M19" s="2014"/>
      <c r="N19" s="2014"/>
      <c r="O19" s="2021"/>
      <c r="P19" s="3541"/>
      <c r="Q19" s="1505" t="str">
        <f>B19</f>
        <v>公共配套设施</v>
      </c>
      <c r="R19" s="1506" t="s">
        <v>11</v>
      </c>
      <c r="S19" s="1507">
        <f>F19</f>
        <v>100</v>
      </c>
      <c r="T19" s="1506" t="s">
        <v>11</v>
      </c>
      <c r="U19" s="1507">
        <f>H19</f>
        <v>100</v>
      </c>
      <c r="V19" s="1506" t="s">
        <v>11</v>
      </c>
      <c r="W19" s="1507">
        <f>J19</f>
        <v>100</v>
      </c>
      <c r="X19" s="1500"/>
      <c r="Y19" s="3541"/>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2"/>
      <c r="M20" s="2014"/>
      <c r="N20" s="2014"/>
      <c r="O20" s="2021"/>
      <c r="P20" s="3541"/>
      <c r="Q20" s="1505"/>
      <c r="R20" s="1506"/>
      <c r="S20" s="1507"/>
      <c r="T20" s="1506"/>
      <c r="U20" s="1507"/>
      <c r="V20" s="1506"/>
      <c r="W20" s="1507"/>
      <c r="X20" s="1500"/>
      <c r="Y20" s="3541"/>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541"/>
      <c r="Q21" s="2427" t="str">
        <f>B21</f>
        <v>基础设施水平</v>
      </c>
      <c r="R21" s="1506" t="s">
        <v>11</v>
      </c>
      <c r="S21" s="1507">
        <f>F21</f>
        <v>100</v>
      </c>
      <c r="T21" s="1506" t="s">
        <v>11</v>
      </c>
      <c r="U21" s="1507">
        <f>H21</f>
        <v>100</v>
      </c>
      <c r="V21" s="1506" t="s">
        <v>11</v>
      </c>
      <c r="W21" s="1507">
        <f>J21</f>
        <v>100</v>
      </c>
      <c r="X21" s="2429"/>
      <c r="Y21" s="3541"/>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1"/>
      <c r="L22" s="2022"/>
      <c r="M22" s="2014"/>
      <c r="N22" s="2014"/>
      <c r="O22" s="2021"/>
      <c r="P22" s="3541"/>
      <c r="Q22" s="2427"/>
      <c r="R22" s="1506"/>
      <c r="S22" s="1507"/>
      <c r="T22" s="1506"/>
      <c r="U22" s="1507"/>
      <c r="V22" s="1506"/>
      <c r="W22" s="1507"/>
      <c r="X22" s="2429"/>
      <c r="Y22" s="3541"/>
      <c r="Z22" s="2428"/>
      <c r="AA22" s="1509">
        <v>1</v>
      </c>
      <c r="AB22" s="1509">
        <v>1</v>
      </c>
      <c r="AC22" s="1509">
        <v>1</v>
      </c>
    </row>
    <row r="23" spans="1:29" ht="15">
      <c r="A23" s="525"/>
      <c r="B23" s="859" t="s">
        <v>297</v>
      </c>
      <c r="C23" s="860"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541"/>
      <c r="Q23" s="1505" t="str">
        <f>B23</f>
        <v>自然及人文环境</v>
      </c>
      <c r="R23" s="1506" t="s">
        <v>11</v>
      </c>
      <c r="S23" s="1507">
        <f>F23</f>
        <v>100</v>
      </c>
      <c r="T23" s="1506" t="s">
        <v>11</v>
      </c>
      <c r="U23" s="1507">
        <f>H23</f>
        <v>100</v>
      </c>
      <c r="V23" s="1506" t="s">
        <v>11</v>
      </c>
      <c r="W23" s="1507">
        <f>J23</f>
        <v>100</v>
      </c>
      <c r="X23" s="1500"/>
      <c r="Y23" s="3541"/>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2"/>
      <c r="M24" s="2014"/>
      <c r="N24" s="2014"/>
      <c r="O24" s="2021"/>
      <c r="P24" s="3541"/>
      <c r="Q24" s="1505"/>
      <c r="R24" s="1506"/>
      <c r="S24" s="1507"/>
      <c r="T24" s="1506"/>
      <c r="U24" s="1507"/>
      <c r="V24" s="1506"/>
      <c r="W24" s="1507"/>
      <c r="X24" s="1500"/>
      <c r="Y24" s="3541"/>
      <c r="Z24" s="1508"/>
      <c r="AA24" s="1509">
        <v>1</v>
      </c>
      <c r="AB24" s="1509">
        <v>1</v>
      </c>
      <c r="AC24" s="1509">
        <v>1</v>
      </c>
    </row>
    <row r="25" spans="1:29" ht="15">
      <c r="A25" s="525"/>
      <c r="B25" s="1807" t="s">
        <v>2242</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41"/>
      <c r="Q25" s="1505" t="str">
        <f t="shared" ref="Q25:Q46" si="11">B25</f>
        <v>楼层-1</v>
      </c>
      <c r="R25" s="1506" t="s">
        <v>11</v>
      </c>
      <c r="S25" s="1507">
        <f>F25</f>
        <v>100</v>
      </c>
      <c r="T25" s="1506" t="s">
        <v>11</v>
      </c>
      <c r="U25" s="1507">
        <f>H25</f>
        <v>100</v>
      </c>
      <c r="V25" s="1506" t="s">
        <v>11</v>
      </c>
      <c r="W25" s="1507">
        <f>J25</f>
        <v>100</v>
      </c>
      <c r="X25" s="1500"/>
      <c r="Y25" s="3541"/>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41"/>
      <c r="Q26" s="1505" t="str">
        <f t="shared" si="11"/>
        <v>朝向</v>
      </c>
      <c r="R26" s="1506" t="s">
        <v>11</v>
      </c>
      <c r="S26" s="1507">
        <f>F26</f>
        <v>100</v>
      </c>
      <c r="T26" s="1506" t="s">
        <v>11</v>
      </c>
      <c r="U26" s="1507">
        <f>H26</f>
        <v>100</v>
      </c>
      <c r="V26" s="1506" t="s">
        <v>11</v>
      </c>
      <c r="W26" s="1507">
        <f>J26</f>
        <v>100</v>
      </c>
      <c r="X26" s="1500"/>
      <c r="Y26" s="3541"/>
      <c r="Z26" s="1508" t="str">
        <f>Q26</f>
        <v>朝向</v>
      </c>
      <c r="AA26" s="1509">
        <f t="shared" si="3"/>
        <v>1</v>
      </c>
      <c r="AB26" s="1509">
        <f t="shared" si="4"/>
        <v>1</v>
      </c>
      <c r="AC26" s="1509">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41"/>
      <c r="Q27" s="1133" t="str">
        <f t="shared" si="11"/>
        <v>道路级别</v>
      </c>
      <c r="R27" s="1501" t="s">
        <v>11</v>
      </c>
      <c r="S27" s="1502">
        <f>F27</f>
        <v>100</v>
      </c>
      <c r="T27" s="1501" t="s">
        <v>11</v>
      </c>
      <c r="U27" s="1502">
        <f>H27</f>
        <v>100</v>
      </c>
      <c r="V27" s="1501" t="s">
        <v>11</v>
      </c>
      <c r="W27" s="1502">
        <f>J27</f>
        <v>100</v>
      </c>
      <c r="X27" s="1503"/>
      <c r="Y27" s="3541"/>
      <c r="Z27" s="1132"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41"/>
      <c r="Q28" s="1505">
        <f t="shared" si="11"/>
        <v>111</v>
      </c>
      <c r="R28" s="1506" t="s">
        <v>11</v>
      </c>
      <c r="S28" s="1507">
        <f t="shared" ref="S28:S46" si="12">F28</f>
        <v>100</v>
      </c>
      <c r="T28" s="1506" t="s">
        <v>11</v>
      </c>
      <c r="U28" s="1507">
        <f t="shared" ref="U28:U46" si="13">H28</f>
        <v>100</v>
      </c>
      <c r="V28" s="1506" t="s">
        <v>11</v>
      </c>
      <c r="W28" s="1507">
        <f t="shared" ref="W28:W46" si="14">J28</f>
        <v>100</v>
      </c>
      <c r="X28" s="1500"/>
      <c r="Y28" s="3541"/>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41"/>
      <c r="Q29" s="1505">
        <f t="shared" si="11"/>
        <v>111</v>
      </c>
      <c r="R29" s="1506" t="s">
        <v>11</v>
      </c>
      <c r="S29" s="1507">
        <f t="shared" si="12"/>
        <v>100</v>
      </c>
      <c r="T29" s="1506" t="s">
        <v>11</v>
      </c>
      <c r="U29" s="1507">
        <f t="shared" si="13"/>
        <v>100</v>
      </c>
      <c r="V29" s="1506" t="s">
        <v>11</v>
      </c>
      <c r="W29" s="1507">
        <f t="shared" si="14"/>
        <v>100</v>
      </c>
      <c r="X29" s="1500"/>
      <c r="Y29" s="3541"/>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41"/>
      <c r="Q30" s="1505">
        <f t="shared" si="11"/>
        <v>111</v>
      </c>
      <c r="R30" s="1506" t="s">
        <v>11</v>
      </c>
      <c r="S30" s="1507">
        <f t="shared" si="12"/>
        <v>100</v>
      </c>
      <c r="T30" s="1506" t="s">
        <v>11</v>
      </c>
      <c r="U30" s="1507">
        <f t="shared" si="13"/>
        <v>100</v>
      </c>
      <c r="V30" s="1506" t="s">
        <v>11</v>
      </c>
      <c r="W30" s="1507">
        <f t="shared" si="14"/>
        <v>100</v>
      </c>
      <c r="X30" s="1500"/>
      <c r="Y30" s="3541"/>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41"/>
      <c r="Q31" s="1505">
        <f t="shared" si="11"/>
        <v>111</v>
      </c>
      <c r="R31" s="1506" t="s">
        <v>11</v>
      </c>
      <c r="S31" s="1507">
        <f t="shared" si="12"/>
        <v>100</v>
      </c>
      <c r="T31" s="1506" t="s">
        <v>11</v>
      </c>
      <c r="U31" s="1507">
        <f t="shared" si="13"/>
        <v>100</v>
      </c>
      <c r="V31" s="1506" t="s">
        <v>11</v>
      </c>
      <c r="W31" s="1507">
        <f t="shared" si="14"/>
        <v>100</v>
      </c>
      <c r="X31" s="1500"/>
      <c r="Y31" s="3541"/>
      <c r="Z31" s="1508">
        <f t="shared" si="15"/>
        <v>111</v>
      </c>
      <c r="AA31" s="1509">
        <f t="shared" si="3"/>
        <v>1</v>
      </c>
      <c r="AB31" s="1509">
        <f t="shared" si="4"/>
        <v>1</v>
      </c>
      <c r="AC31" s="1509">
        <f t="shared" si="5"/>
        <v>1</v>
      </c>
    </row>
    <row r="32" spans="1:29" ht="15">
      <c r="A32" s="2622" t="s">
        <v>2711</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2"/>
      <c r="M32" s="2014"/>
      <c r="N32" s="2014"/>
      <c r="O32" s="2021"/>
      <c r="P32" s="3542" t="s">
        <v>544</v>
      </c>
      <c r="Q32" s="1505" t="str">
        <f t="shared" si="11"/>
        <v>建筑类型</v>
      </c>
      <c r="R32" s="1506" t="s">
        <v>11</v>
      </c>
      <c r="S32" s="1507">
        <f t="shared" si="12"/>
        <v>100</v>
      </c>
      <c r="T32" s="1506" t="s">
        <v>11</v>
      </c>
      <c r="U32" s="1507">
        <f t="shared" si="13"/>
        <v>100</v>
      </c>
      <c r="V32" s="1506" t="s">
        <v>11</v>
      </c>
      <c r="W32" s="1507">
        <f t="shared" si="14"/>
        <v>100</v>
      </c>
      <c r="X32" s="1500"/>
      <c r="Y32" s="3543" t="s">
        <v>544</v>
      </c>
      <c r="Z32" s="1508" t="str">
        <f t="shared" si="15"/>
        <v>建筑类型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0"/>
      <c r="M33" s="2050"/>
      <c r="N33" s="2050"/>
      <c r="O33" s="2023"/>
      <c r="P33" s="3543"/>
      <c r="Q33" s="1534" t="str">
        <f t="shared" si="11"/>
        <v>项目建筑规模</v>
      </c>
      <c r="R33" s="1510" t="s">
        <v>11</v>
      </c>
      <c r="S33" s="1511" t="e">
        <f t="shared" si="12"/>
        <v>#N/A</v>
      </c>
      <c r="T33" s="1510" t="s">
        <v>11</v>
      </c>
      <c r="U33" s="1511" t="e">
        <f t="shared" si="13"/>
        <v>#N/A</v>
      </c>
      <c r="V33" s="1510" t="s">
        <v>11</v>
      </c>
      <c r="W33" s="1511" t="e">
        <f t="shared" si="14"/>
        <v>#N/A</v>
      </c>
      <c r="X33" s="1512"/>
      <c r="Y33" s="3543"/>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543"/>
      <c r="Q34" s="1505" t="str">
        <f t="shared" si="11"/>
        <v>建筑结构</v>
      </c>
      <c r="R34" s="1506" t="s">
        <v>11</v>
      </c>
      <c r="S34" s="1507">
        <f t="shared" si="12"/>
        <v>100</v>
      </c>
      <c r="T34" s="1506" t="s">
        <v>11</v>
      </c>
      <c r="U34" s="1507">
        <f t="shared" si="13"/>
        <v>100</v>
      </c>
      <c r="V34" s="1506" t="s">
        <v>11</v>
      </c>
      <c r="W34" s="1507">
        <f t="shared" si="14"/>
        <v>100</v>
      </c>
      <c r="X34" s="1500"/>
      <c r="Y34" s="3543"/>
      <c r="Z34" s="1508" t="str">
        <f t="shared" si="15"/>
        <v>建筑结构</v>
      </c>
      <c r="AA34" s="1509">
        <f t="shared" si="3"/>
        <v>1</v>
      </c>
      <c r="AB34" s="1509">
        <f t="shared" si="4"/>
        <v>1</v>
      </c>
      <c r="AC34" s="1509">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543"/>
      <c r="Q35" s="1505" t="str">
        <f t="shared" si="11"/>
        <v>建筑品质</v>
      </c>
      <c r="R35" s="1506" t="s">
        <v>11</v>
      </c>
      <c r="S35" s="1507">
        <f t="shared" si="12"/>
        <v>100</v>
      </c>
      <c r="T35" s="1506" t="s">
        <v>11</v>
      </c>
      <c r="U35" s="1507">
        <f t="shared" si="13"/>
        <v>100</v>
      </c>
      <c r="V35" s="1506" t="s">
        <v>11</v>
      </c>
      <c r="W35" s="1507">
        <f t="shared" si="14"/>
        <v>100</v>
      </c>
      <c r="X35" s="1500"/>
      <c r="Y35" s="3543"/>
      <c r="Z35" s="1508" t="str">
        <f t="shared" si="15"/>
        <v>建筑品质</v>
      </c>
      <c r="AA35" s="1509">
        <f t="shared" si="3"/>
        <v>1</v>
      </c>
      <c r="AB35" s="1509">
        <f t="shared" si="4"/>
        <v>1</v>
      </c>
      <c r="AC35" s="1509">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2"/>
      <c r="M36" s="2014"/>
      <c r="N36" s="2014"/>
      <c r="O36" s="2021"/>
      <c r="P36" s="3543"/>
      <c r="Q36" s="1505" t="str">
        <f t="shared" si="11"/>
        <v>公共部分装修</v>
      </c>
      <c r="R36" s="1506" t="s">
        <v>11</v>
      </c>
      <c r="S36" s="1507">
        <f t="shared" si="12"/>
        <v>100</v>
      </c>
      <c r="T36" s="1506" t="s">
        <v>11</v>
      </c>
      <c r="U36" s="1507">
        <f t="shared" si="13"/>
        <v>100</v>
      </c>
      <c r="V36" s="1506" t="s">
        <v>11</v>
      </c>
      <c r="W36" s="1507">
        <f t="shared" si="14"/>
        <v>100</v>
      </c>
      <c r="X36" s="1500"/>
      <c r="Y36" s="3543"/>
      <c r="Z36" s="1508" t="str">
        <f t="shared" si="15"/>
        <v>公共部分装修</v>
      </c>
      <c r="AA36" s="1509">
        <f t="shared" si="3"/>
        <v>1</v>
      </c>
      <c r="AB36" s="1509">
        <f t="shared" si="4"/>
        <v>1</v>
      </c>
      <c r="AC36" s="1509">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5"/>
      <c r="M37" s="2016"/>
      <c r="N37" s="2016"/>
      <c r="O37" s="2017"/>
      <c r="P37" s="3543"/>
      <c r="Q37" s="1133" t="str">
        <f t="shared" si="11"/>
        <v>成新度</v>
      </c>
      <c r="R37" s="1501" t="s">
        <v>11</v>
      </c>
      <c r="S37" s="1502" t="e">
        <f t="shared" si="12"/>
        <v>#N/A</v>
      </c>
      <c r="T37" s="1501" t="s">
        <v>11</v>
      </c>
      <c r="U37" s="1502" t="e">
        <f t="shared" si="13"/>
        <v>#N/A</v>
      </c>
      <c r="V37" s="1501" t="s">
        <v>11</v>
      </c>
      <c r="W37" s="1502" t="e">
        <f t="shared" si="14"/>
        <v>#N/A</v>
      </c>
      <c r="X37" s="1503"/>
      <c r="Y37" s="3543"/>
      <c r="Z37" s="1132" t="str">
        <f t="shared" si="15"/>
        <v>成新度</v>
      </c>
      <c r="AA37" s="1504" t="e">
        <f t="shared" si="3"/>
        <v>#N/A</v>
      </c>
      <c r="AB37" s="1504" t="e">
        <f t="shared" si="4"/>
        <v>#N/A</v>
      </c>
      <c r="AC37" s="1504"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2"/>
      <c r="M38" s="2014"/>
      <c r="N38" s="2014"/>
      <c r="O38" s="2021"/>
      <c r="P38" s="3543" t="s">
        <v>544</v>
      </c>
      <c r="Q38" s="1505" t="str">
        <f t="shared" si="11"/>
        <v>物业管理</v>
      </c>
      <c r="R38" s="1506" t="s">
        <v>11</v>
      </c>
      <c r="S38" s="1507">
        <f t="shared" si="12"/>
        <v>100</v>
      </c>
      <c r="T38" s="1506" t="s">
        <v>11</v>
      </c>
      <c r="U38" s="1507">
        <f t="shared" si="13"/>
        <v>100</v>
      </c>
      <c r="V38" s="1506" t="s">
        <v>11</v>
      </c>
      <c r="W38" s="1507">
        <f t="shared" si="14"/>
        <v>100</v>
      </c>
      <c r="X38" s="1500"/>
      <c r="Y38" s="3543" t="s">
        <v>544</v>
      </c>
      <c r="Z38" s="1508" t="str">
        <f t="shared" si="15"/>
        <v>物业管理</v>
      </c>
      <c r="AA38" s="1509">
        <f t="shared" si="3"/>
        <v>1</v>
      </c>
      <c r="AB38" s="1509">
        <f t="shared" si="4"/>
        <v>1</v>
      </c>
      <c r="AC38" s="1509">
        <f t="shared" si="5"/>
        <v>1</v>
      </c>
    </row>
    <row r="39" spans="1:29" ht="15">
      <c r="A39" s="587"/>
      <c r="B39" s="1807"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543"/>
      <c r="Q39" s="1505" t="str">
        <f t="shared" si="11"/>
        <v>市政基础设施</v>
      </c>
      <c r="R39" s="1506" t="s">
        <v>11</v>
      </c>
      <c r="S39" s="1507">
        <f t="shared" si="12"/>
        <v>100</v>
      </c>
      <c r="T39" s="1506" t="s">
        <v>11</v>
      </c>
      <c r="U39" s="1507">
        <f t="shared" si="13"/>
        <v>100</v>
      </c>
      <c r="V39" s="1506" t="s">
        <v>11</v>
      </c>
      <c r="W39" s="1507">
        <f t="shared" si="14"/>
        <v>100</v>
      </c>
      <c r="X39" s="1500"/>
      <c r="Y39" s="3543"/>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543"/>
      <c r="Q40" s="1505" t="str">
        <f t="shared" si="11"/>
        <v>房型</v>
      </c>
      <c r="R40" s="1506" t="s">
        <v>11</v>
      </c>
      <c r="S40" s="1507">
        <f t="shared" si="12"/>
        <v>100</v>
      </c>
      <c r="T40" s="1506" t="s">
        <v>11</v>
      </c>
      <c r="U40" s="1507">
        <f t="shared" si="13"/>
        <v>100</v>
      </c>
      <c r="V40" s="1506" t="s">
        <v>11</v>
      </c>
      <c r="W40" s="1507">
        <f t="shared" si="14"/>
        <v>100</v>
      </c>
      <c r="X40" s="1500"/>
      <c r="Y40" s="3543"/>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0"/>
      <c r="M41" s="2050"/>
      <c r="N41" s="2050"/>
      <c r="O41" s="2023"/>
      <c r="P41" s="3543"/>
      <c r="Q41" s="1534" t="str">
        <f t="shared" si="11"/>
        <v>单套/主力户型建筑面积</v>
      </c>
      <c r="R41" s="1510" t="s">
        <v>11</v>
      </c>
      <c r="S41" s="1511">
        <f t="shared" si="12"/>
        <v>100</v>
      </c>
      <c r="T41" s="1510" t="s">
        <v>11</v>
      </c>
      <c r="U41" s="1511">
        <f t="shared" si="13"/>
        <v>100</v>
      </c>
      <c r="V41" s="1510" t="s">
        <v>11</v>
      </c>
      <c r="W41" s="1511">
        <f t="shared" si="14"/>
        <v>100</v>
      </c>
      <c r="X41" s="1512"/>
      <c r="Y41" s="3543"/>
      <c r="Z41" s="1513" t="str">
        <f t="shared" si="15"/>
        <v>单套/主力户型建筑面积</v>
      </c>
      <c r="AA41" s="1509">
        <f t="shared" si="3"/>
        <v>1</v>
      </c>
      <c r="AB41" s="1509">
        <f t="shared" si="4"/>
        <v>1</v>
      </c>
      <c r="AC41" s="1509">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2"/>
      <c r="M42" s="2014"/>
      <c r="N42" s="2014"/>
      <c r="O42" s="2021"/>
      <c r="P42" s="3543"/>
      <c r="Q42" s="1505" t="str">
        <f t="shared" si="11"/>
        <v>内部装修</v>
      </c>
      <c r="R42" s="1506" t="s">
        <v>11</v>
      </c>
      <c r="S42" s="1507">
        <f t="shared" si="12"/>
        <v>100</v>
      </c>
      <c r="T42" s="1506" t="s">
        <v>11</v>
      </c>
      <c r="U42" s="1507">
        <f t="shared" si="13"/>
        <v>100</v>
      </c>
      <c r="V42" s="1506" t="s">
        <v>11</v>
      </c>
      <c r="W42" s="1507">
        <f t="shared" si="14"/>
        <v>100</v>
      </c>
      <c r="X42" s="1500"/>
      <c r="Y42" s="3543"/>
      <c r="Z42" s="1508" t="str">
        <f t="shared" si="15"/>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43"/>
      <c r="Q43" s="1505" t="str">
        <f t="shared" si="11"/>
        <v>内部装修维护情况</v>
      </c>
      <c r="R43" s="1506" t="s">
        <v>11</v>
      </c>
      <c r="S43" s="1507">
        <f t="shared" si="12"/>
        <v>100</v>
      </c>
      <c r="T43" s="1506" t="s">
        <v>11</v>
      </c>
      <c r="U43" s="1507">
        <f t="shared" si="13"/>
        <v>100</v>
      </c>
      <c r="V43" s="1506" t="s">
        <v>11</v>
      </c>
      <c r="W43" s="1507">
        <f t="shared" si="14"/>
        <v>100</v>
      </c>
      <c r="X43" s="1500"/>
      <c r="Y43" s="3543"/>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43"/>
      <c r="Q44" s="1133">
        <f t="shared" si="11"/>
        <v>111</v>
      </c>
      <c r="R44" s="1501" t="s">
        <v>11</v>
      </c>
      <c r="S44" s="1502">
        <f t="shared" si="12"/>
        <v>100</v>
      </c>
      <c r="T44" s="1501" t="s">
        <v>11</v>
      </c>
      <c r="U44" s="1502">
        <f t="shared" si="13"/>
        <v>100</v>
      </c>
      <c r="V44" s="1501" t="s">
        <v>11</v>
      </c>
      <c r="W44" s="1502">
        <f t="shared" si="14"/>
        <v>100</v>
      </c>
      <c r="X44" s="1503"/>
      <c r="Y44" s="3543"/>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43"/>
      <c r="Q45" s="1505">
        <f t="shared" si="11"/>
        <v>111</v>
      </c>
      <c r="R45" s="1506" t="s">
        <v>11</v>
      </c>
      <c r="S45" s="1507">
        <f t="shared" si="12"/>
        <v>100</v>
      </c>
      <c r="T45" s="1506" t="s">
        <v>11</v>
      </c>
      <c r="U45" s="1507">
        <f t="shared" si="13"/>
        <v>100</v>
      </c>
      <c r="V45" s="1506" t="s">
        <v>11</v>
      </c>
      <c r="W45" s="1507">
        <f t="shared" si="14"/>
        <v>100</v>
      </c>
      <c r="X45" s="1500"/>
      <c r="Y45" s="3543"/>
      <c r="Z45" s="1508">
        <f t="shared" si="15"/>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04"/>
      <c r="Q46" s="1505">
        <f t="shared" si="11"/>
        <v>111</v>
      </c>
      <c r="R46" s="1506" t="s">
        <v>10</v>
      </c>
      <c r="S46" s="1507">
        <f t="shared" si="12"/>
        <v>100</v>
      </c>
      <c r="T46" s="1506" t="s">
        <v>10</v>
      </c>
      <c r="U46" s="1507">
        <f t="shared" si="13"/>
        <v>100</v>
      </c>
      <c r="V46" s="1506" t="s">
        <v>10</v>
      </c>
      <c r="W46" s="1507">
        <f t="shared" si="14"/>
        <v>100</v>
      </c>
      <c r="X46" s="1500"/>
      <c r="Y46" s="3604"/>
      <c r="Z46" s="1508">
        <f t="shared" si="15"/>
        <v>111</v>
      </c>
      <c r="AA46" s="1509">
        <f t="shared" si="3"/>
        <v>1</v>
      </c>
      <c r="AB46" s="1509">
        <f t="shared" si="4"/>
        <v>1</v>
      </c>
      <c r="AC46" s="1509">
        <f t="shared" si="5"/>
        <v>1</v>
      </c>
    </row>
    <row r="47" spans="1:29" ht="15">
      <c r="A47" s="600" t="s">
        <v>730</v>
      </c>
      <c r="B47" s="875"/>
      <c r="C47" s="2468" t="s">
        <v>9</v>
      </c>
      <c r="D47" s="2469"/>
      <c r="E47" s="2470"/>
      <c r="F47" s="2471"/>
      <c r="G47" s="2472"/>
      <c r="H47" s="2473"/>
      <c r="I47" s="2470"/>
      <c r="J47" s="2473"/>
      <c r="K47" s="1535"/>
      <c r="L47" s="2024"/>
      <c r="M47" s="2025"/>
      <c r="N47" s="2014"/>
      <c r="O47" s="2025"/>
      <c r="P47" s="3506" t="str">
        <f>A47</f>
        <v>成交单价（元/平方米）</v>
      </c>
      <c r="Q47" s="3506"/>
      <c r="R47" s="3603">
        <f>E47</f>
        <v>0</v>
      </c>
      <c r="S47" s="3603"/>
      <c r="T47" s="3603">
        <f>G47</f>
        <v>0</v>
      </c>
      <c r="U47" s="3603"/>
      <c r="V47" s="3603">
        <f>I47</f>
        <v>0</v>
      </c>
      <c r="W47" s="3603"/>
      <c r="X47" s="1495"/>
      <c r="Y47" s="1514"/>
      <c r="Z47" s="1495"/>
      <c r="AA47" s="1495"/>
      <c r="AB47" s="1495"/>
      <c r="AC47" s="1495"/>
    </row>
    <row r="48" spans="1:29" ht="15.75" thickBot="1">
      <c r="A48" s="608" t="s">
        <v>2716</v>
      </c>
      <c r="B48" s="876"/>
      <c r="C48" s="2474" t="e">
        <f>R49</f>
        <v>#DIV/0!</v>
      </c>
      <c r="D48" s="2896" t="s">
        <v>2938</v>
      </c>
      <c r="E48" s="2475" t="e">
        <f>R48</f>
        <v>#DIV/0!</v>
      </c>
      <c r="F48" s="2897"/>
      <c r="G48" s="2474" t="e">
        <f>T48</f>
        <v>#DIV/0!</v>
      </c>
      <c r="H48" s="2897"/>
      <c r="I48" s="2475" t="e">
        <f>V48</f>
        <v>#DIV/0!</v>
      </c>
      <c r="J48" s="2897"/>
      <c r="K48" s="2905">
        <f>F48+H48+J48</f>
        <v>0</v>
      </c>
      <c r="L48" s="2024"/>
      <c r="M48" s="2025"/>
      <c r="N48" s="2025"/>
      <c r="O48" s="2025"/>
      <c r="P48" s="3506" t="str">
        <f>A48</f>
        <v>比较价格（元/平方米）</v>
      </c>
      <c r="Q48" s="3506"/>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495"/>
      <c r="Y48" s="1495"/>
      <c r="Z48" s="1495"/>
      <c r="AA48" s="1495"/>
      <c r="AB48" s="1495"/>
      <c r="AC48" s="1495"/>
    </row>
    <row r="49" spans="1:29" ht="15.75" thickBot="1">
      <c r="A49" s="612" t="s">
        <v>2874</v>
      </c>
      <c r="B49" s="613"/>
      <c r="C49" s="2476" t="e">
        <f>R49</f>
        <v>#DIV/0!</v>
      </c>
      <c r="D49" s="2476"/>
      <c r="E49" s="2476"/>
      <c r="F49" s="2476"/>
      <c r="G49" s="2476"/>
      <c r="H49" s="2476"/>
      <c r="I49" s="2476"/>
      <c r="J49" s="2476"/>
      <c r="K49" s="1536"/>
      <c r="L49" s="2024"/>
      <c r="M49" s="2025"/>
      <c r="N49" s="2025"/>
      <c r="O49" s="2025"/>
      <c r="P49" s="3503" t="str">
        <f>A49</f>
        <v>估价对象XX用房的比较价格（楼面单价，元/平方米）</v>
      </c>
      <c r="Q49" s="3504"/>
      <c r="R49" s="3602" t="e">
        <f>IF(F1="售价",ROUND(IF(D48="简单平均",AVERAGE(R48:V48),R48*F48+T48*H48+V48*J48),0),ROUND(IF(D48="简单平均",AVERAGE(R48:V48),R48*F48+T48*H48+V48*J48),1))</f>
        <v>#DIV/0!</v>
      </c>
      <c r="S49" s="3602"/>
      <c r="T49" s="3602"/>
      <c r="U49" s="3602"/>
      <c r="V49" s="3602"/>
      <c r="W49" s="3602"/>
      <c r="X49" s="1495"/>
      <c r="Y49" s="1495"/>
      <c r="Z49" s="1495"/>
      <c r="AA49" s="1495"/>
      <c r="AB49" s="1495"/>
      <c r="AC49" s="1495"/>
    </row>
    <row r="50" spans="1:29">
      <c r="A50" s="3094"/>
      <c r="B50" s="3094"/>
      <c r="C50" s="3094"/>
      <c r="D50" s="3094"/>
      <c r="E50" s="3094"/>
      <c r="F50" s="3094"/>
      <c r="G50" s="3096"/>
      <c r="H50" s="3094"/>
      <c r="I50" s="3094"/>
      <c r="J50" s="3094"/>
      <c r="K50" s="3097"/>
      <c r="L50" s="2029"/>
      <c r="M50" s="2025"/>
      <c r="N50" s="2025"/>
      <c r="O50" s="2025"/>
      <c r="P50" s="2025"/>
      <c r="Q50" s="2025"/>
      <c r="R50" s="2025"/>
      <c r="S50" s="2025"/>
      <c r="T50" s="2025"/>
      <c r="U50" s="2025"/>
      <c r="V50" s="2025"/>
      <c r="W50" s="2025"/>
      <c r="X50" s="2025"/>
      <c r="Y50" s="2025"/>
      <c r="Z50" s="2025"/>
      <c r="AA50" s="2025"/>
      <c r="AB50" s="2025"/>
      <c r="AC50" s="2025"/>
    </row>
    <row r="51" spans="1:29">
      <c r="A51" s="3094"/>
      <c r="B51" s="3094"/>
      <c r="C51" s="3094"/>
      <c r="D51" s="3094"/>
      <c r="E51" s="3094"/>
      <c r="F51" s="3094"/>
      <c r="G51" s="3094"/>
      <c r="H51" s="3094"/>
      <c r="I51" s="3094"/>
      <c r="J51" s="3094"/>
      <c r="K51" s="3097"/>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094"/>
      <c r="B52" s="3094"/>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097"/>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097"/>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095"/>
      <c r="B54" s="3095"/>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098"/>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9" t="str">
        <f>YEAR(C7)&amp;"-"&amp;MONTH(C7)</f>
        <v>2021-3</v>
      </c>
      <c r="D58" s="2519">
        <f>EDATE(C58,-1)</f>
        <v>44228</v>
      </c>
      <c r="E58" s="2519">
        <f t="shared" ref="E58:O58" si="16">EDATE(D58,-1)</f>
        <v>44197</v>
      </c>
      <c r="F58" s="2519">
        <f t="shared" si="16"/>
        <v>44166</v>
      </c>
      <c r="G58" s="2519">
        <f t="shared" si="16"/>
        <v>44136</v>
      </c>
      <c r="H58" s="2519">
        <f t="shared" si="16"/>
        <v>44105</v>
      </c>
      <c r="I58" s="2519">
        <f t="shared" si="16"/>
        <v>44075</v>
      </c>
      <c r="J58" s="2519">
        <f t="shared" si="16"/>
        <v>44044</v>
      </c>
      <c r="K58" s="2519">
        <f t="shared" si="16"/>
        <v>44013</v>
      </c>
      <c r="L58" s="2519">
        <f t="shared" si="16"/>
        <v>43983</v>
      </c>
      <c r="M58" s="2519">
        <f t="shared" si="16"/>
        <v>43952</v>
      </c>
      <c r="N58" s="2519">
        <f t="shared" si="16"/>
        <v>43922</v>
      </c>
      <c r="O58" s="2519">
        <f t="shared" si="16"/>
        <v>43891</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1808" t="s">
        <v>2243</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79"/>
      <c r="D109" s="679"/>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2"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2535</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2"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3"/>
      <c r="E1" s="499"/>
      <c r="F1" s="2522"/>
      <c r="G1" s="1530" t="s">
        <v>715</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512" t="s">
        <v>516</v>
      </c>
      <c r="D4" s="3513"/>
      <c r="E4" s="3546" t="s">
        <v>517</v>
      </c>
      <c r="F4" s="3547"/>
      <c r="G4" s="3512" t="s">
        <v>518</v>
      </c>
      <c r="H4" s="3513"/>
      <c r="I4" s="3512" t="s">
        <v>519</v>
      </c>
      <c r="J4" s="3513"/>
      <c r="K4" s="507" t="s">
        <v>520</v>
      </c>
      <c r="L4" s="2013"/>
      <c r="M4" s="2014"/>
      <c r="N4" s="2014"/>
      <c r="O4" s="2014"/>
      <c r="P4" s="3514" t="s">
        <v>521</v>
      </c>
      <c r="Q4" s="3515"/>
      <c r="R4" s="3520" t="s">
        <v>517</v>
      </c>
      <c r="S4" s="3521"/>
      <c r="T4" s="3520" t="s">
        <v>518</v>
      </c>
      <c r="U4" s="3521"/>
      <c r="V4" s="3507" t="s">
        <v>519</v>
      </c>
      <c r="W4" s="3507"/>
      <c r="X4" s="1500"/>
      <c r="Y4" s="3520" t="s">
        <v>521</v>
      </c>
      <c r="Z4" s="3521"/>
      <c r="AA4" s="3509" t="s">
        <v>517</v>
      </c>
      <c r="AB4" s="3507" t="s">
        <v>518</v>
      </c>
      <c r="AC4" s="3509" t="s">
        <v>519</v>
      </c>
    </row>
    <row r="5" spans="1:29" ht="15">
      <c r="A5" s="508"/>
      <c r="B5" s="509"/>
      <c r="C5" s="3528" t="s">
        <v>2868</v>
      </c>
      <c r="D5" s="3529"/>
      <c r="E5" s="3548" t="s">
        <v>2869</v>
      </c>
      <c r="F5" s="3549"/>
      <c r="G5" s="3528" t="s">
        <v>2870</v>
      </c>
      <c r="H5" s="3529"/>
      <c r="I5" s="3528" t="s">
        <v>2871</v>
      </c>
      <c r="J5" s="3529"/>
      <c r="K5" s="507"/>
      <c r="L5" s="2013"/>
      <c r="M5" s="2014"/>
      <c r="N5" s="2014"/>
      <c r="O5" s="2014"/>
      <c r="P5" s="3516"/>
      <c r="Q5" s="3517"/>
      <c r="R5" s="3522"/>
      <c r="S5" s="3523"/>
      <c r="T5" s="3522"/>
      <c r="U5" s="3523"/>
      <c r="V5" s="3507"/>
      <c r="W5" s="3507"/>
      <c r="X5" s="1500"/>
      <c r="Y5" s="3522"/>
      <c r="Z5" s="3523"/>
      <c r="AA5" s="3510"/>
      <c r="AB5" s="3507"/>
      <c r="AC5" s="3510"/>
    </row>
    <row r="6" spans="1:29" ht="15.75" thickBot="1">
      <c r="A6" s="510"/>
      <c r="B6" s="511"/>
      <c r="C6" s="3526" t="s">
        <v>2872</v>
      </c>
      <c r="D6" s="3527"/>
      <c r="E6" s="3544" t="s">
        <v>2872</v>
      </c>
      <c r="F6" s="3545"/>
      <c r="G6" s="3526" t="s">
        <v>2872</v>
      </c>
      <c r="H6" s="3527"/>
      <c r="I6" s="3526" t="s">
        <v>2872</v>
      </c>
      <c r="J6" s="3527"/>
      <c r="K6" s="507" t="s">
        <v>522</v>
      </c>
      <c r="L6" s="2013"/>
      <c r="M6" s="2014"/>
      <c r="N6" s="2014"/>
      <c r="O6" s="2014"/>
      <c r="P6" s="3518"/>
      <c r="Q6" s="3519"/>
      <c r="R6" s="3522"/>
      <c r="S6" s="3523"/>
      <c r="T6" s="3524"/>
      <c r="U6" s="3525"/>
      <c r="V6" s="3507"/>
      <c r="W6" s="3507"/>
      <c r="X6" s="1500"/>
      <c r="Y6" s="3524"/>
      <c r="Z6" s="3525"/>
      <c r="AA6" s="3511"/>
      <c r="AB6" s="3507"/>
      <c r="AC6" s="3511"/>
    </row>
    <row r="7" spans="1:29" s="1202" customFormat="1" ht="15.75" thickBot="1">
      <c r="A7" s="2627"/>
      <c r="B7" s="2634" t="s">
        <v>523</v>
      </c>
      <c r="C7" s="512">
        <f>'数据-取费表'!B2</f>
        <v>44266</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37" t="s">
        <v>524</v>
      </c>
      <c r="Q7" s="3539"/>
      <c r="R7" s="1501" t="s">
        <v>8</v>
      </c>
      <c r="S7" s="1502">
        <f t="shared" ref="S7:S15" si="0">F7</f>
        <v>0</v>
      </c>
      <c r="T7" s="1501" t="s">
        <v>8</v>
      </c>
      <c r="U7" s="1502">
        <f t="shared" ref="U7:U15" si="1">H7</f>
        <v>0</v>
      </c>
      <c r="V7" s="1501" t="s">
        <v>8</v>
      </c>
      <c r="W7" s="1502">
        <f t="shared" ref="W7:W15"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37" t="s">
        <v>527</v>
      </c>
      <c r="Q8" s="3538"/>
      <c r="R8" s="1501" t="s">
        <v>8</v>
      </c>
      <c r="S8" s="1502">
        <f t="shared" si="0"/>
        <v>0</v>
      </c>
      <c r="T8" s="1501" t="s">
        <v>8</v>
      </c>
      <c r="U8" s="1502">
        <f t="shared" si="1"/>
        <v>0</v>
      </c>
      <c r="V8" s="1501" t="s">
        <v>8</v>
      </c>
      <c r="W8" s="1502">
        <f t="shared" si="2"/>
        <v>0</v>
      </c>
      <c r="X8" s="1503"/>
      <c r="Y8" s="3537" t="s">
        <v>527</v>
      </c>
      <c r="Z8" s="3538"/>
      <c r="AA8" s="1504" t="e">
        <f t="shared" ref="AA8:AA46" si="3">D8/F8</f>
        <v>#DIV/0!</v>
      </c>
      <c r="AB8" s="1504" t="e">
        <f t="shared" ref="AB8:AB46" si="4">D8/H8</f>
        <v>#DIV/0!</v>
      </c>
      <c r="AC8" s="1504" t="e">
        <f t="shared" ref="AC8:AC46" si="5">D8/J8</f>
        <v>#DIV/0!</v>
      </c>
    </row>
    <row r="9" spans="1:29" s="1202" customFormat="1" ht="15">
      <c r="A9" s="2629"/>
      <c r="B9" s="2636" t="s">
        <v>2712</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506" t="s">
        <v>529</v>
      </c>
      <c r="Q9" s="1133" t="str">
        <f t="shared" ref="Q9:Q15" si="6">B9</f>
        <v>用途</v>
      </c>
      <c r="R9" s="1501" t="s">
        <v>8</v>
      </c>
      <c r="S9" s="1502">
        <f t="shared" si="0"/>
        <v>100</v>
      </c>
      <c r="T9" s="1501" t="s">
        <v>8</v>
      </c>
      <c r="U9" s="1502">
        <f t="shared" si="1"/>
        <v>100</v>
      </c>
      <c r="V9" s="1501" t="s">
        <v>8</v>
      </c>
      <c r="W9" s="1502">
        <f t="shared" si="2"/>
        <v>100</v>
      </c>
      <c r="X9" s="1503"/>
      <c r="Y9" s="3431"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506"/>
      <c r="Q11" s="1133" t="str">
        <f t="shared" si="6"/>
        <v>容积率</v>
      </c>
      <c r="R11" s="1501" t="s">
        <v>8</v>
      </c>
      <c r="S11" s="1502" t="e">
        <f t="shared" si="0"/>
        <v>#N/A</v>
      </c>
      <c r="T11" s="1501" t="s">
        <v>8</v>
      </c>
      <c r="U11" s="1502" t="e">
        <f t="shared" si="1"/>
        <v>#N/A</v>
      </c>
      <c r="V11" s="1501" t="s">
        <v>8</v>
      </c>
      <c r="W11" s="1502" t="e">
        <f t="shared" si="2"/>
        <v>#N/A</v>
      </c>
      <c r="X11" s="1503"/>
      <c r="Y11" s="343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506"/>
      <c r="Q12" s="1133">
        <f t="shared" si="6"/>
        <v>111</v>
      </c>
      <c r="R12" s="1501" t="s">
        <v>8</v>
      </c>
      <c r="S12" s="1502">
        <f t="shared" si="0"/>
        <v>100</v>
      </c>
      <c r="T12" s="1501" t="s">
        <v>8</v>
      </c>
      <c r="U12" s="1502">
        <f t="shared" si="1"/>
        <v>100</v>
      </c>
      <c r="V12" s="1501" t="s">
        <v>8</v>
      </c>
      <c r="W12" s="1502">
        <f t="shared" si="2"/>
        <v>100</v>
      </c>
      <c r="X12" s="1503"/>
      <c r="Y12" s="3431"/>
      <c r="Z12" s="1132">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506"/>
      <c r="Q13" s="1133">
        <f t="shared" si="6"/>
        <v>111</v>
      </c>
      <c r="R13" s="1501" t="s">
        <v>8</v>
      </c>
      <c r="S13" s="1502">
        <f t="shared" si="0"/>
        <v>100</v>
      </c>
      <c r="T13" s="1501" t="s">
        <v>8</v>
      </c>
      <c r="U13" s="1502">
        <f t="shared" si="1"/>
        <v>100</v>
      </c>
      <c r="V13" s="1501" t="s">
        <v>8</v>
      </c>
      <c r="W13" s="1502">
        <f t="shared" si="2"/>
        <v>100</v>
      </c>
      <c r="X13" s="1503"/>
      <c r="Y13" s="3431"/>
      <c r="Z13" s="1132">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506"/>
      <c r="Q14" s="1133">
        <f t="shared" si="6"/>
        <v>111</v>
      </c>
      <c r="R14" s="1501" t="s">
        <v>8</v>
      </c>
      <c r="S14" s="1502">
        <f t="shared" si="0"/>
        <v>100</v>
      </c>
      <c r="T14" s="1501" t="s">
        <v>8</v>
      </c>
      <c r="U14" s="1502">
        <f t="shared" si="1"/>
        <v>100</v>
      </c>
      <c r="V14" s="1501" t="s">
        <v>8</v>
      </c>
      <c r="W14" s="1502">
        <f t="shared" si="2"/>
        <v>100</v>
      </c>
      <c r="X14" s="1503"/>
      <c r="Y14" s="3431"/>
      <c r="Z14" s="1132">
        <f t="shared" si="7"/>
        <v>111</v>
      </c>
      <c r="AA14" s="1504">
        <f t="shared" si="3"/>
        <v>1</v>
      </c>
      <c r="AB14" s="1504">
        <f t="shared" si="4"/>
        <v>1</v>
      </c>
      <c r="AC14" s="1504">
        <f t="shared" si="5"/>
        <v>1</v>
      </c>
    </row>
    <row r="15" spans="1:29" ht="15">
      <c r="A15" s="2625" t="s">
        <v>2710</v>
      </c>
      <c r="B15" s="164" t="s">
        <v>535</v>
      </c>
      <c r="C15" s="855" t="str">
        <f>估价对象房地状况!C4</f>
        <v>较差</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40" t="s">
        <v>534</v>
      </c>
      <c r="Q15" s="1505" t="str">
        <f t="shared" si="6"/>
        <v>商业繁华度</v>
      </c>
      <c r="R15" s="1506" t="s">
        <v>8</v>
      </c>
      <c r="S15" s="1507">
        <f t="shared" si="0"/>
        <v>100</v>
      </c>
      <c r="T15" s="1506" t="s">
        <v>8</v>
      </c>
      <c r="U15" s="1507">
        <f t="shared" si="1"/>
        <v>100</v>
      </c>
      <c r="V15" s="1506" t="s">
        <v>8</v>
      </c>
      <c r="W15" s="1507">
        <f t="shared" si="2"/>
        <v>100</v>
      </c>
      <c r="X15" s="1500"/>
      <c r="Y15" s="3540"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41"/>
      <c r="Q16" s="1505"/>
      <c r="R16" s="1506"/>
      <c r="S16" s="1507"/>
      <c r="T16" s="1506"/>
      <c r="U16" s="1507"/>
      <c r="V16" s="1506"/>
      <c r="W16" s="1507"/>
      <c r="X16" s="1500"/>
      <c r="Y16" s="3541"/>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41"/>
      <c r="Q17" s="1505" t="str">
        <f>B17</f>
        <v>交通便捷度</v>
      </c>
      <c r="R17" s="1506" t="s">
        <v>8</v>
      </c>
      <c r="S17" s="1507">
        <f>F17</f>
        <v>100</v>
      </c>
      <c r="T17" s="1506" t="s">
        <v>8</v>
      </c>
      <c r="U17" s="1507">
        <f>H17</f>
        <v>100</v>
      </c>
      <c r="V17" s="1506" t="s">
        <v>8</v>
      </c>
      <c r="W17" s="1507">
        <f>J17</f>
        <v>100</v>
      </c>
      <c r="X17" s="1500"/>
      <c r="Y17" s="354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41"/>
      <c r="Q18" s="1505"/>
      <c r="R18" s="1506"/>
      <c r="S18" s="1507"/>
      <c r="T18" s="1506"/>
      <c r="U18" s="1507"/>
      <c r="V18" s="1506"/>
      <c r="W18" s="1507"/>
      <c r="X18" s="1500"/>
      <c r="Y18" s="3541"/>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41"/>
      <c r="Q19" s="1505" t="str">
        <f>B19</f>
        <v>公共配套设施</v>
      </c>
      <c r="R19" s="1506" t="s">
        <v>8</v>
      </c>
      <c r="S19" s="1507">
        <f>F19</f>
        <v>100</v>
      </c>
      <c r="T19" s="1506" t="s">
        <v>8</v>
      </c>
      <c r="U19" s="1507">
        <f>H19</f>
        <v>100</v>
      </c>
      <c r="V19" s="1506" t="s">
        <v>8</v>
      </c>
      <c r="W19" s="1507">
        <f>J19</f>
        <v>100</v>
      </c>
      <c r="X19" s="1500"/>
      <c r="Y19" s="3541"/>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2"/>
      <c r="M20" s="2014"/>
      <c r="N20" s="2014"/>
      <c r="O20" s="2021"/>
      <c r="P20" s="3541"/>
      <c r="Q20" s="1505"/>
      <c r="R20" s="1506"/>
      <c r="S20" s="1507"/>
      <c r="T20" s="1506"/>
      <c r="U20" s="1507"/>
      <c r="V20" s="1506"/>
      <c r="W20" s="1507"/>
      <c r="X20" s="1500"/>
      <c r="Y20" s="3541"/>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41"/>
      <c r="Q21" s="2427" t="str">
        <f>B21</f>
        <v>基础设施水平</v>
      </c>
      <c r="R21" s="1506" t="s">
        <v>8</v>
      </c>
      <c r="S21" s="1507">
        <f>F21</f>
        <v>100</v>
      </c>
      <c r="T21" s="1506" t="s">
        <v>8</v>
      </c>
      <c r="U21" s="1507">
        <f>H21</f>
        <v>100</v>
      </c>
      <c r="V21" s="1506" t="s">
        <v>8</v>
      </c>
      <c r="W21" s="1507">
        <f>J21</f>
        <v>100</v>
      </c>
      <c r="X21" s="2429"/>
      <c r="Y21" s="3541"/>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4"/>
      <c r="L22" s="2022"/>
      <c r="M22" s="2014"/>
      <c r="N22" s="2014"/>
      <c r="O22" s="2021"/>
      <c r="P22" s="3541"/>
      <c r="Q22" s="2427"/>
      <c r="R22" s="1506"/>
      <c r="S22" s="1507"/>
      <c r="T22" s="1506"/>
      <c r="U22" s="1507"/>
      <c r="V22" s="1506"/>
      <c r="W22" s="1507"/>
      <c r="X22" s="2429"/>
      <c r="Y22" s="3541"/>
      <c r="Z22" s="2428"/>
      <c r="AA22" s="1509">
        <v>1</v>
      </c>
      <c r="AB22" s="1509">
        <v>1</v>
      </c>
      <c r="AC22" s="1509">
        <v>1</v>
      </c>
    </row>
    <row r="23" spans="1:29" ht="15">
      <c r="A23" s="525"/>
      <c r="B23" s="859" t="s">
        <v>297</v>
      </c>
      <c r="C23" s="888"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41"/>
      <c r="Q23" s="1505" t="str">
        <f>B23</f>
        <v>自然及人文环境</v>
      </c>
      <c r="R23" s="1506" t="s">
        <v>8</v>
      </c>
      <c r="S23" s="1507">
        <f>F23</f>
        <v>100</v>
      </c>
      <c r="T23" s="1506" t="s">
        <v>8</v>
      </c>
      <c r="U23" s="1507">
        <f>H23</f>
        <v>100</v>
      </c>
      <c r="V23" s="1506" t="s">
        <v>8</v>
      </c>
      <c r="W23" s="1507">
        <f>J23</f>
        <v>100</v>
      </c>
      <c r="X23" s="1500"/>
      <c r="Y23" s="3541"/>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2"/>
      <c r="M24" s="2014"/>
      <c r="N24" s="2014"/>
      <c r="O24" s="2021"/>
      <c r="P24" s="3541"/>
      <c r="Q24" s="1505"/>
      <c r="R24" s="1506"/>
      <c r="S24" s="1507"/>
      <c r="T24" s="1506"/>
      <c r="U24" s="1507"/>
      <c r="V24" s="1506"/>
      <c r="W24" s="1507"/>
      <c r="X24" s="1500"/>
      <c r="Y24" s="3541"/>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41"/>
      <c r="Q25" s="1505" t="str">
        <f t="shared" ref="Q25:Q46" si="11">B25</f>
        <v>临街状况</v>
      </c>
      <c r="R25" s="1506" t="s">
        <v>8</v>
      </c>
      <c r="S25" s="1507">
        <f>F25</f>
        <v>100</v>
      </c>
      <c r="T25" s="1506" t="s">
        <v>8</v>
      </c>
      <c r="U25" s="1507">
        <f>H25</f>
        <v>100</v>
      </c>
      <c r="V25" s="1506" t="s">
        <v>8</v>
      </c>
      <c r="W25" s="1507">
        <f>J25</f>
        <v>100</v>
      </c>
      <c r="X25" s="1500"/>
      <c r="Y25" s="3541"/>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41"/>
      <c r="Q26" s="1505" t="str">
        <f t="shared" si="11"/>
        <v>平面位置/可视性</v>
      </c>
      <c r="R26" s="1506" t="s">
        <v>8</v>
      </c>
      <c r="S26" s="1507">
        <f>F26</f>
        <v>100</v>
      </c>
      <c r="T26" s="1506" t="s">
        <v>8</v>
      </c>
      <c r="U26" s="1507">
        <f>H26</f>
        <v>100</v>
      </c>
      <c r="V26" s="1506" t="s">
        <v>8</v>
      </c>
      <c r="W26" s="1507">
        <f>J26</f>
        <v>100</v>
      </c>
      <c r="X26" s="1500"/>
      <c r="Y26" s="3541"/>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41"/>
      <c r="Q27" s="1133" t="str">
        <f t="shared" si="11"/>
        <v>人流量</v>
      </c>
      <c r="R27" s="1501" t="s">
        <v>8</v>
      </c>
      <c r="S27" s="1502">
        <f>F27</f>
        <v>100</v>
      </c>
      <c r="T27" s="1501" t="s">
        <v>8</v>
      </c>
      <c r="U27" s="1502">
        <f>H27</f>
        <v>100</v>
      </c>
      <c r="V27" s="1501" t="s">
        <v>8</v>
      </c>
      <c r="W27" s="1502">
        <f>J27</f>
        <v>100</v>
      </c>
      <c r="X27" s="1503"/>
      <c r="Y27" s="3541"/>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4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41"/>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41"/>
      <c r="Q29" s="1505">
        <f t="shared" si="11"/>
        <v>111</v>
      </c>
      <c r="R29" s="1506" t="s">
        <v>8</v>
      </c>
      <c r="S29" s="1507">
        <f t="shared" si="12"/>
        <v>100</v>
      </c>
      <c r="T29" s="1506" t="s">
        <v>8</v>
      </c>
      <c r="U29" s="1507">
        <f t="shared" si="13"/>
        <v>100</v>
      </c>
      <c r="V29" s="1506" t="s">
        <v>8</v>
      </c>
      <c r="W29" s="1507">
        <f t="shared" si="14"/>
        <v>100</v>
      </c>
      <c r="X29" s="1500"/>
      <c r="Y29" s="3541"/>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41"/>
      <c r="Q30" s="1505">
        <f t="shared" si="11"/>
        <v>111</v>
      </c>
      <c r="R30" s="1506" t="s">
        <v>8</v>
      </c>
      <c r="S30" s="1507">
        <f t="shared" si="12"/>
        <v>100</v>
      </c>
      <c r="T30" s="1506" t="s">
        <v>8</v>
      </c>
      <c r="U30" s="1507">
        <f t="shared" si="13"/>
        <v>100</v>
      </c>
      <c r="V30" s="1506" t="s">
        <v>8</v>
      </c>
      <c r="W30" s="1507">
        <f t="shared" si="14"/>
        <v>100</v>
      </c>
      <c r="X30" s="1500"/>
      <c r="Y30" s="3541"/>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41"/>
      <c r="Q31" s="1505">
        <f t="shared" si="11"/>
        <v>111</v>
      </c>
      <c r="R31" s="1506" t="s">
        <v>8</v>
      </c>
      <c r="S31" s="1507">
        <f t="shared" si="12"/>
        <v>100</v>
      </c>
      <c r="T31" s="1506" t="s">
        <v>8</v>
      </c>
      <c r="U31" s="1507">
        <f t="shared" si="13"/>
        <v>100</v>
      </c>
      <c r="V31" s="1506" t="s">
        <v>8</v>
      </c>
      <c r="W31" s="1507">
        <f t="shared" si="14"/>
        <v>100</v>
      </c>
      <c r="X31" s="1500"/>
      <c r="Y31" s="3541"/>
      <c r="Z31" s="1508">
        <f t="shared" si="15"/>
        <v>111</v>
      </c>
      <c r="AA31" s="1509">
        <f t="shared" si="3"/>
        <v>1</v>
      </c>
      <c r="AB31" s="1509">
        <f t="shared" si="4"/>
        <v>1</v>
      </c>
      <c r="AC31" s="1509">
        <f t="shared" si="5"/>
        <v>1</v>
      </c>
    </row>
    <row r="32" spans="1:29" ht="15">
      <c r="A32" s="2622" t="s">
        <v>2711</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42" t="s">
        <v>544</v>
      </c>
      <c r="Q32" s="1505" t="str">
        <f t="shared" si="11"/>
        <v>商业类型</v>
      </c>
      <c r="R32" s="1506" t="s">
        <v>8</v>
      </c>
      <c r="S32" s="1507">
        <f t="shared" si="12"/>
        <v>100</v>
      </c>
      <c r="T32" s="1506" t="s">
        <v>8</v>
      </c>
      <c r="U32" s="1507">
        <f t="shared" si="13"/>
        <v>100</v>
      </c>
      <c r="V32" s="1506" t="s">
        <v>8</v>
      </c>
      <c r="W32" s="1507">
        <f t="shared" si="14"/>
        <v>100</v>
      </c>
      <c r="X32" s="1500"/>
      <c r="Y32" s="3543"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43"/>
      <c r="Q33" s="1534" t="str">
        <f t="shared" si="11"/>
        <v>项目建筑规模</v>
      </c>
      <c r="R33" s="1510" t="s">
        <v>8</v>
      </c>
      <c r="S33" s="1511" t="e">
        <f t="shared" si="12"/>
        <v>#N/A</v>
      </c>
      <c r="T33" s="1510" t="s">
        <v>8</v>
      </c>
      <c r="U33" s="1511" t="e">
        <f t="shared" si="13"/>
        <v>#N/A</v>
      </c>
      <c r="V33" s="1510" t="s">
        <v>8</v>
      </c>
      <c r="W33" s="1511" t="e">
        <f t="shared" si="14"/>
        <v>#N/A</v>
      </c>
      <c r="X33" s="1512"/>
      <c r="Y33" s="3543"/>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43"/>
      <c r="Q34" s="1505" t="str">
        <f t="shared" si="11"/>
        <v>建筑结构</v>
      </c>
      <c r="R34" s="1506" t="s">
        <v>8</v>
      </c>
      <c r="S34" s="1507">
        <f t="shared" si="12"/>
        <v>100</v>
      </c>
      <c r="T34" s="1506" t="s">
        <v>8</v>
      </c>
      <c r="U34" s="1507">
        <f t="shared" si="13"/>
        <v>100</v>
      </c>
      <c r="V34" s="1506" t="s">
        <v>8</v>
      </c>
      <c r="W34" s="1507">
        <f t="shared" si="14"/>
        <v>100</v>
      </c>
      <c r="X34" s="1500"/>
      <c r="Y34" s="3543"/>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43"/>
      <c r="Q35" s="1505" t="str">
        <f t="shared" si="11"/>
        <v>公共部分装修</v>
      </c>
      <c r="R35" s="1506" t="s">
        <v>8</v>
      </c>
      <c r="S35" s="1507">
        <f t="shared" si="12"/>
        <v>100</v>
      </c>
      <c r="T35" s="1506" t="s">
        <v>8</v>
      </c>
      <c r="U35" s="1507">
        <f t="shared" si="13"/>
        <v>100</v>
      </c>
      <c r="V35" s="1506" t="s">
        <v>8</v>
      </c>
      <c r="W35" s="1507">
        <f t="shared" si="14"/>
        <v>100</v>
      </c>
      <c r="X35" s="1500"/>
      <c r="Y35" s="3543"/>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43"/>
      <c r="Q36" s="1505" t="str">
        <f t="shared" si="11"/>
        <v>成新度</v>
      </c>
      <c r="R36" s="1506" t="s">
        <v>8</v>
      </c>
      <c r="S36" s="1507" t="e">
        <f t="shared" si="12"/>
        <v>#N/A</v>
      </c>
      <c r="T36" s="1506" t="s">
        <v>8</v>
      </c>
      <c r="U36" s="1507" t="e">
        <f t="shared" si="13"/>
        <v>#N/A</v>
      </c>
      <c r="V36" s="1506" t="s">
        <v>8</v>
      </c>
      <c r="W36" s="1507" t="e">
        <f t="shared" si="14"/>
        <v>#N/A</v>
      </c>
      <c r="X36" s="1500"/>
      <c r="Y36" s="3543"/>
      <c r="Z36" s="1508" t="str">
        <f t="shared" si="15"/>
        <v>成新度</v>
      </c>
      <c r="AA36" s="1509" t="e">
        <f t="shared" si="3"/>
        <v>#N/A</v>
      </c>
      <c r="AB36" s="1509" t="e">
        <f t="shared" si="4"/>
        <v>#N/A</v>
      </c>
      <c r="AC36" s="1509" t="e">
        <f t="shared" si="5"/>
        <v>#N/A</v>
      </c>
    </row>
    <row r="37" spans="1:29" s="1202" customFormat="1" ht="15">
      <c r="A37" s="593"/>
      <c r="B37" s="1807"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43"/>
      <c r="Q37" s="1133" t="str">
        <f t="shared" si="11"/>
        <v>市政基础设施</v>
      </c>
      <c r="R37" s="1501" t="s">
        <v>8</v>
      </c>
      <c r="S37" s="1502">
        <f t="shared" si="12"/>
        <v>100</v>
      </c>
      <c r="T37" s="1501" t="s">
        <v>8</v>
      </c>
      <c r="U37" s="1502">
        <f t="shared" si="13"/>
        <v>100</v>
      </c>
      <c r="V37" s="1501" t="s">
        <v>8</v>
      </c>
      <c r="W37" s="1502">
        <f t="shared" si="14"/>
        <v>100</v>
      </c>
      <c r="X37" s="1503"/>
      <c r="Y37" s="3543"/>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43" t="s">
        <v>760</v>
      </c>
      <c r="Q38" s="1505" t="str">
        <f t="shared" si="11"/>
        <v>业态</v>
      </c>
      <c r="R38" s="1506" t="s">
        <v>8</v>
      </c>
      <c r="S38" s="1507">
        <f t="shared" si="12"/>
        <v>100</v>
      </c>
      <c r="T38" s="1506" t="s">
        <v>8</v>
      </c>
      <c r="U38" s="1507">
        <f t="shared" si="13"/>
        <v>100</v>
      </c>
      <c r="V38" s="1506" t="s">
        <v>8</v>
      </c>
      <c r="W38" s="1507">
        <f t="shared" si="14"/>
        <v>100</v>
      </c>
      <c r="X38" s="1500"/>
      <c r="Y38" s="3543"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3"/>
      <c r="Q39" s="1505" t="str">
        <f t="shared" si="11"/>
        <v>层高</v>
      </c>
      <c r="R39" s="1506" t="s">
        <v>8</v>
      </c>
      <c r="S39" s="1507">
        <f t="shared" si="12"/>
        <v>100</v>
      </c>
      <c r="T39" s="1506" t="s">
        <v>8</v>
      </c>
      <c r="U39" s="1507">
        <f t="shared" si="13"/>
        <v>100</v>
      </c>
      <c r="V39" s="1506" t="s">
        <v>8</v>
      </c>
      <c r="W39" s="1507">
        <f t="shared" si="14"/>
        <v>100</v>
      </c>
      <c r="X39" s="1500"/>
      <c r="Y39" s="3543"/>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43"/>
      <c r="Q40" s="1505" t="str">
        <f t="shared" si="11"/>
        <v>单套建筑面积</v>
      </c>
      <c r="R40" s="1506" t="s">
        <v>8</v>
      </c>
      <c r="S40" s="1507">
        <f t="shared" si="12"/>
        <v>100</v>
      </c>
      <c r="T40" s="1506" t="s">
        <v>8</v>
      </c>
      <c r="U40" s="1507">
        <f t="shared" si="13"/>
        <v>100</v>
      </c>
      <c r="V40" s="1506" t="s">
        <v>8</v>
      </c>
      <c r="W40" s="1507">
        <f t="shared" si="14"/>
        <v>100</v>
      </c>
      <c r="X40" s="1500"/>
      <c r="Y40" s="3543"/>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43"/>
      <c r="Q41" s="1534" t="str">
        <f t="shared" si="11"/>
        <v>进深比</v>
      </c>
      <c r="R41" s="1510" t="s">
        <v>8</v>
      </c>
      <c r="S41" s="1511">
        <f t="shared" si="12"/>
        <v>100</v>
      </c>
      <c r="T41" s="1510" t="s">
        <v>8</v>
      </c>
      <c r="U41" s="1511">
        <f t="shared" si="13"/>
        <v>100</v>
      </c>
      <c r="V41" s="1510" t="s">
        <v>8</v>
      </c>
      <c r="W41" s="1511">
        <f t="shared" si="14"/>
        <v>100</v>
      </c>
      <c r="X41" s="1512"/>
      <c r="Y41" s="3543"/>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43"/>
      <c r="Q42" s="1505" t="str">
        <f t="shared" si="11"/>
        <v>内部装修</v>
      </c>
      <c r="R42" s="1506" t="s">
        <v>8</v>
      </c>
      <c r="S42" s="1507">
        <f t="shared" si="12"/>
        <v>100</v>
      </c>
      <c r="T42" s="1506" t="s">
        <v>8</v>
      </c>
      <c r="U42" s="1507">
        <f t="shared" si="13"/>
        <v>100</v>
      </c>
      <c r="V42" s="1506" t="s">
        <v>8</v>
      </c>
      <c r="W42" s="1507">
        <f t="shared" si="14"/>
        <v>100</v>
      </c>
      <c r="X42" s="1500"/>
      <c r="Y42" s="3543"/>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43"/>
      <c r="Q43" s="1505" t="str">
        <f t="shared" si="11"/>
        <v>内部装修维护情况</v>
      </c>
      <c r="R43" s="1506" t="s">
        <v>8</v>
      </c>
      <c r="S43" s="1507">
        <f t="shared" si="12"/>
        <v>100</v>
      </c>
      <c r="T43" s="1506" t="s">
        <v>8</v>
      </c>
      <c r="U43" s="1507">
        <f t="shared" si="13"/>
        <v>100</v>
      </c>
      <c r="V43" s="1506" t="s">
        <v>8</v>
      </c>
      <c r="W43" s="1507">
        <f t="shared" si="14"/>
        <v>100</v>
      </c>
      <c r="X43" s="1500"/>
      <c r="Y43" s="3543"/>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43"/>
      <c r="Q44" s="1133">
        <f t="shared" si="11"/>
        <v>111</v>
      </c>
      <c r="R44" s="1501" t="s">
        <v>8</v>
      </c>
      <c r="S44" s="1502">
        <f t="shared" si="12"/>
        <v>100</v>
      </c>
      <c r="T44" s="1501" t="s">
        <v>8</v>
      </c>
      <c r="U44" s="1502">
        <f t="shared" si="13"/>
        <v>100</v>
      </c>
      <c r="V44" s="1501" t="s">
        <v>8</v>
      </c>
      <c r="W44" s="1502">
        <f t="shared" si="14"/>
        <v>100</v>
      </c>
      <c r="X44" s="1503"/>
      <c r="Y44" s="3543"/>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43"/>
      <c r="Q45" s="1505">
        <f t="shared" si="11"/>
        <v>111</v>
      </c>
      <c r="R45" s="1506" t="s">
        <v>8</v>
      </c>
      <c r="S45" s="1507">
        <f t="shared" si="12"/>
        <v>100</v>
      </c>
      <c r="T45" s="1506" t="s">
        <v>8</v>
      </c>
      <c r="U45" s="1507">
        <f t="shared" si="13"/>
        <v>100</v>
      </c>
      <c r="V45" s="1506" t="s">
        <v>8</v>
      </c>
      <c r="W45" s="1507">
        <f t="shared" si="14"/>
        <v>100</v>
      </c>
      <c r="X45" s="1500"/>
      <c r="Y45" s="3543"/>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604"/>
      <c r="Q46" s="1505">
        <f t="shared" si="11"/>
        <v>111</v>
      </c>
      <c r="R46" s="1506" t="s">
        <v>8</v>
      </c>
      <c r="S46" s="1507">
        <f t="shared" si="12"/>
        <v>100</v>
      </c>
      <c r="T46" s="1506" t="s">
        <v>8</v>
      </c>
      <c r="U46" s="1507">
        <f t="shared" si="13"/>
        <v>100</v>
      </c>
      <c r="V46" s="1506" t="s">
        <v>8</v>
      </c>
      <c r="W46" s="1507">
        <f t="shared" si="14"/>
        <v>100</v>
      </c>
      <c r="X46" s="1500"/>
      <c r="Y46" s="3604"/>
      <c r="Z46" s="1508">
        <f t="shared" si="15"/>
        <v>111</v>
      </c>
      <c r="AA46" s="1509">
        <f t="shared" si="3"/>
        <v>1</v>
      </c>
      <c r="AB46" s="1509">
        <f t="shared" si="4"/>
        <v>1</v>
      </c>
      <c r="AC46" s="1509">
        <f t="shared" si="5"/>
        <v>1</v>
      </c>
    </row>
    <row r="47" spans="1:29" ht="15">
      <c r="A47" s="600" t="s">
        <v>730</v>
      </c>
      <c r="B47" s="875"/>
      <c r="C47" s="2468" t="s">
        <v>1</v>
      </c>
      <c r="D47" s="2469"/>
      <c r="E47" s="2470"/>
      <c r="F47" s="2471"/>
      <c r="G47" s="2472"/>
      <c r="H47" s="2473"/>
      <c r="I47" s="2470"/>
      <c r="J47" s="2473"/>
      <c r="K47" s="1539"/>
      <c r="L47" s="2024"/>
      <c r="M47" s="2025"/>
      <c r="N47" s="2014"/>
      <c r="O47" s="2025"/>
      <c r="P47" s="3506" t="str">
        <f>A47</f>
        <v>成交单价（元/平方米）</v>
      </c>
      <c r="Q47" s="3506"/>
      <c r="R47" s="3603">
        <f>E47</f>
        <v>0</v>
      </c>
      <c r="S47" s="3603"/>
      <c r="T47" s="3603">
        <f>G47</f>
        <v>0</v>
      </c>
      <c r="U47" s="3603"/>
      <c r="V47" s="3603">
        <f>I47</f>
        <v>0</v>
      </c>
      <c r="W47" s="3603"/>
      <c r="X47" s="1495"/>
      <c r="Y47" s="1514"/>
      <c r="Z47" s="1495"/>
      <c r="AA47" s="1495"/>
      <c r="AB47" s="1495"/>
      <c r="AC47" s="1495"/>
    </row>
    <row r="48" spans="1:29" ht="15.75" thickBot="1">
      <c r="A48" s="608" t="s">
        <v>2716</v>
      </c>
      <c r="B48" s="876"/>
      <c r="C48" s="2474" t="e">
        <f>R49</f>
        <v>#DIV/0!</v>
      </c>
      <c r="D48" s="2896" t="s">
        <v>2938</v>
      </c>
      <c r="E48" s="2475" t="e">
        <f>R48</f>
        <v>#DIV/0!</v>
      </c>
      <c r="F48" s="2897"/>
      <c r="G48" s="2474" t="e">
        <f>T48</f>
        <v>#DIV/0!</v>
      </c>
      <c r="H48" s="2897"/>
      <c r="I48" s="2475" t="e">
        <f>V48</f>
        <v>#DIV/0!</v>
      </c>
      <c r="J48" s="2897"/>
      <c r="K48" s="2905">
        <f>F48+H48+J48</f>
        <v>0</v>
      </c>
      <c r="L48" s="2024"/>
      <c r="M48" s="2025"/>
      <c r="N48" s="2014"/>
      <c r="O48" s="2025"/>
      <c r="P48" s="3506" t="str">
        <f>A48</f>
        <v>比较价格（元/平方米）</v>
      </c>
      <c r="Q48" s="3506"/>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495"/>
      <c r="Y48" s="1495"/>
      <c r="Z48" s="1495"/>
      <c r="AA48" s="1495"/>
      <c r="AB48" s="1495"/>
      <c r="AC48" s="1495"/>
    </row>
    <row r="49" spans="1:29" ht="15.75" thickBot="1">
      <c r="A49" s="612" t="s">
        <v>2874</v>
      </c>
      <c r="B49" s="613"/>
      <c r="C49" s="2476" t="e">
        <f>R49</f>
        <v>#DIV/0!</v>
      </c>
      <c r="D49" s="2476"/>
      <c r="E49" s="2476"/>
      <c r="F49" s="2476"/>
      <c r="G49" s="2476"/>
      <c r="H49" s="2476"/>
      <c r="I49" s="2476"/>
      <c r="J49" s="2476"/>
      <c r="K49" s="1540"/>
      <c r="L49" s="2024"/>
      <c r="M49" s="2025"/>
      <c r="N49" s="2014"/>
      <c r="O49" s="2025"/>
      <c r="P49" s="3503" t="str">
        <f>A49</f>
        <v>估价对象XX用房的比较价格（楼面单价，元/平方米）</v>
      </c>
      <c r="Q49" s="3504"/>
      <c r="R49" s="3602" t="e">
        <f>IF(F1="售价",ROUND(IF(D48="简单平均",AVERAGE(R48:V48),R48*F48+T48*H48+V48*J48),0),ROUND(IF(D48="简单平均",AVERAGE(R48:V48),R48*F48+T48*H48+V48*J48),1))</f>
        <v>#DIV/0!</v>
      </c>
      <c r="S49" s="3602"/>
      <c r="T49" s="3602"/>
      <c r="U49" s="3602"/>
      <c r="V49" s="3602"/>
      <c r="W49" s="3602"/>
      <c r="X49" s="1495"/>
      <c r="Y49" s="1495"/>
      <c r="Z49" s="1495"/>
      <c r="AA49" s="1495"/>
      <c r="AB49" s="1495"/>
      <c r="AC49" s="1495"/>
    </row>
    <row r="50" spans="1:29">
      <c r="A50" s="3094"/>
      <c r="B50" s="3094"/>
      <c r="C50" s="3094"/>
      <c r="D50" s="3094"/>
      <c r="E50" s="3094"/>
      <c r="F50" s="3094"/>
      <c r="G50" s="3096"/>
      <c r="H50" s="3094"/>
      <c r="I50" s="3094"/>
      <c r="J50" s="3094"/>
      <c r="K50" s="3097"/>
      <c r="L50" s="2029"/>
      <c r="M50" s="2025"/>
      <c r="N50" s="2025"/>
      <c r="O50" s="2025"/>
      <c r="P50" s="2025"/>
      <c r="Q50" s="2025"/>
      <c r="R50" s="2025"/>
      <c r="S50" s="2025"/>
      <c r="T50" s="2025"/>
      <c r="U50" s="2025"/>
      <c r="V50" s="2025"/>
      <c r="W50" s="2025"/>
      <c r="X50" s="2025"/>
      <c r="Y50" s="2025"/>
      <c r="Z50" s="2025"/>
      <c r="AA50" s="2025"/>
      <c r="AB50" s="2025"/>
      <c r="AC50" s="2025"/>
    </row>
    <row r="51" spans="1:29">
      <c r="A51" s="3094"/>
      <c r="B51" s="3094"/>
      <c r="C51" s="3094"/>
      <c r="D51" s="3094"/>
      <c r="E51" s="3094"/>
      <c r="F51" s="3094"/>
      <c r="G51" s="3094"/>
      <c r="H51" s="3094"/>
      <c r="I51" s="3094"/>
      <c r="J51" s="3094"/>
      <c r="K51" s="3097"/>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094"/>
      <c r="B52" s="3094"/>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097"/>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097"/>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095"/>
      <c r="B54" s="3095"/>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098"/>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7" t="str">
        <f>YEAR(C7)&amp;"-"&amp;MONTH(C7)</f>
        <v>2021-3</v>
      </c>
      <c r="D58" s="2519">
        <f>EDATE(C58,-1)</f>
        <v>44228</v>
      </c>
      <c r="E58" s="2519">
        <f t="shared" ref="E58:O58" si="16">EDATE(D58,-1)</f>
        <v>44197</v>
      </c>
      <c r="F58" s="2519">
        <f t="shared" si="16"/>
        <v>44166</v>
      </c>
      <c r="G58" s="2519">
        <f t="shared" si="16"/>
        <v>44136</v>
      </c>
      <c r="H58" s="2519">
        <f t="shared" si="16"/>
        <v>44105</v>
      </c>
      <c r="I58" s="2519">
        <f t="shared" si="16"/>
        <v>44075</v>
      </c>
      <c r="J58" s="2519">
        <f t="shared" si="16"/>
        <v>44044</v>
      </c>
      <c r="K58" s="2519">
        <f t="shared" si="16"/>
        <v>44013</v>
      </c>
      <c r="L58" s="2519">
        <f t="shared" si="16"/>
        <v>43983</v>
      </c>
      <c r="M58" s="2519">
        <f t="shared" si="16"/>
        <v>43952</v>
      </c>
      <c r="N58" s="2519">
        <f t="shared" si="16"/>
        <v>43922</v>
      </c>
      <c r="O58" s="2519">
        <f t="shared" si="16"/>
        <v>43891</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7"/>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2" customFormat="1" ht="15" thickTop="1">
      <c r="A112" s="719"/>
      <c r="B112" s="1808" t="s">
        <v>2535</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2"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2"/>
      <c r="G1" s="1530" t="s">
        <v>715</v>
      </c>
      <c r="H1" s="499"/>
      <c r="I1" s="499"/>
      <c r="J1" s="499"/>
      <c r="K1" s="500"/>
      <c r="L1" s="3090"/>
      <c r="M1" s="3091"/>
      <c r="N1" s="3091"/>
      <c r="O1" s="3091"/>
      <c r="P1" s="3154"/>
      <c r="Q1" s="2012"/>
      <c r="R1" s="2012"/>
      <c r="S1" s="2012"/>
      <c r="T1" s="2012"/>
      <c r="U1" s="2012"/>
      <c r="V1" s="2012"/>
      <c r="W1" s="2012"/>
      <c r="X1" s="2012"/>
      <c r="Y1" s="2012"/>
      <c r="Z1" s="2012"/>
      <c r="AA1" s="2012"/>
      <c r="AB1" s="2012"/>
      <c r="AC1" s="3092"/>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3154"/>
      <c r="Q2" s="2012"/>
      <c r="R2" s="2012"/>
      <c r="S2" s="2012"/>
      <c r="T2" s="2012"/>
      <c r="U2" s="2012"/>
      <c r="V2" s="2012"/>
      <c r="W2" s="2012"/>
      <c r="X2" s="2012"/>
      <c r="Y2" s="2012"/>
      <c r="Z2" s="2012"/>
      <c r="AA2" s="2012"/>
      <c r="AB2" s="2012"/>
      <c r="AC2" s="3092"/>
    </row>
    <row r="3" spans="1:29" s="1289"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154"/>
      <c r="Q3" s="2012"/>
      <c r="R3" s="2012"/>
      <c r="S3" s="2012"/>
      <c r="T3" s="2012"/>
      <c r="U3" s="2012"/>
      <c r="V3" s="2012"/>
      <c r="W3" s="2012"/>
      <c r="X3" s="2012"/>
      <c r="Y3" s="2012"/>
      <c r="Z3" s="2012"/>
      <c r="AA3" s="2012"/>
      <c r="AB3" s="2012"/>
      <c r="AC3" s="3092"/>
    </row>
    <row r="4" spans="1:29" ht="15">
      <c r="A4" s="505" t="s">
        <v>515</v>
      </c>
      <c r="B4" s="506"/>
      <c r="C4" s="3512" t="s">
        <v>516</v>
      </c>
      <c r="D4" s="3513"/>
      <c r="E4" s="3546" t="s">
        <v>517</v>
      </c>
      <c r="F4" s="3547"/>
      <c r="G4" s="3512" t="s">
        <v>518</v>
      </c>
      <c r="H4" s="3513"/>
      <c r="I4" s="3512" t="s">
        <v>519</v>
      </c>
      <c r="J4" s="3513"/>
      <c r="K4" s="507" t="s">
        <v>520</v>
      </c>
      <c r="L4" s="2013"/>
      <c r="M4" s="2014"/>
      <c r="N4" s="2014"/>
      <c r="O4" s="2014"/>
      <c r="P4" s="3606" t="s">
        <v>521</v>
      </c>
      <c r="Q4" s="3515"/>
      <c r="R4" s="3520" t="s">
        <v>517</v>
      </c>
      <c r="S4" s="3521"/>
      <c r="T4" s="3520" t="s">
        <v>518</v>
      </c>
      <c r="U4" s="3521"/>
      <c r="V4" s="3507" t="s">
        <v>519</v>
      </c>
      <c r="W4" s="3507"/>
      <c r="X4" s="1500"/>
      <c r="Y4" s="3520" t="s">
        <v>521</v>
      </c>
      <c r="Z4" s="3521"/>
      <c r="AA4" s="3509" t="s">
        <v>517</v>
      </c>
      <c r="AB4" s="3509" t="s">
        <v>518</v>
      </c>
      <c r="AC4" s="3509" t="s">
        <v>519</v>
      </c>
    </row>
    <row r="5" spans="1:29" ht="15">
      <c r="A5" s="508"/>
      <c r="B5" s="509"/>
      <c r="C5" s="3528" t="s">
        <v>2868</v>
      </c>
      <c r="D5" s="3529"/>
      <c r="E5" s="3548" t="s">
        <v>2869</v>
      </c>
      <c r="F5" s="3549"/>
      <c r="G5" s="3528" t="s">
        <v>2870</v>
      </c>
      <c r="H5" s="3529"/>
      <c r="I5" s="3528" t="s">
        <v>2871</v>
      </c>
      <c r="J5" s="3529"/>
      <c r="K5" s="507"/>
      <c r="L5" s="2013"/>
      <c r="M5" s="2014"/>
      <c r="N5" s="2014"/>
      <c r="O5" s="2014"/>
      <c r="P5" s="3607"/>
      <c r="Q5" s="3517"/>
      <c r="R5" s="3522"/>
      <c r="S5" s="3523"/>
      <c r="T5" s="3522"/>
      <c r="U5" s="3523"/>
      <c r="V5" s="3507"/>
      <c r="W5" s="3507"/>
      <c r="X5" s="1500"/>
      <c r="Y5" s="3522"/>
      <c r="Z5" s="3523"/>
      <c r="AA5" s="3510"/>
      <c r="AB5" s="3510"/>
      <c r="AC5" s="3510"/>
    </row>
    <row r="6" spans="1:29" ht="15.75" thickBot="1">
      <c r="A6" s="510"/>
      <c r="B6" s="511"/>
      <c r="C6" s="3526" t="s">
        <v>2872</v>
      </c>
      <c r="D6" s="3527"/>
      <c r="E6" s="3544" t="s">
        <v>2872</v>
      </c>
      <c r="F6" s="3545"/>
      <c r="G6" s="3526" t="s">
        <v>2872</v>
      </c>
      <c r="H6" s="3527"/>
      <c r="I6" s="3526" t="s">
        <v>2872</v>
      </c>
      <c r="J6" s="3527"/>
      <c r="K6" s="507" t="s">
        <v>522</v>
      </c>
      <c r="L6" s="2013"/>
      <c r="M6" s="2014"/>
      <c r="N6" s="2014"/>
      <c r="O6" s="2014"/>
      <c r="P6" s="3608"/>
      <c r="Q6" s="3519"/>
      <c r="R6" s="3522"/>
      <c r="S6" s="3523"/>
      <c r="T6" s="3524"/>
      <c r="U6" s="3525"/>
      <c r="V6" s="3507"/>
      <c r="W6" s="3507"/>
      <c r="X6" s="1500"/>
      <c r="Y6" s="3524"/>
      <c r="Z6" s="3525"/>
      <c r="AA6" s="3511"/>
      <c r="AB6" s="3511"/>
      <c r="AC6" s="3511"/>
    </row>
    <row r="7" spans="1:29" s="1202" customFormat="1" ht="15.75" thickBot="1">
      <c r="A7" s="2627"/>
      <c r="B7" s="2634" t="s">
        <v>523</v>
      </c>
      <c r="C7" s="512">
        <f>'数据-取费表'!B2</f>
        <v>44266</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39" t="s">
        <v>524</v>
      </c>
      <c r="Q7" s="3539"/>
      <c r="R7" s="1501" t="s">
        <v>8</v>
      </c>
      <c r="S7" s="1502">
        <f t="shared" ref="S7:S15" si="0">F7</f>
        <v>0</v>
      </c>
      <c r="T7" s="1501" t="s">
        <v>8</v>
      </c>
      <c r="U7" s="1502">
        <f t="shared" ref="U7:U15" si="1">H7</f>
        <v>0</v>
      </c>
      <c r="V7" s="1501" t="s">
        <v>8</v>
      </c>
      <c r="W7" s="1502">
        <f t="shared" ref="W7:W15"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39" t="s">
        <v>527</v>
      </c>
      <c r="Q8" s="3538"/>
      <c r="R8" s="1501" t="s">
        <v>8</v>
      </c>
      <c r="S8" s="1502">
        <f t="shared" si="0"/>
        <v>0</v>
      </c>
      <c r="T8" s="1501" t="s">
        <v>8</v>
      </c>
      <c r="U8" s="1502">
        <f t="shared" si="1"/>
        <v>0</v>
      </c>
      <c r="V8" s="1501" t="s">
        <v>8</v>
      </c>
      <c r="W8" s="1502">
        <f t="shared" si="2"/>
        <v>0</v>
      </c>
      <c r="X8" s="1503"/>
      <c r="Y8" s="3537" t="s">
        <v>527</v>
      </c>
      <c r="Z8" s="3538"/>
      <c r="AA8" s="1504" t="e">
        <f t="shared" ref="AA8:AA47" si="3">D8/F8</f>
        <v>#DIV/0!</v>
      </c>
      <c r="AB8" s="1504" t="e">
        <f t="shared" ref="AB8:AB47" si="4">D8/H8</f>
        <v>#DIV/0!</v>
      </c>
      <c r="AC8" s="1504" t="e">
        <f t="shared" ref="AC8:AC47" si="5">D8/J8</f>
        <v>#DIV/0!</v>
      </c>
    </row>
    <row r="9" spans="1:29" s="1202" customFormat="1" ht="15">
      <c r="A9" s="2629"/>
      <c r="B9" s="2636" t="s">
        <v>2712</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506" t="s">
        <v>529</v>
      </c>
      <c r="Q9" s="1133" t="str">
        <f t="shared" ref="Q9:Q15" si="6">B9</f>
        <v>用途</v>
      </c>
      <c r="R9" s="1501" t="s">
        <v>8</v>
      </c>
      <c r="S9" s="1502">
        <f t="shared" si="0"/>
        <v>100</v>
      </c>
      <c r="T9" s="1501" t="s">
        <v>8</v>
      </c>
      <c r="U9" s="1502">
        <f t="shared" si="1"/>
        <v>100</v>
      </c>
      <c r="V9" s="1501" t="s">
        <v>8</v>
      </c>
      <c r="W9" s="1502">
        <f t="shared" si="2"/>
        <v>100</v>
      </c>
      <c r="X9" s="1503"/>
      <c r="Y9" s="3431"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506"/>
      <c r="Q11" s="1133" t="str">
        <f t="shared" si="6"/>
        <v>容积率</v>
      </c>
      <c r="R11" s="1501" t="s">
        <v>8</v>
      </c>
      <c r="S11" s="1502" t="e">
        <f t="shared" si="0"/>
        <v>#N/A</v>
      </c>
      <c r="T11" s="1501" t="s">
        <v>8</v>
      </c>
      <c r="U11" s="1502" t="e">
        <f t="shared" si="1"/>
        <v>#N/A</v>
      </c>
      <c r="V11" s="1501" t="s">
        <v>8</v>
      </c>
      <c r="W11" s="1502" t="e">
        <f t="shared" si="2"/>
        <v>#N/A</v>
      </c>
      <c r="X11" s="1503"/>
      <c r="Y11" s="343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506"/>
      <c r="Q12" s="1133">
        <f t="shared" si="6"/>
        <v>111</v>
      </c>
      <c r="R12" s="1501" t="s">
        <v>8</v>
      </c>
      <c r="S12" s="1502">
        <f t="shared" si="0"/>
        <v>100</v>
      </c>
      <c r="T12" s="1501" t="s">
        <v>8</v>
      </c>
      <c r="U12" s="1502">
        <f t="shared" si="1"/>
        <v>100</v>
      </c>
      <c r="V12" s="1501" t="s">
        <v>8</v>
      </c>
      <c r="W12" s="1502">
        <f t="shared" si="2"/>
        <v>100</v>
      </c>
      <c r="X12" s="1503"/>
      <c r="Y12" s="3431"/>
      <c r="Z12" s="1132">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506"/>
      <c r="Q13" s="1133">
        <f t="shared" si="6"/>
        <v>111</v>
      </c>
      <c r="R13" s="1501" t="s">
        <v>8</v>
      </c>
      <c r="S13" s="1502">
        <f t="shared" si="0"/>
        <v>100</v>
      </c>
      <c r="T13" s="1501" t="s">
        <v>8</v>
      </c>
      <c r="U13" s="1502">
        <f t="shared" si="1"/>
        <v>100</v>
      </c>
      <c r="V13" s="1501" t="s">
        <v>8</v>
      </c>
      <c r="W13" s="1502">
        <f t="shared" si="2"/>
        <v>100</v>
      </c>
      <c r="X13" s="1503"/>
      <c r="Y13" s="3431"/>
      <c r="Z13" s="1132">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506"/>
      <c r="Q14" s="1133">
        <f t="shared" si="6"/>
        <v>111</v>
      </c>
      <c r="R14" s="1501" t="s">
        <v>8</v>
      </c>
      <c r="S14" s="1502">
        <f t="shared" si="0"/>
        <v>100</v>
      </c>
      <c r="T14" s="1501" t="s">
        <v>8</v>
      </c>
      <c r="U14" s="1502">
        <f t="shared" si="1"/>
        <v>100</v>
      </c>
      <c r="V14" s="1501" t="s">
        <v>8</v>
      </c>
      <c r="W14" s="1502">
        <f t="shared" si="2"/>
        <v>100</v>
      </c>
      <c r="X14" s="1503"/>
      <c r="Y14" s="3431"/>
      <c r="Z14" s="1132">
        <f t="shared" si="7"/>
        <v>111</v>
      </c>
      <c r="AA14" s="1504">
        <f t="shared" si="3"/>
        <v>1</v>
      </c>
      <c r="AB14" s="1504">
        <f t="shared" si="4"/>
        <v>1</v>
      </c>
      <c r="AC14" s="1504">
        <f t="shared" si="5"/>
        <v>1</v>
      </c>
    </row>
    <row r="15" spans="1:29" ht="15">
      <c r="A15" s="2625" t="s">
        <v>2710</v>
      </c>
      <c r="B15" s="540" t="s">
        <v>536</v>
      </c>
      <c r="C15" s="541" t="str">
        <f>估价对象房地状况!C5</f>
        <v xml:space="preserve"> </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40" t="s">
        <v>534</v>
      </c>
      <c r="Q15" s="1505" t="str">
        <f t="shared" si="6"/>
        <v>办公集聚程度</v>
      </c>
      <c r="R15" s="1506" t="s">
        <v>8</v>
      </c>
      <c r="S15" s="1507">
        <f t="shared" si="0"/>
        <v>100</v>
      </c>
      <c r="T15" s="1506" t="s">
        <v>8</v>
      </c>
      <c r="U15" s="1507">
        <f t="shared" si="1"/>
        <v>100</v>
      </c>
      <c r="V15" s="1506" t="s">
        <v>8</v>
      </c>
      <c r="W15" s="1507">
        <f t="shared" si="2"/>
        <v>100</v>
      </c>
      <c r="X15" s="1500"/>
      <c r="Y15" s="3540"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2"/>
      <c r="M16" s="2014"/>
      <c r="N16" s="2014"/>
      <c r="O16" s="2014"/>
      <c r="P16" s="3541"/>
      <c r="Q16" s="1505"/>
      <c r="R16" s="1506"/>
      <c r="S16" s="1507"/>
      <c r="T16" s="1506"/>
      <c r="U16" s="1507"/>
      <c r="V16" s="1506"/>
      <c r="W16" s="1507"/>
      <c r="X16" s="1500"/>
      <c r="Y16" s="3541"/>
      <c r="Z16" s="1508"/>
      <c r="AA16" s="1509">
        <v>1</v>
      </c>
      <c r="AB16" s="1509">
        <v>1</v>
      </c>
      <c r="AC16" s="1509">
        <v>1</v>
      </c>
    </row>
    <row r="17" spans="1:29" ht="15">
      <c r="A17" s="525"/>
      <c r="B17" s="553" t="s">
        <v>296</v>
      </c>
      <c r="C17" s="566" t="str">
        <f>估价对象房地状况!C6</f>
        <v>较差</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41"/>
      <c r="Q17" s="1505" t="str">
        <f>B17</f>
        <v>交通便捷度</v>
      </c>
      <c r="R17" s="1506" t="s">
        <v>8</v>
      </c>
      <c r="S17" s="1507">
        <f>F17</f>
        <v>100</v>
      </c>
      <c r="T17" s="1506" t="s">
        <v>8</v>
      </c>
      <c r="U17" s="1507">
        <f>H17</f>
        <v>100</v>
      </c>
      <c r="V17" s="1506" t="s">
        <v>8</v>
      </c>
      <c r="W17" s="1507">
        <f>J17</f>
        <v>100</v>
      </c>
      <c r="X17" s="1500"/>
      <c r="Y17" s="3541"/>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2"/>
      <c r="M18" s="2014"/>
      <c r="N18" s="2014"/>
      <c r="O18" s="2014"/>
      <c r="P18" s="3541"/>
      <c r="Q18" s="1505"/>
      <c r="R18" s="1506"/>
      <c r="S18" s="1507"/>
      <c r="T18" s="1506"/>
      <c r="U18" s="1507"/>
      <c r="V18" s="1506"/>
      <c r="W18" s="1507"/>
      <c r="X18" s="1500"/>
      <c r="Y18" s="3541"/>
      <c r="Z18" s="1508"/>
      <c r="AA18" s="1509">
        <v>1</v>
      </c>
      <c r="AB18" s="1509">
        <v>1</v>
      </c>
      <c r="AC18" s="1509">
        <v>1</v>
      </c>
    </row>
    <row r="19" spans="1:29" ht="15">
      <c r="A19" s="525"/>
      <c r="B19" s="2445"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41"/>
      <c r="Q19" s="1505" t="str">
        <f>B19</f>
        <v>公共配套设施</v>
      </c>
      <c r="R19" s="1506" t="s">
        <v>8</v>
      </c>
      <c r="S19" s="1507">
        <f>F19</f>
        <v>100</v>
      </c>
      <c r="T19" s="1506" t="s">
        <v>8</v>
      </c>
      <c r="U19" s="1507">
        <f>H19</f>
        <v>100</v>
      </c>
      <c r="V19" s="1506" t="s">
        <v>8</v>
      </c>
      <c r="W19" s="1507">
        <f>J19</f>
        <v>100</v>
      </c>
      <c r="X19" s="1500"/>
      <c r="Y19" s="3541"/>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2"/>
      <c r="M20" s="2014"/>
      <c r="N20" s="2014"/>
      <c r="O20" s="2014"/>
      <c r="P20" s="3541"/>
      <c r="Q20" s="1505"/>
      <c r="R20" s="1506"/>
      <c r="S20" s="1507"/>
      <c r="T20" s="1506"/>
      <c r="U20" s="1507"/>
      <c r="V20" s="1506"/>
      <c r="W20" s="1507"/>
      <c r="X20" s="1500"/>
      <c r="Y20" s="3541"/>
      <c r="Z20" s="1508"/>
      <c r="AA20" s="1509">
        <v>1</v>
      </c>
      <c r="AB20" s="1509">
        <v>1</v>
      </c>
      <c r="AC20" s="1509">
        <v>1</v>
      </c>
    </row>
    <row r="21" spans="1:29" ht="15">
      <c r="A21" s="525"/>
      <c r="B21" s="2433"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41"/>
      <c r="Q21" s="2427" t="str">
        <f>B21</f>
        <v>基础设施水平</v>
      </c>
      <c r="R21" s="1506" t="s">
        <v>8</v>
      </c>
      <c r="S21" s="1507">
        <f>F21</f>
        <v>100</v>
      </c>
      <c r="T21" s="1506" t="s">
        <v>8</v>
      </c>
      <c r="U21" s="1507">
        <f>H21</f>
        <v>100</v>
      </c>
      <c r="V21" s="1506" t="s">
        <v>8</v>
      </c>
      <c r="W21" s="1507">
        <f>J21</f>
        <v>100</v>
      </c>
      <c r="X21" s="2429"/>
      <c r="Y21" s="3541"/>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541"/>
      <c r="Q22" s="2427"/>
      <c r="R22" s="1506"/>
      <c r="S22" s="1507"/>
      <c r="T22" s="1506"/>
      <c r="U22" s="1507"/>
      <c r="V22" s="1506"/>
      <c r="W22" s="1507"/>
      <c r="X22" s="2429"/>
      <c r="Y22" s="3541"/>
      <c r="Z22" s="2428"/>
      <c r="AA22" s="1509">
        <v>1</v>
      </c>
      <c r="AB22" s="1509">
        <v>1</v>
      </c>
      <c r="AC22" s="1509">
        <v>1</v>
      </c>
    </row>
    <row r="23" spans="1:29" ht="15">
      <c r="A23" s="525"/>
      <c r="B23" s="553" t="s">
        <v>772</v>
      </c>
      <c r="C23" s="566" t="str">
        <f>估价对象房地状况!C9</f>
        <v>较好</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41"/>
      <c r="Q23" s="1505" t="str">
        <f>B23</f>
        <v>环境质量</v>
      </c>
      <c r="R23" s="1506" t="s">
        <v>8</v>
      </c>
      <c r="S23" s="1507">
        <f>F23</f>
        <v>100</v>
      </c>
      <c r="T23" s="1506" t="s">
        <v>8</v>
      </c>
      <c r="U23" s="1507">
        <f>H23</f>
        <v>100</v>
      </c>
      <c r="V23" s="1506" t="s">
        <v>8</v>
      </c>
      <c r="W23" s="1507">
        <f>J23</f>
        <v>100</v>
      </c>
      <c r="X23" s="1500"/>
      <c r="Y23" s="3541"/>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2"/>
      <c r="M24" s="2014"/>
      <c r="N24" s="2014"/>
      <c r="O24" s="2014"/>
      <c r="P24" s="3541"/>
      <c r="Q24" s="1505"/>
      <c r="R24" s="1506"/>
      <c r="S24" s="1507"/>
      <c r="T24" s="1506"/>
      <c r="U24" s="1507"/>
      <c r="V24" s="1506"/>
      <c r="W24" s="1507"/>
      <c r="X24" s="1500"/>
      <c r="Y24" s="3541"/>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41"/>
      <c r="Q25" s="1505" t="str">
        <f>B25</f>
        <v>毗邻道路的类型与等级</v>
      </c>
      <c r="R25" s="1506" t="s">
        <v>8</v>
      </c>
      <c r="S25" s="1507">
        <f>F25</f>
        <v>100</v>
      </c>
      <c r="T25" s="1506" t="s">
        <v>8</v>
      </c>
      <c r="U25" s="1507">
        <f>H25</f>
        <v>100</v>
      </c>
      <c r="V25" s="1506" t="s">
        <v>8</v>
      </c>
      <c r="W25" s="1507">
        <f>J25</f>
        <v>100</v>
      </c>
      <c r="X25" s="1500"/>
      <c r="Y25" s="3541"/>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2"/>
      <c r="M26" s="2014"/>
      <c r="N26" s="2014"/>
      <c r="O26" s="2014"/>
      <c r="P26" s="3541"/>
      <c r="Q26" s="1505"/>
      <c r="R26" s="1506"/>
      <c r="S26" s="1507"/>
      <c r="T26" s="1506"/>
      <c r="U26" s="1507"/>
      <c r="V26" s="1506"/>
      <c r="W26" s="1507"/>
      <c r="X26" s="1500"/>
      <c r="Y26" s="3541"/>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41"/>
      <c r="Q27" s="1505" t="str">
        <f t="shared" ref="Q27:Q47" si="11">B27</f>
        <v>楼层</v>
      </c>
      <c r="R27" s="1506" t="s">
        <v>8</v>
      </c>
      <c r="S27" s="1507">
        <f>F27</f>
        <v>100</v>
      </c>
      <c r="T27" s="1506" t="s">
        <v>8</v>
      </c>
      <c r="U27" s="1507">
        <f>H27</f>
        <v>100</v>
      </c>
      <c r="V27" s="1506" t="s">
        <v>8</v>
      </c>
      <c r="W27" s="1507">
        <f>J27</f>
        <v>100</v>
      </c>
      <c r="X27" s="1500"/>
      <c r="Y27" s="3541"/>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41"/>
      <c r="Q28" s="1133" t="str">
        <f t="shared" si="11"/>
        <v>朝向</v>
      </c>
      <c r="R28" s="1501" t="s">
        <v>8</v>
      </c>
      <c r="S28" s="1502">
        <f>F28</f>
        <v>100</v>
      </c>
      <c r="T28" s="1501" t="s">
        <v>8</v>
      </c>
      <c r="U28" s="1502">
        <f>H28</f>
        <v>100</v>
      </c>
      <c r="V28" s="1501" t="s">
        <v>8</v>
      </c>
      <c r="W28" s="1502">
        <f>J28</f>
        <v>100</v>
      </c>
      <c r="X28" s="1503"/>
      <c r="Y28" s="3541"/>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41"/>
      <c r="Q29" s="1505">
        <f t="shared" si="11"/>
        <v>111</v>
      </c>
      <c r="R29" s="1506" t="s">
        <v>8</v>
      </c>
      <c r="S29" s="1507">
        <f t="shared" ref="S29:S47" si="12">F29</f>
        <v>100</v>
      </c>
      <c r="T29" s="1506" t="s">
        <v>8</v>
      </c>
      <c r="U29" s="1507">
        <f t="shared" ref="U29:U47" si="13">H29</f>
        <v>100</v>
      </c>
      <c r="V29" s="1506" t="s">
        <v>8</v>
      </c>
      <c r="W29" s="1507">
        <f t="shared" ref="W29:W47" si="14">J29</f>
        <v>100</v>
      </c>
      <c r="X29" s="1500"/>
      <c r="Y29" s="3541"/>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41"/>
      <c r="Q30" s="1505">
        <f t="shared" si="11"/>
        <v>111</v>
      </c>
      <c r="R30" s="1506" t="s">
        <v>8</v>
      </c>
      <c r="S30" s="1507">
        <f t="shared" si="12"/>
        <v>100</v>
      </c>
      <c r="T30" s="1506" t="s">
        <v>8</v>
      </c>
      <c r="U30" s="1507">
        <f t="shared" si="13"/>
        <v>100</v>
      </c>
      <c r="V30" s="1506" t="s">
        <v>8</v>
      </c>
      <c r="W30" s="1507">
        <f t="shared" si="14"/>
        <v>100</v>
      </c>
      <c r="X30" s="1500"/>
      <c r="Y30" s="3541"/>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41"/>
      <c r="Q31" s="1505">
        <f t="shared" si="11"/>
        <v>111</v>
      </c>
      <c r="R31" s="1506" t="s">
        <v>8</v>
      </c>
      <c r="S31" s="1507">
        <f t="shared" si="12"/>
        <v>100</v>
      </c>
      <c r="T31" s="1506" t="s">
        <v>8</v>
      </c>
      <c r="U31" s="1507">
        <f t="shared" si="13"/>
        <v>100</v>
      </c>
      <c r="V31" s="1506" t="s">
        <v>8</v>
      </c>
      <c r="W31" s="1507">
        <f t="shared" si="14"/>
        <v>100</v>
      </c>
      <c r="X31" s="1500"/>
      <c r="Y31" s="3541"/>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41"/>
      <c r="Q32" s="1505">
        <f t="shared" si="11"/>
        <v>111</v>
      </c>
      <c r="R32" s="1506" t="s">
        <v>8</v>
      </c>
      <c r="S32" s="1507">
        <f t="shared" si="12"/>
        <v>100</v>
      </c>
      <c r="T32" s="1506" t="s">
        <v>8</v>
      </c>
      <c r="U32" s="1507">
        <f t="shared" si="13"/>
        <v>100</v>
      </c>
      <c r="V32" s="1506" t="s">
        <v>8</v>
      </c>
      <c r="W32" s="1507">
        <f t="shared" si="14"/>
        <v>100</v>
      </c>
      <c r="X32" s="1500"/>
      <c r="Y32" s="3541"/>
      <c r="Z32" s="1508">
        <f t="shared" si="15"/>
        <v>111</v>
      </c>
      <c r="AA32" s="1509">
        <f t="shared" si="3"/>
        <v>1</v>
      </c>
      <c r="AB32" s="1509">
        <f t="shared" si="4"/>
        <v>1</v>
      </c>
      <c r="AC32" s="1509">
        <f t="shared" si="5"/>
        <v>1</v>
      </c>
    </row>
    <row r="33" spans="1:29" ht="15">
      <c r="A33" s="2622" t="s">
        <v>2711</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42" t="s">
        <v>544</v>
      </c>
      <c r="Q33" s="1505" t="str">
        <f t="shared" si="11"/>
        <v>建筑类型</v>
      </c>
      <c r="R33" s="1506" t="s">
        <v>8</v>
      </c>
      <c r="S33" s="1507">
        <f t="shared" si="12"/>
        <v>100</v>
      </c>
      <c r="T33" s="1506" t="s">
        <v>8</v>
      </c>
      <c r="U33" s="1507">
        <f t="shared" si="13"/>
        <v>100</v>
      </c>
      <c r="V33" s="1506" t="s">
        <v>8</v>
      </c>
      <c r="W33" s="1507">
        <f t="shared" si="14"/>
        <v>100</v>
      </c>
      <c r="X33" s="1500"/>
      <c r="Y33" s="3543"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43"/>
      <c r="Q34" s="1534" t="str">
        <f t="shared" si="11"/>
        <v>项目建筑规模</v>
      </c>
      <c r="R34" s="1510" t="s">
        <v>8</v>
      </c>
      <c r="S34" s="1511" t="e">
        <f t="shared" si="12"/>
        <v>#N/A</v>
      </c>
      <c r="T34" s="1510" t="s">
        <v>8</v>
      </c>
      <c r="U34" s="1511" t="e">
        <f t="shared" si="13"/>
        <v>#N/A</v>
      </c>
      <c r="V34" s="1510" t="s">
        <v>8</v>
      </c>
      <c r="W34" s="1511" t="e">
        <f t="shared" si="14"/>
        <v>#N/A</v>
      </c>
      <c r="X34" s="1512"/>
      <c r="Y34" s="3543"/>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43"/>
      <c r="Q35" s="1505" t="str">
        <f t="shared" si="11"/>
        <v>建筑结构</v>
      </c>
      <c r="R35" s="1506" t="s">
        <v>8</v>
      </c>
      <c r="S35" s="1507">
        <f t="shared" si="12"/>
        <v>100</v>
      </c>
      <c r="T35" s="1506" t="s">
        <v>8</v>
      </c>
      <c r="U35" s="1507">
        <f t="shared" si="13"/>
        <v>100</v>
      </c>
      <c r="V35" s="1506" t="s">
        <v>8</v>
      </c>
      <c r="W35" s="1507">
        <f t="shared" si="14"/>
        <v>100</v>
      </c>
      <c r="X35" s="1500"/>
      <c r="Y35" s="3543"/>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43"/>
      <c r="Q36" s="1505" t="str">
        <f t="shared" si="11"/>
        <v>公共部分装修</v>
      </c>
      <c r="R36" s="1506" t="s">
        <v>8</v>
      </c>
      <c r="S36" s="1507">
        <f t="shared" si="12"/>
        <v>100</v>
      </c>
      <c r="T36" s="1506" t="s">
        <v>8</v>
      </c>
      <c r="U36" s="1507">
        <f t="shared" si="13"/>
        <v>100</v>
      </c>
      <c r="V36" s="1506" t="s">
        <v>8</v>
      </c>
      <c r="W36" s="1507">
        <f t="shared" si="14"/>
        <v>100</v>
      </c>
      <c r="X36" s="1500"/>
      <c r="Y36" s="3543"/>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43"/>
      <c r="Q37" s="1505" t="str">
        <f t="shared" si="11"/>
        <v>成新度</v>
      </c>
      <c r="R37" s="1506" t="s">
        <v>8</v>
      </c>
      <c r="S37" s="1507" t="e">
        <f t="shared" si="12"/>
        <v>#N/A</v>
      </c>
      <c r="T37" s="1506" t="s">
        <v>8</v>
      </c>
      <c r="U37" s="1507" t="e">
        <f t="shared" si="13"/>
        <v>#N/A</v>
      </c>
      <c r="V37" s="1506" t="s">
        <v>8</v>
      </c>
      <c r="W37" s="1507" t="e">
        <f t="shared" si="14"/>
        <v>#N/A</v>
      </c>
      <c r="X37" s="1500"/>
      <c r="Y37" s="3543"/>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43"/>
      <c r="Q38" s="1133" t="str">
        <f t="shared" si="11"/>
        <v>写字楼等级</v>
      </c>
      <c r="R38" s="1501" t="s">
        <v>8</v>
      </c>
      <c r="S38" s="1502">
        <f t="shared" si="12"/>
        <v>100</v>
      </c>
      <c r="T38" s="1501" t="s">
        <v>8</v>
      </c>
      <c r="U38" s="1502">
        <f t="shared" si="13"/>
        <v>100</v>
      </c>
      <c r="V38" s="1501" t="s">
        <v>8</v>
      </c>
      <c r="W38" s="1502">
        <f t="shared" si="14"/>
        <v>100</v>
      </c>
      <c r="X38" s="1503"/>
      <c r="Y38" s="3543"/>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43" t="s">
        <v>544</v>
      </c>
      <c r="Q39" s="1505" t="str">
        <f t="shared" si="11"/>
        <v>物业管理</v>
      </c>
      <c r="R39" s="1506" t="s">
        <v>8</v>
      </c>
      <c r="S39" s="1507">
        <f t="shared" si="12"/>
        <v>100</v>
      </c>
      <c r="T39" s="1506" t="s">
        <v>8</v>
      </c>
      <c r="U39" s="1507">
        <f t="shared" si="13"/>
        <v>100</v>
      </c>
      <c r="V39" s="1506" t="s">
        <v>8</v>
      </c>
      <c r="W39" s="1507">
        <f t="shared" si="14"/>
        <v>100</v>
      </c>
      <c r="X39" s="1500"/>
      <c r="Y39" s="3543" t="s">
        <v>544</v>
      </c>
      <c r="Z39" s="1508" t="str">
        <f t="shared" si="15"/>
        <v>物业管理</v>
      </c>
      <c r="AA39" s="1509">
        <f t="shared" si="3"/>
        <v>1</v>
      </c>
      <c r="AB39" s="1509">
        <f t="shared" si="4"/>
        <v>1</v>
      </c>
      <c r="AC39" s="1509">
        <f t="shared" si="5"/>
        <v>1</v>
      </c>
    </row>
    <row r="40" spans="1:29" ht="15">
      <c r="A40" s="587"/>
      <c r="B40" s="1807"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43"/>
      <c r="Q40" s="1505" t="str">
        <f t="shared" si="11"/>
        <v>市政基础设施</v>
      </c>
      <c r="R40" s="1506" t="s">
        <v>8</v>
      </c>
      <c r="S40" s="1507">
        <f t="shared" si="12"/>
        <v>100</v>
      </c>
      <c r="T40" s="1506" t="s">
        <v>8</v>
      </c>
      <c r="U40" s="1507">
        <f t="shared" si="13"/>
        <v>100</v>
      </c>
      <c r="V40" s="1506" t="s">
        <v>8</v>
      </c>
      <c r="W40" s="1507">
        <f t="shared" si="14"/>
        <v>100</v>
      </c>
      <c r="X40" s="1500"/>
      <c r="Y40" s="3543"/>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43"/>
      <c r="Q41" s="1505" t="str">
        <f t="shared" si="11"/>
        <v>层高</v>
      </c>
      <c r="R41" s="1506" t="s">
        <v>8</v>
      </c>
      <c r="S41" s="1507">
        <f t="shared" si="12"/>
        <v>100</v>
      </c>
      <c r="T41" s="1506" t="s">
        <v>8</v>
      </c>
      <c r="U41" s="1507">
        <f t="shared" si="13"/>
        <v>100</v>
      </c>
      <c r="V41" s="1506" t="s">
        <v>8</v>
      </c>
      <c r="W41" s="1507">
        <f t="shared" si="14"/>
        <v>100</v>
      </c>
      <c r="X41" s="1500"/>
      <c r="Y41" s="3543"/>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43"/>
      <c r="Q42" s="1534" t="str">
        <f t="shared" si="11"/>
        <v>单套建筑面积</v>
      </c>
      <c r="R42" s="1510" t="s">
        <v>8</v>
      </c>
      <c r="S42" s="1511">
        <f t="shared" si="12"/>
        <v>100</v>
      </c>
      <c r="T42" s="1510" t="s">
        <v>8</v>
      </c>
      <c r="U42" s="1511">
        <f t="shared" si="13"/>
        <v>100</v>
      </c>
      <c r="V42" s="1510" t="s">
        <v>8</v>
      </c>
      <c r="W42" s="1511">
        <f t="shared" si="14"/>
        <v>100</v>
      </c>
      <c r="X42" s="1512"/>
      <c r="Y42" s="3543"/>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43"/>
      <c r="Q43" s="1505" t="str">
        <f t="shared" si="11"/>
        <v>内部装修</v>
      </c>
      <c r="R43" s="1506" t="s">
        <v>8</v>
      </c>
      <c r="S43" s="1507">
        <f t="shared" si="12"/>
        <v>100</v>
      </c>
      <c r="T43" s="1506" t="s">
        <v>8</v>
      </c>
      <c r="U43" s="1507">
        <f t="shared" si="13"/>
        <v>100</v>
      </c>
      <c r="V43" s="1506" t="s">
        <v>8</v>
      </c>
      <c r="W43" s="1507">
        <f t="shared" si="14"/>
        <v>100</v>
      </c>
      <c r="X43" s="1500"/>
      <c r="Y43" s="3543"/>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43"/>
      <c r="Q44" s="1505" t="str">
        <f t="shared" si="11"/>
        <v>内部装修维护情况</v>
      </c>
      <c r="R44" s="1506" t="s">
        <v>8</v>
      </c>
      <c r="S44" s="1507">
        <f t="shared" si="12"/>
        <v>100</v>
      </c>
      <c r="T44" s="1506" t="s">
        <v>8</v>
      </c>
      <c r="U44" s="1507">
        <f t="shared" si="13"/>
        <v>100</v>
      </c>
      <c r="V44" s="1506" t="s">
        <v>8</v>
      </c>
      <c r="W44" s="1507">
        <f t="shared" si="14"/>
        <v>100</v>
      </c>
      <c r="X44" s="1500"/>
      <c r="Y44" s="3543"/>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43"/>
      <c r="Q45" s="1133">
        <f t="shared" si="11"/>
        <v>111</v>
      </c>
      <c r="R45" s="1501" t="s">
        <v>8</v>
      </c>
      <c r="S45" s="1502">
        <f t="shared" si="12"/>
        <v>100</v>
      </c>
      <c r="T45" s="1501" t="s">
        <v>8</v>
      </c>
      <c r="U45" s="1502">
        <f t="shared" si="13"/>
        <v>100</v>
      </c>
      <c r="V45" s="1501" t="s">
        <v>8</v>
      </c>
      <c r="W45" s="1502">
        <f t="shared" si="14"/>
        <v>100</v>
      </c>
      <c r="X45" s="1503"/>
      <c r="Y45" s="3543"/>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43"/>
      <c r="Q46" s="1505">
        <f t="shared" si="11"/>
        <v>111</v>
      </c>
      <c r="R46" s="1506" t="s">
        <v>8</v>
      </c>
      <c r="S46" s="1507">
        <f t="shared" si="12"/>
        <v>100</v>
      </c>
      <c r="T46" s="1506" t="s">
        <v>8</v>
      </c>
      <c r="U46" s="1507">
        <f t="shared" si="13"/>
        <v>100</v>
      </c>
      <c r="V46" s="1506" t="s">
        <v>8</v>
      </c>
      <c r="W46" s="1507">
        <f t="shared" si="14"/>
        <v>100</v>
      </c>
      <c r="X46" s="1500"/>
      <c r="Y46" s="3543"/>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604"/>
      <c r="Q47" s="1505">
        <f t="shared" si="11"/>
        <v>111</v>
      </c>
      <c r="R47" s="1506" t="s">
        <v>8</v>
      </c>
      <c r="S47" s="1507">
        <f t="shared" si="12"/>
        <v>100</v>
      </c>
      <c r="T47" s="1506" t="s">
        <v>8</v>
      </c>
      <c r="U47" s="1507">
        <f t="shared" si="13"/>
        <v>100</v>
      </c>
      <c r="V47" s="1506" t="s">
        <v>8</v>
      </c>
      <c r="W47" s="1507">
        <f t="shared" si="14"/>
        <v>100</v>
      </c>
      <c r="X47" s="1500"/>
      <c r="Y47" s="3604"/>
      <c r="Z47" s="1508">
        <f t="shared" si="15"/>
        <v>111</v>
      </c>
      <c r="AA47" s="1509">
        <f t="shared" si="3"/>
        <v>1</v>
      </c>
      <c r="AB47" s="1509">
        <f t="shared" si="4"/>
        <v>1</v>
      </c>
      <c r="AC47" s="1509">
        <f t="shared" si="5"/>
        <v>1</v>
      </c>
    </row>
    <row r="48" spans="1:29" ht="15">
      <c r="A48" s="600" t="s">
        <v>730</v>
      </c>
      <c r="B48" s="875"/>
      <c r="C48" s="2468" t="s">
        <v>1</v>
      </c>
      <c r="D48" s="2469"/>
      <c r="E48" s="2470"/>
      <c r="F48" s="2471"/>
      <c r="G48" s="2472"/>
      <c r="H48" s="2473"/>
      <c r="I48" s="2470"/>
      <c r="J48" s="2473"/>
      <c r="K48" s="1539"/>
      <c r="L48" s="2024"/>
      <c r="M48" s="2014"/>
      <c r="N48" s="2014"/>
      <c r="O48" s="2014"/>
      <c r="P48" s="3504" t="str">
        <f>A48</f>
        <v>成交单价（元/平方米）</v>
      </c>
      <c r="Q48" s="3506"/>
      <c r="R48" s="3603">
        <f>E48</f>
        <v>0</v>
      </c>
      <c r="S48" s="3603"/>
      <c r="T48" s="3603">
        <f>G48</f>
        <v>0</v>
      </c>
      <c r="U48" s="3603"/>
      <c r="V48" s="3603">
        <f>I48</f>
        <v>0</v>
      </c>
      <c r="W48" s="3603"/>
      <c r="X48" s="1495"/>
      <c r="Y48" s="1514"/>
      <c r="Z48" s="1495"/>
      <c r="AA48" s="1495"/>
      <c r="AB48" s="1495"/>
      <c r="AC48" s="1495"/>
    </row>
    <row r="49" spans="1:29" ht="15.75" thickBot="1">
      <c r="A49" s="608" t="s">
        <v>2716</v>
      </c>
      <c r="B49" s="876"/>
      <c r="C49" s="2474" t="e">
        <f>R50</f>
        <v>#DIV/0!</v>
      </c>
      <c r="D49" s="2896" t="s">
        <v>2938</v>
      </c>
      <c r="E49" s="2475" t="e">
        <f>R49</f>
        <v>#DIV/0!</v>
      </c>
      <c r="F49" s="2897"/>
      <c r="G49" s="2474" t="e">
        <f>T49</f>
        <v>#DIV/0!</v>
      </c>
      <c r="H49" s="2897"/>
      <c r="I49" s="2475" t="e">
        <f>V49</f>
        <v>#DIV/0!</v>
      </c>
      <c r="J49" s="2897"/>
      <c r="K49" s="2905">
        <f>F49+H49+J49</f>
        <v>0</v>
      </c>
      <c r="L49" s="2024"/>
      <c r="M49" s="2014"/>
      <c r="N49" s="2014"/>
      <c r="O49" s="2014"/>
      <c r="P49" s="3504" t="str">
        <f>A49</f>
        <v>比较价格（元/平方米）</v>
      </c>
      <c r="Q49" s="3506"/>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495"/>
      <c r="Y49" s="1495"/>
      <c r="Z49" s="1495"/>
      <c r="AA49" s="1495"/>
      <c r="AB49" s="1495"/>
      <c r="AC49" s="1495"/>
    </row>
    <row r="50" spans="1:29" ht="15.75" thickBot="1">
      <c r="A50" s="612" t="s">
        <v>2874</v>
      </c>
      <c r="B50" s="613"/>
      <c r="C50" s="2476" t="e">
        <f>R50</f>
        <v>#DIV/0!</v>
      </c>
      <c r="D50" s="2476"/>
      <c r="E50" s="2476"/>
      <c r="F50" s="2476"/>
      <c r="G50" s="2476"/>
      <c r="H50" s="2476"/>
      <c r="I50" s="2476"/>
      <c r="J50" s="2476"/>
      <c r="K50" s="1540"/>
      <c r="L50" s="2024"/>
      <c r="M50" s="2014"/>
      <c r="N50" s="2014"/>
      <c r="O50" s="2014"/>
      <c r="P50" s="3605" t="str">
        <f>A50</f>
        <v>估价对象XX用房的比较价格（楼面单价，元/平方米）</v>
      </c>
      <c r="Q50" s="3504"/>
      <c r="R50" s="3602" t="e">
        <f>IF(F1="售价",ROUND(IF(D49="简单平均",AVERAGE(R49:V49),R49*F49+T49*H49+V49*J49),0),ROUND(IF(D49="简单平均",AVERAGE(R49:V49),R49*F49+T49*H49+V49*J49),1))</f>
        <v>#DIV/0!</v>
      </c>
      <c r="S50" s="3602"/>
      <c r="T50" s="3602"/>
      <c r="U50" s="3602"/>
      <c r="V50" s="3602"/>
      <c r="W50" s="3602"/>
      <c r="X50" s="1495"/>
      <c r="Y50" s="1495"/>
      <c r="Z50" s="1495"/>
      <c r="AA50" s="1495"/>
      <c r="AB50" s="1495"/>
      <c r="AC50" s="1495"/>
    </row>
    <row r="51" spans="1:29">
      <c r="A51" s="3094"/>
      <c r="B51" s="3094"/>
      <c r="C51" s="3094"/>
      <c r="D51" s="3094"/>
      <c r="E51" s="3094"/>
      <c r="F51" s="3094"/>
      <c r="G51" s="3096"/>
      <c r="H51" s="3094"/>
      <c r="I51" s="3094"/>
      <c r="J51" s="3094"/>
      <c r="K51" s="3097"/>
      <c r="L51" s="2029"/>
      <c r="M51" s="2025"/>
      <c r="N51" s="2025"/>
      <c r="O51" s="2025"/>
      <c r="P51" s="2086"/>
      <c r="Q51" s="2025"/>
      <c r="R51" s="2025"/>
      <c r="S51" s="2025"/>
      <c r="T51" s="2025"/>
      <c r="U51" s="2025"/>
      <c r="V51" s="2025"/>
      <c r="W51" s="2025"/>
      <c r="X51" s="2025"/>
      <c r="Y51" s="2025"/>
      <c r="Z51" s="2025"/>
      <c r="AA51" s="2025"/>
      <c r="AB51" s="2025"/>
      <c r="AC51" s="2025"/>
    </row>
    <row r="52" spans="1:29">
      <c r="A52" s="3094"/>
      <c r="B52" s="3094"/>
      <c r="C52" s="3094"/>
      <c r="D52" s="3094"/>
      <c r="E52" s="3094"/>
      <c r="F52" s="3094"/>
      <c r="G52" s="3094"/>
      <c r="H52" s="3094"/>
      <c r="I52" s="3094"/>
      <c r="J52" s="3094"/>
      <c r="K52" s="3097"/>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094"/>
      <c r="B53" s="3094"/>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097"/>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094"/>
      <c r="B54" s="3094"/>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097"/>
      <c r="L54" s="2029"/>
      <c r="M54" s="2025"/>
      <c r="N54" s="2025"/>
      <c r="O54" s="2025"/>
      <c r="P54" s="2086"/>
      <c r="Q54" s="2025"/>
      <c r="R54" s="2025"/>
      <c r="S54" s="2025"/>
      <c r="T54" s="2025"/>
      <c r="U54" s="2025"/>
      <c r="V54" s="2025"/>
      <c r="W54" s="2025"/>
      <c r="X54" s="2025"/>
      <c r="Y54" s="2025"/>
      <c r="Z54" s="2025"/>
      <c r="AA54" s="2025"/>
      <c r="AB54" s="2025"/>
      <c r="AC54" s="2025"/>
    </row>
    <row r="55" spans="1:29" s="1297" customFormat="1" ht="13.5" customHeight="1">
      <c r="A55" s="3095"/>
      <c r="B55" s="3095"/>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098"/>
      <c r="L55" s="2032"/>
      <c r="M55" s="2026"/>
      <c r="N55" s="2026"/>
      <c r="O55" s="2026"/>
      <c r="P55" s="2087"/>
      <c r="Q55" s="2026"/>
      <c r="R55" s="2026"/>
      <c r="S55" s="2026"/>
      <c r="T55" s="2026"/>
      <c r="U55" s="2026"/>
      <c r="V55" s="2026"/>
      <c r="W55" s="2026"/>
      <c r="X55" s="2026"/>
      <c r="Y55" s="2026"/>
      <c r="Z55" s="2026"/>
      <c r="AA55" s="2026"/>
      <c r="AB55" s="2026"/>
      <c r="AC55" s="2026"/>
    </row>
    <row r="56" spans="1:29" s="1297"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9" customFormat="1" ht="15">
      <c r="A59" s="636" t="s">
        <v>523</v>
      </c>
      <c r="B59" s="637"/>
      <c r="C59" s="2517" t="str">
        <f>YEAR(C7)&amp;"-"&amp;MONTH(C7)</f>
        <v>2021-3</v>
      </c>
      <c r="D59" s="2519">
        <f>EDATE(C59,-1)</f>
        <v>44228</v>
      </c>
      <c r="E59" s="2519">
        <f t="shared" ref="E59:O59" si="16">EDATE(D59,-1)</f>
        <v>44197</v>
      </c>
      <c r="F59" s="2519">
        <f t="shared" si="16"/>
        <v>44166</v>
      </c>
      <c r="G59" s="2519">
        <f t="shared" si="16"/>
        <v>44136</v>
      </c>
      <c r="H59" s="2519">
        <f t="shared" si="16"/>
        <v>44105</v>
      </c>
      <c r="I59" s="2519">
        <f t="shared" si="16"/>
        <v>44075</v>
      </c>
      <c r="J59" s="2519">
        <f t="shared" si="16"/>
        <v>44044</v>
      </c>
      <c r="K59" s="2519">
        <f t="shared" si="16"/>
        <v>44013</v>
      </c>
      <c r="L59" s="2519">
        <f t="shared" si="16"/>
        <v>43983</v>
      </c>
      <c r="M59" s="2519">
        <f t="shared" si="16"/>
        <v>43952</v>
      </c>
      <c r="N59" s="2519">
        <f t="shared" si="16"/>
        <v>43922</v>
      </c>
      <c r="O59" s="2519">
        <f t="shared" si="16"/>
        <v>43891</v>
      </c>
      <c r="P59" s="2089"/>
      <c r="Q59" s="2040"/>
      <c r="R59" s="2040"/>
      <c r="S59" s="2040"/>
      <c r="T59" s="2040"/>
      <c r="U59" s="2040"/>
      <c r="V59" s="2040"/>
      <c r="W59" s="2040"/>
      <c r="X59" s="2040"/>
      <c r="Y59" s="2040"/>
      <c r="Z59" s="2040"/>
      <c r="AA59" s="2040"/>
      <c r="AB59" s="2040"/>
      <c r="AC59" s="2040"/>
    </row>
    <row r="60" spans="1:29" s="1202"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2"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2"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2"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2"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2"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2"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2"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2"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2"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2536</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2537</v>
      </c>
      <c r="C83" s="2440" t="s">
        <v>2538</v>
      </c>
      <c r="D83" s="2440" t="s">
        <v>2539</v>
      </c>
      <c r="E83" s="2440" t="s">
        <v>2540</v>
      </c>
      <c r="F83" s="2440" t="s">
        <v>2541</v>
      </c>
      <c r="G83" s="2440" t="s">
        <v>2542</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2"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2"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2"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2"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2"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2"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2535</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2"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2"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2"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2"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2"/>
      <c r="G1" s="1530" t="s">
        <v>715</v>
      </c>
      <c r="H1" s="499"/>
      <c r="I1" s="499"/>
      <c r="J1" s="499"/>
      <c r="K1" s="500"/>
      <c r="L1" s="3090"/>
      <c r="M1" s="3091"/>
      <c r="N1" s="3091"/>
      <c r="O1" s="3091"/>
      <c r="P1" s="2012"/>
      <c r="Q1" s="2012"/>
      <c r="R1" s="2012"/>
      <c r="S1" s="2012"/>
      <c r="T1" s="2012"/>
      <c r="U1" s="2012"/>
      <c r="V1" s="2012"/>
      <c r="W1" s="2012"/>
      <c r="X1" s="2012"/>
      <c r="Y1" s="2012"/>
      <c r="Z1" s="2012"/>
      <c r="AA1" s="2012"/>
      <c r="AB1" s="2012"/>
      <c r="AC1" s="1942"/>
    </row>
    <row r="2" spans="1:29" s="1289"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9"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515</v>
      </c>
      <c r="B4" s="506"/>
      <c r="C4" s="3512" t="s">
        <v>516</v>
      </c>
      <c r="D4" s="3513"/>
      <c r="E4" s="3546" t="s">
        <v>517</v>
      </c>
      <c r="F4" s="3547"/>
      <c r="G4" s="3512" t="s">
        <v>518</v>
      </c>
      <c r="H4" s="3513"/>
      <c r="I4" s="3512" t="s">
        <v>519</v>
      </c>
      <c r="J4" s="3513"/>
      <c r="K4" s="507" t="s">
        <v>520</v>
      </c>
      <c r="L4" s="2013"/>
      <c r="M4" s="2014"/>
      <c r="N4" s="2014"/>
      <c r="O4" s="2014"/>
      <c r="P4" s="3514" t="s">
        <v>521</v>
      </c>
      <c r="Q4" s="3515"/>
      <c r="R4" s="3520" t="s">
        <v>517</v>
      </c>
      <c r="S4" s="3521"/>
      <c r="T4" s="3520" t="s">
        <v>518</v>
      </c>
      <c r="U4" s="3521"/>
      <c r="V4" s="3507" t="s">
        <v>519</v>
      </c>
      <c r="W4" s="3507"/>
      <c r="X4" s="1500"/>
      <c r="Y4" s="3520" t="s">
        <v>521</v>
      </c>
      <c r="Z4" s="3521"/>
      <c r="AA4" s="3509" t="s">
        <v>517</v>
      </c>
      <c r="AB4" s="3510" t="s">
        <v>518</v>
      </c>
      <c r="AC4" s="3509" t="s">
        <v>519</v>
      </c>
    </row>
    <row r="5" spans="1:29" ht="15">
      <c r="A5" s="508"/>
      <c r="B5" s="509"/>
      <c r="C5" s="3528" t="s">
        <v>2868</v>
      </c>
      <c r="D5" s="3529"/>
      <c r="E5" s="3548" t="s">
        <v>2869</v>
      </c>
      <c r="F5" s="3549"/>
      <c r="G5" s="3528" t="s">
        <v>2870</v>
      </c>
      <c r="H5" s="3529"/>
      <c r="I5" s="3528" t="s">
        <v>2871</v>
      </c>
      <c r="J5" s="3529"/>
      <c r="K5" s="507"/>
      <c r="L5" s="2013"/>
      <c r="M5" s="2014"/>
      <c r="N5" s="2014"/>
      <c r="O5" s="2014"/>
      <c r="P5" s="3516"/>
      <c r="Q5" s="3517"/>
      <c r="R5" s="3522"/>
      <c r="S5" s="3523"/>
      <c r="T5" s="3522"/>
      <c r="U5" s="3523"/>
      <c r="V5" s="3507"/>
      <c r="W5" s="3507"/>
      <c r="X5" s="1500"/>
      <c r="Y5" s="3522"/>
      <c r="Z5" s="3523"/>
      <c r="AA5" s="3510"/>
      <c r="AB5" s="3510"/>
      <c r="AC5" s="3510"/>
    </row>
    <row r="6" spans="1:29" ht="15.75" thickBot="1">
      <c r="A6" s="510"/>
      <c r="B6" s="511"/>
      <c r="C6" s="3526" t="s">
        <v>2872</v>
      </c>
      <c r="D6" s="3527"/>
      <c r="E6" s="3544" t="s">
        <v>2872</v>
      </c>
      <c r="F6" s="3545"/>
      <c r="G6" s="3526" t="s">
        <v>2872</v>
      </c>
      <c r="H6" s="3527"/>
      <c r="I6" s="3526" t="s">
        <v>2872</v>
      </c>
      <c r="J6" s="3527"/>
      <c r="K6" s="507" t="s">
        <v>522</v>
      </c>
      <c r="L6" s="2013"/>
      <c r="M6" s="2014"/>
      <c r="N6" s="2014"/>
      <c r="O6" s="2014"/>
      <c r="P6" s="3518"/>
      <c r="Q6" s="3519"/>
      <c r="R6" s="3522"/>
      <c r="S6" s="3523"/>
      <c r="T6" s="3524"/>
      <c r="U6" s="3525"/>
      <c r="V6" s="3507"/>
      <c r="W6" s="3507"/>
      <c r="X6" s="1500"/>
      <c r="Y6" s="3524"/>
      <c r="Z6" s="3525"/>
      <c r="AA6" s="3511"/>
      <c r="AB6" s="3511"/>
      <c r="AC6" s="3511"/>
    </row>
    <row r="7" spans="1:29" s="1202" customFormat="1" ht="15.75" thickBot="1">
      <c r="A7" s="2627"/>
      <c r="B7" s="2634" t="s">
        <v>523</v>
      </c>
      <c r="C7" s="512">
        <f>'数据-取费表'!B2</f>
        <v>44266</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37" t="s">
        <v>524</v>
      </c>
      <c r="Q7" s="3539"/>
      <c r="R7" s="1501" t="s">
        <v>8</v>
      </c>
      <c r="S7" s="1502">
        <f t="shared" ref="S7:S15" si="0">F7</f>
        <v>0</v>
      </c>
      <c r="T7" s="1501" t="s">
        <v>8</v>
      </c>
      <c r="U7" s="1502">
        <f t="shared" ref="U7:U15" si="1">H7</f>
        <v>0</v>
      </c>
      <c r="V7" s="1501" t="s">
        <v>8</v>
      </c>
      <c r="W7" s="1502">
        <f t="shared" ref="W7:W15"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37" t="s">
        <v>527</v>
      </c>
      <c r="Q8" s="3538"/>
      <c r="R8" s="1501" t="s">
        <v>8</v>
      </c>
      <c r="S8" s="1502">
        <f t="shared" si="0"/>
        <v>0</v>
      </c>
      <c r="T8" s="1501" t="s">
        <v>8</v>
      </c>
      <c r="U8" s="1502">
        <f t="shared" si="1"/>
        <v>0</v>
      </c>
      <c r="V8" s="1501" t="s">
        <v>8</v>
      </c>
      <c r="W8" s="1502">
        <f t="shared" si="2"/>
        <v>0</v>
      </c>
      <c r="X8" s="1503"/>
      <c r="Y8" s="3537" t="s">
        <v>527</v>
      </c>
      <c r="Z8" s="3538"/>
      <c r="AA8" s="1504" t="e">
        <f t="shared" ref="AA8:AA40" si="3">D8/F8</f>
        <v>#DIV/0!</v>
      </c>
      <c r="AB8" s="1504" t="e">
        <f t="shared" ref="AB8:AB40" si="4">D8/H8</f>
        <v>#DIV/0!</v>
      </c>
      <c r="AC8" s="1504" t="e">
        <f t="shared" ref="AC8:AC40" si="5">D8/J8</f>
        <v>#DIV/0!</v>
      </c>
    </row>
    <row r="9" spans="1:29" s="1202" customFormat="1" ht="15">
      <c r="A9" s="2629"/>
      <c r="B9" s="2636" t="s">
        <v>2712</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506" t="s">
        <v>529</v>
      </c>
      <c r="Q9" s="1133" t="str">
        <f t="shared" ref="Q9:Q15" si="6">B9</f>
        <v>用途</v>
      </c>
      <c r="R9" s="1501" t="s">
        <v>8</v>
      </c>
      <c r="S9" s="1502">
        <f t="shared" si="0"/>
        <v>100</v>
      </c>
      <c r="T9" s="1501" t="s">
        <v>8</v>
      </c>
      <c r="U9" s="1502">
        <f t="shared" si="1"/>
        <v>100</v>
      </c>
      <c r="V9" s="1501" t="s">
        <v>8</v>
      </c>
      <c r="W9" s="1502">
        <f t="shared" si="2"/>
        <v>100</v>
      </c>
      <c r="X9" s="1503"/>
      <c r="Y9" s="3431"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506"/>
      <c r="Q11" s="1133" t="str">
        <f t="shared" si="6"/>
        <v>容积率</v>
      </c>
      <c r="R11" s="1501" t="s">
        <v>8</v>
      </c>
      <c r="S11" s="1502" t="e">
        <f t="shared" si="0"/>
        <v>#N/A</v>
      </c>
      <c r="T11" s="1501" t="s">
        <v>8</v>
      </c>
      <c r="U11" s="1502" t="e">
        <f t="shared" si="1"/>
        <v>#N/A</v>
      </c>
      <c r="V11" s="1501" t="s">
        <v>8</v>
      </c>
      <c r="W11" s="1502" t="e">
        <f t="shared" si="2"/>
        <v>#N/A</v>
      </c>
      <c r="X11" s="1503"/>
      <c r="Y11" s="343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506"/>
      <c r="Q12" s="1133">
        <f t="shared" si="6"/>
        <v>111</v>
      </c>
      <c r="R12" s="1501" t="s">
        <v>8</v>
      </c>
      <c r="S12" s="1502">
        <f t="shared" si="0"/>
        <v>100</v>
      </c>
      <c r="T12" s="1501" t="s">
        <v>8</v>
      </c>
      <c r="U12" s="1502">
        <f t="shared" si="1"/>
        <v>100</v>
      </c>
      <c r="V12" s="1501" t="s">
        <v>8</v>
      </c>
      <c r="W12" s="1502">
        <f t="shared" si="2"/>
        <v>100</v>
      </c>
      <c r="X12" s="1503"/>
      <c r="Y12" s="3431"/>
      <c r="Z12" s="1132">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506"/>
      <c r="Q13" s="1133">
        <f t="shared" si="6"/>
        <v>111</v>
      </c>
      <c r="R13" s="1501" t="s">
        <v>8</v>
      </c>
      <c r="S13" s="1502">
        <f t="shared" si="0"/>
        <v>100</v>
      </c>
      <c r="T13" s="1501" t="s">
        <v>8</v>
      </c>
      <c r="U13" s="1502">
        <f t="shared" si="1"/>
        <v>100</v>
      </c>
      <c r="V13" s="1501" t="s">
        <v>8</v>
      </c>
      <c r="W13" s="1502">
        <f t="shared" si="2"/>
        <v>100</v>
      </c>
      <c r="X13" s="1503"/>
      <c r="Y13" s="3431"/>
      <c r="Z13" s="1132">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506"/>
      <c r="Q14" s="1133">
        <f t="shared" si="6"/>
        <v>111</v>
      </c>
      <c r="R14" s="1501" t="s">
        <v>8</v>
      </c>
      <c r="S14" s="1502">
        <f t="shared" si="0"/>
        <v>100</v>
      </c>
      <c r="T14" s="1501" t="s">
        <v>8</v>
      </c>
      <c r="U14" s="1502">
        <f t="shared" si="1"/>
        <v>100</v>
      </c>
      <c r="V14" s="1501" t="s">
        <v>8</v>
      </c>
      <c r="W14" s="1502">
        <f t="shared" si="2"/>
        <v>100</v>
      </c>
      <c r="X14" s="1503"/>
      <c r="Y14" s="3431"/>
      <c r="Z14" s="1132">
        <f t="shared" si="7"/>
        <v>111</v>
      </c>
      <c r="AA14" s="1504">
        <f t="shared" si="3"/>
        <v>1</v>
      </c>
      <c r="AB14" s="1504">
        <f t="shared" si="4"/>
        <v>1</v>
      </c>
      <c r="AC14" s="1504">
        <f t="shared" si="5"/>
        <v>1</v>
      </c>
    </row>
    <row r="15" spans="1:29" ht="57">
      <c r="A15" s="2625" t="s">
        <v>2710</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40" t="s">
        <v>534</v>
      </c>
      <c r="Q15" s="1505" t="str">
        <f t="shared" si="6"/>
        <v>产业集聚程度</v>
      </c>
      <c r="R15" s="1506" t="s">
        <v>8</v>
      </c>
      <c r="S15" s="1507">
        <f t="shared" si="0"/>
        <v>100</v>
      </c>
      <c r="T15" s="1506" t="s">
        <v>8</v>
      </c>
      <c r="U15" s="1507">
        <f t="shared" si="1"/>
        <v>100</v>
      </c>
      <c r="V15" s="1506" t="s">
        <v>8</v>
      </c>
      <c r="W15" s="1507">
        <f t="shared" si="2"/>
        <v>100</v>
      </c>
      <c r="X15" s="1500"/>
      <c r="Y15" s="3540"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41"/>
      <c r="Q16" s="1505"/>
      <c r="R16" s="1506"/>
      <c r="S16" s="1507"/>
      <c r="T16" s="1506"/>
      <c r="U16" s="1507"/>
      <c r="V16" s="1506"/>
      <c r="W16" s="1507"/>
      <c r="X16" s="1500"/>
      <c r="Y16" s="3541"/>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41"/>
      <c r="Q17" s="1505" t="str">
        <f>B17</f>
        <v>交通便捷度</v>
      </c>
      <c r="R17" s="1506" t="s">
        <v>8</v>
      </c>
      <c r="S17" s="1507">
        <f>F17</f>
        <v>100</v>
      </c>
      <c r="T17" s="1506" t="s">
        <v>8</v>
      </c>
      <c r="U17" s="1507">
        <f>H17</f>
        <v>100</v>
      </c>
      <c r="V17" s="1506" t="s">
        <v>8</v>
      </c>
      <c r="W17" s="1507">
        <f>J17</f>
        <v>100</v>
      </c>
      <c r="X17" s="1500"/>
      <c r="Y17" s="354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41"/>
      <c r="Q18" s="1505"/>
      <c r="R18" s="1506"/>
      <c r="S18" s="1507"/>
      <c r="T18" s="1506"/>
      <c r="U18" s="1507"/>
      <c r="V18" s="1506"/>
      <c r="W18" s="1507"/>
      <c r="X18" s="1500"/>
      <c r="Y18" s="3541"/>
      <c r="Z18" s="1508"/>
      <c r="AA18" s="1509">
        <v>1</v>
      </c>
      <c r="AB18" s="1509">
        <v>1</v>
      </c>
      <c r="AC18" s="1509">
        <v>1</v>
      </c>
    </row>
    <row r="19" spans="1:29" ht="42.75">
      <c r="A19" s="525"/>
      <c r="B19" s="2445"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41"/>
      <c r="Q19" s="1505" t="str">
        <f>B19</f>
        <v>公共配套设施</v>
      </c>
      <c r="R19" s="1506" t="s">
        <v>8</v>
      </c>
      <c r="S19" s="1507">
        <f>F19</f>
        <v>100</v>
      </c>
      <c r="T19" s="1506" t="s">
        <v>8</v>
      </c>
      <c r="U19" s="1507">
        <f>H19</f>
        <v>100</v>
      </c>
      <c r="V19" s="1506" t="s">
        <v>8</v>
      </c>
      <c r="W19" s="1507">
        <f>J19</f>
        <v>100</v>
      </c>
      <c r="X19" s="1500"/>
      <c r="Y19" s="3541"/>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541"/>
      <c r="Q20" s="1505"/>
      <c r="R20" s="1506"/>
      <c r="S20" s="1507"/>
      <c r="T20" s="1506"/>
      <c r="U20" s="1507"/>
      <c r="V20" s="1506"/>
      <c r="W20" s="1507"/>
      <c r="X20" s="1500"/>
      <c r="Y20" s="3541"/>
      <c r="Z20" s="1508"/>
      <c r="AA20" s="1509">
        <v>1</v>
      </c>
      <c r="AB20" s="1509">
        <v>1</v>
      </c>
      <c r="AC20" s="1509">
        <v>1</v>
      </c>
    </row>
    <row r="21" spans="1:29" ht="28.5">
      <c r="A21" s="525"/>
      <c r="B21" s="2433"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41"/>
      <c r="Q21" s="2427" t="str">
        <f>B21</f>
        <v>基础设施水平</v>
      </c>
      <c r="R21" s="1506" t="s">
        <v>8</v>
      </c>
      <c r="S21" s="1507">
        <f>F21</f>
        <v>100</v>
      </c>
      <c r="T21" s="1506" t="s">
        <v>8</v>
      </c>
      <c r="U21" s="1507">
        <f>H21</f>
        <v>100</v>
      </c>
      <c r="V21" s="1506" t="s">
        <v>8</v>
      </c>
      <c r="W21" s="1507">
        <f>J21</f>
        <v>100</v>
      </c>
      <c r="X21" s="2429"/>
      <c r="Y21" s="3541"/>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541"/>
      <c r="Q22" s="2427"/>
      <c r="R22" s="1506"/>
      <c r="S22" s="1507"/>
      <c r="T22" s="1506"/>
      <c r="U22" s="1507"/>
      <c r="V22" s="1506"/>
      <c r="W22" s="1507"/>
      <c r="X22" s="2429"/>
      <c r="Y22" s="3541"/>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41"/>
      <c r="Q23" s="1505" t="str">
        <f>B23</f>
        <v>环境质量</v>
      </c>
      <c r="R23" s="1506" t="s">
        <v>8</v>
      </c>
      <c r="S23" s="1507">
        <f>F23</f>
        <v>100</v>
      </c>
      <c r="T23" s="1506" t="s">
        <v>8</v>
      </c>
      <c r="U23" s="1507">
        <f>H23</f>
        <v>100</v>
      </c>
      <c r="V23" s="1506" t="s">
        <v>8</v>
      </c>
      <c r="W23" s="1507">
        <f>J23</f>
        <v>100</v>
      </c>
      <c r="X23" s="1500"/>
      <c r="Y23" s="3541"/>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541"/>
      <c r="Q24" s="1505"/>
      <c r="R24" s="1506"/>
      <c r="S24" s="1507"/>
      <c r="T24" s="1506"/>
      <c r="U24" s="1507"/>
      <c r="V24" s="1506"/>
      <c r="W24" s="1507"/>
      <c r="X24" s="1500"/>
      <c r="Y24" s="3541"/>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41"/>
      <c r="Q25" s="1505">
        <f>B25</f>
        <v>111</v>
      </c>
      <c r="R25" s="1506" t="s">
        <v>8</v>
      </c>
      <c r="S25" s="1507">
        <f>F25</f>
        <v>100</v>
      </c>
      <c r="T25" s="1506" t="s">
        <v>8</v>
      </c>
      <c r="U25" s="1507">
        <f>H25</f>
        <v>100</v>
      </c>
      <c r="V25" s="1506" t="s">
        <v>8</v>
      </c>
      <c r="W25" s="1507">
        <f>J25</f>
        <v>100</v>
      </c>
      <c r="X25" s="1500"/>
      <c r="Y25" s="3541"/>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41"/>
      <c r="Q26" s="1505">
        <f t="shared" ref="Q26:Q40" si="11">B26</f>
        <v>111</v>
      </c>
      <c r="R26" s="1506" t="s">
        <v>8</v>
      </c>
      <c r="S26" s="1507">
        <f>F26</f>
        <v>100</v>
      </c>
      <c r="T26" s="1506" t="s">
        <v>8</v>
      </c>
      <c r="U26" s="1507">
        <f>H26</f>
        <v>100</v>
      </c>
      <c r="V26" s="1506" t="s">
        <v>8</v>
      </c>
      <c r="W26" s="1507">
        <f>J26</f>
        <v>100</v>
      </c>
      <c r="X26" s="1500"/>
      <c r="Y26" s="3541"/>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41"/>
      <c r="Q27" s="1133">
        <f t="shared" si="11"/>
        <v>111</v>
      </c>
      <c r="R27" s="1501" t="s">
        <v>8</v>
      </c>
      <c r="S27" s="1502">
        <f>F27</f>
        <v>100</v>
      </c>
      <c r="T27" s="1501" t="s">
        <v>8</v>
      </c>
      <c r="U27" s="1502">
        <f>H27</f>
        <v>100</v>
      </c>
      <c r="V27" s="1501" t="s">
        <v>8</v>
      </c>
      <c r="W27" s="1502">
        <f>J27</f>
        <v>100</v>
      </c>
      <c r="X27" s="1503"/>
      <c r="Y27" s="3541"/>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41"/>
      <c r="Q28" s="1505">
        <f t="shared" si="11"/>
        <v>111</v>
      </c>
      <c r="R28" s="1506" t="s">
        <v>8</v>
      </c>
      <c r="S28" s="1507">
        <f t="shared" ref="S28:S40" si="12">F28</f>
        <v>100</v>
      </c>
      <c r="T28" s="1506" t="s">
        <v>8</v>
      </c>
      <c r="U28" s="1507">
        <f t="shared" ref="U28:U40" si="13">H28</f>
        <v>100</v>
      </c>
      <c r="V28" s="1506" t="s">
        <v>8</v>
      </c>
      <c r="W28" s="1507">
        <f t="shared" ref="W28:W40" si="14">J28</f>
        <v>100</v>
      </c>
      <c r="X28" s="1500"/>
      <c r="Y28" s="3541"/>
      <c r="Z28" s="1508">
        <f t="shared" ref="Z28:Z40" si="15">Q28</f>
        <v>111</v>
      </c>
      <c r="AA28" s="1509">
        <f t="shared" si="3"/>
        <v>1</v>
      </c>
      <c r="AB28" s="1509">
        <f t="shared" si="4"/>
        <v>1</v>
      </c>
      <c r="AC28" s="1509">
        <f t="shared" si="5"/>
        <v>1</v>
      </c>
    </row>
    <row r="29" spans="1:29" ht="15">
      <c r="A29" s="2622" t="s">
        <v>2711</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42" t="s">
        <v>544</v>
      </c>
      <c r="Q29" s="1505" t="str">
        <f t="shared" si="11"/>
        <v>建筑类型</v>
      </c>
      <c r="R29" s="1506" t="s">
        <v>8</v>
      </c>
      <c r="S29" s="1507">
        <f t="shared" si="12"/>
        <v>100</v>
      </c>
      <c r="T29" s="1506" t="s">
        <v>8</v>
      </c>
      <c r="U29" s="1507">
        <f t="shared" si="13"/>
        <v>100</v>
      </c>
      <c r="V29" s="1506" t="s">
        <v>8</v>
      </c>
      <c r="W29" s="1507">
        <f t="shared" si="14"/>
        <v>100</v>
      </c>
      <c r="X29" s="1500"/>
      <c r="Y29" s="3543"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43"/>
      <c r="Q30" s="1534" t="str">
        <f t="shared" si="11"/>
        <v>项目建筑规模</v>
      </c>
      <c r="R30" s="1510" t="s">
        <v>8</v>
      </c>
      <c r="S30" s="1511" t="e">
        <f t="shared" si="12"/>
        <v>#N/A</v>
      </c>
      <c r="T30" s="1510" t="s">
        <v>8</v>
      </c>
      <c r="U30" s="1511" t="e">
        <f t="shared" si="13"/>
        <v>#N/A</v>
      </c>
      <c r="V30" s="1510" t="s">
        <v>8</v>
      </c>
      <c r="W30" s="1511" t="e">
        <f t="shared" si="14"/>
        <v>#N/A</v>
      </c>
      <c r="X30" s="1512"/>
      <c r="Y30" s="3543"/>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43"/>
      <c r="Q31" s="1505" t="str">
        <f t="shared" si="11"/>
        <v>建筑结构</v>
      </c>
      <c r="R31" s="1506" t="s">
        <v>8</v>
      </c>
      <c r="S31" s="1507">
        <f t="shared" si="12"/>
        <v>100</v>
      </c>
      <c r="T31" s="1506" t="s">
        <v>8</v>
      </c>
      <c r="U31" s="1507">
        <f t="shared" si="13"/>
        <v>100</v>
      </c>
      <c r="V31" s="1506" t="s">
        <v>8</v>
      </c>
      <c r="W31" s="1507">
        <f t="shared" si="14"/>
        <v>100</v>
      </c>
      <c r="X31" s="1500"/>
      <c r="Y31" s="3543"/>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43"/>
      <c r="Q32" s="1505" t="str">
        <f t="shared" si="11"/>
        <v>公共部分装修</v>
      </c>
      <c r="R32" s="1506" t="s">
        <v>8</v>
      </c>
      <c r="S32" s="1507">
        <f t="shared" si="12"/>
        <v>100</v>
      </c>
      <c r="T32" s="1506" t="s">
        <v>8</v>
      </c>
      <c r="U32" s="1507">
        <f t="shared" si="13"/>
        <v>100</v>
      </c>
      <c r="V32" s="1506" t="s">
        <v>8</v>
      </c>
      <c r="W32" s="1507">
        <f t="shared" si="14"/>
        <v>100</v>
      </c>
      <c r="X32" s="1500"/>
      <c r="Y32" s="3543"/>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43"/>
      <c r="Q33" s="1505" t="str">
        <f t="shared" si="11"/>
        <v>成新度</v>
      </c>
      <c r="R33" s="1506" t="s">
        <v>8</v>
      </c>
      <c r="S33" s="1507" t="e">
        <f t="shared" si="12"/>
        <v>#N/A</v>
      </c>
      <c r="T33" s="1506" t="s">
        <v>8</v>
      </c>
      <c r="U33" s="1507" t="e">
        <f t="shared" si="13"/>
        <v>#N/A</v>
      </c>
      <c r="V33" s="1506" t="s">
        <v>8</v>
      </c>
      <c r="W33" s="1507" t="e">
        <f t="shared" si="14"/>
        <v>#N/A</v>
      </c>
      <c r="X33" s="1500"/>
      <c r="Y33" s="3543"/>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43"/>
      <c r="Q34" s="1133" t="str">
        <f t="shared" si="11"/>
        <v>物业管理</v>
      </c>
      <c r="R34" s="1501" t="s">
        <v>8</v>
      </c>
      <c r="S34" s="1502">
        <f t="shared" si="12"/>
        <v>100</v>
      </c>
      <c r="T34" s="1501" t="s">
        <v>8</v>
      </c>
      <c r="U34" s="1502">
        <f t="shared" si="13"/>
        <v>100</v>
      </c>
      <c r="V34" s="1501" t="s">
        <v>8</v>
      </c>
      <c r="W34" s="1502">
        <f t="shared" si="14"/>
        <v>100</v>
      </c>
      <c r="X34" s="1503"/>
      <c r="Y34" s="3543"/>
      <c r="Z34" s="1132" t="str">
        <f t="shared" si="15"/>
        <v>物业管理</v>
      </c>
      <c r="AA34" s="1504">
        <f t="shared" si="3"/>
        <v>1</v>
      </c>
      <c r="AB34" s="1504">
        <f t="shared" si="4"/>
        <v>1</v>
      </c>
      <c r="AC34" s="1504">
        <f t="shared" si="5"/>
        <v>1</v>
      </c>
    </row>
    <row r="35" spans="1:29" ht="15">
      <c r="A35" s="587"/>
      <c r="B35" s="1807"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43" t="s">
        <v>544</v>
      </c>
      <c r="Q35" s="1505" t="str">
        <f t="shared" si="11"/>
        <v>市政基础设施</v>
      </c>
      <c r="R35" s="1506" t="s">
        <v>8</v>
      </c>
      <c r="S35" s="1507">
        <f t="shared" si="12"/>
        <v>100</v>
      </c>
      <c r="T35" s="1506" t="s">
        <v>8</v>
      </c>
      <c r="U35" s="1507">
        <f t="shared" si="13"/>
        <v>100</v>
      </c>
      <c r="V35" s="1506" t="s">
        <v>8</v>
      </c>
      <c r="W35" s="1507">
        <f t="shared" si="14"/>
        <v>100</v>
      </c>
      <c r="X35" s="1500"/>
      <c r="Y35" s="3543"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43"/>
      <c r="Q36" s="1505" t="str">
        <f t="shared" si="11"/>
        <v>内部装修</v>
      </c>
      <c r="R36" s="1506" t="s">
        <v>8</v>
      </c>
      <c r="S36" s="1507">
        <f t="shared" si="12"/>
        <v>100</v>
      </c>
      <c r="T36" s="1506" t="s">
        <v>8</v>
      </c>
      <c r="U36" s="1507">
        <f t="shared" si="13"/>
        <v>100</v>
      </c>
      <c r="V36" s="1506" t="s">
        <v>8</v>
      </c>
      <c r="W36" s="1507">
        <f t="shared" si="14"/>
        <v>100</v>
      </c>
      <c r="X36" s="1500"/>
      <c r="Y36" s="3543"/>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43"/>
      <c r="Q37" s="1505" t="str">
        <f t="shared" si="11"/>
        <v>内部装修状况</v>
      </c>
      <c r="R37" s="1506" t="s">
        <v>8</v>
      </c>
      <c r="S37" s="1507">
        <f t="shared" si="12"/>
        <v>100</v>
      </c>
      <c r="T37" s="1506" t="s">
        <v>8</v>
      </c>
      <c r="U37" s="1507">
        <f t="shared" si="13"/>
        <v>100</v>
      </c>
      <c r="V37" s="1506" t="s">
        <v>8</v>
      </c>
      <c r="W37" s="1507">
        <f t="shared" si="14"/>
        <v>100</v>
      </c>
      <c r="X37" s="1500"/>
      <c r="Y37" s="3543"/>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43"/>
      <c r="Q38" s="1534">
        <f t="shared" si="11"/>
        <v>111</v>
      </c>
      <c r="R38" s="1510" t="s">
        <v>8</v>
      </c>
      <c r="S38" s="1511">
        <f t="shared" si="12"/>
        <v>100</v>
      </c>
      <c r="T38" s="1510" t="s">
        <v>8</v>
      </c>
      <c r="U38" s="1511">
        <f t="shared" si="13"/>
        <v>100</v>
      </c>
      <c r="V38" s="1510" t="s">
        <v>8</v>
      </c>
      <c r="W38" s="1511">
        <f t="shared" si="14"/>
        <v>100</v>
      </c>
      <c r="X38" s="1512"/>
      <c r="Y38" s="3543"/>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43"/>
      <c r="Q39" s="1505">
        <f t="shared" si="11"/>
        <v>111</v>
      </c>
      <c r="R39" s="1506" t="s">
        <v>8</v>
      </c>
      <c r="S39" s="1507">
        <f t="shared" si="12"/>
        <v>100</v>
      </c>
      <c r="T39" s="1506" t="s">
        <v>8</v>
      </c>
      <c r="U39" s="1507">
        <f t="shared" si="13"/>
        <v>100</v>
      </c>
      <c r="V39" s="1506" t="s">
        <v>8</v>
      </c>
      <c r="W39" s="1507">
        <f t="shared" si="14"/>
        <v>100</v>
      </c>
      <c r="X39" s="1500"/>
      <c r="Y39" s="3543"/>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604"/>
      <c r="Q40" s="1505">
        <f t="shared" si="11"/>
        <v>111</v>
      </c>
      <c r="R40" s="1506" t="s">
        <v>8</v>
      </c>
      <c r="S40" s="1507">
        <f t="shared" si="12"/>
        <v>100</v>
      </c>
      <c r="T40" s="1506" t="s">
        <v>8</v>
      </c>
      <c r="U40" s="1507">
        <f t="shared" si="13"/>
        <v>100</v>
      </c>
      <c r="V40" s="1506" t="s">
        <v>8</v>
      </c>
      <c r="W40" s="1507">
        <f t="shared" si="14"/>
        <v>100</v>
      </c>
      <c r="X40" s="1500"/>
      <c r="Y40" s="3604"/>
      <c r="Z40" s="1508">
        <f t="shared" si="15"/>
        <v>111</v>
      </c>
      <c r="AA40" s="1509">
        <f t="shared" si="3"/>
        <v>1</v>
      </c>
      <c r="AB40" s="1509">
        <f t="shared" si="4"/>
        <v>1</v>
      </c>
      <c r="AC40" s="1509">
        <f t="shared" si="5"/>
        <v>1</v>
      </c>
    </row>
    <row r="41" spans="1:29" ht="15">
      <c r="A41" s="600" t="s">
        <v>730</v>
      </c>
      <c r="B41" s="875"/>
      <c r="C41" s="2468" t="s">
        <v>1</v>
      </c>
      <c r="D41" s="2469"/>
      <c r="E41" s="2470"/>
      <c r="F41" s="2471"/>
      <c r="G41" s="2472"/>
      <c r="H41" s="2473"/>
      <c r="I41" s="2470"/>
      <c r="J41" s="2473"/>
      <c r="K41" s="1539"/>
      <c r="L41" s="2024"/>
      <c r="M41" s="2025"/>
      <c r="N41" s="2014"/>
      <c r="O41" s="2025"/>
      <c r="P41" s="3506" t="str">
        <f>A41</f>
        <v>成交单价（元/平方米）</v>
      </c>
      <c r="Q41" s="3506"/>
      <c r="R41" s="3603">
        <f>E41</f>
        <v>0</v>
      </c>
      <c r="S41" s="3603"/>
      <c r="T41" s="3603">
        <f>G41</f>
        <v>0</v>
      </c>
      <c r="U41" s="3603"/>
      <c r="V41" s="3603">
        <f>I41</f>
        <v>0</v>
      </c>
      <c r="W41" s="3603"/>
      <c r="X41" s="1495"/>
      <c r="Y41" s="1514"/>
      <c r="Z41" s="1495"/>
      <c r="AA41" s="1495"/>
      <c r="AB41" s="1495"/>
      <c r="AC41" s="1495"/>
    </row>
    <row r="42" spans="1:29" ht="15.75" thickBot="1">
      <c r="A42" s="608" t="s">
        <v>2716</v>
      </c>
      <c r="B42" s="876"/>
      <c r="C42" s="2474" t="e">
        <f>R43</f>
        <v>#DIV/0!</v>
      </c>
      <c r="D42" s="2896" t="s">
        <v>2938</v>
      </c>
      <c r="E42" s="2475" t="e">
        <f>R42</f>
        <v>#DIV/0!</v>
      </c>
      <c r="F42" s="2897"/>
      <c r="G42" s="2474" t="e">
        <f>T42</f>
        <v>#DIV/0!</v>
      </c>
      <c r="H42" s="2897"/>
      <c r="I42" s="2475" t="e">
        <f>V42</f>
        <v>#DIV/0!</v>
      </c>
      <c r="J42" s="2897"/>
      <c r="K42" s="2905">
        <f>F42+H42+J42</f>
        <v>0</v>
      </c>
      <c r="L42" s="2024"/>
      <c r="M42" s="2025"/>
      <c r="N42" s="2014"/>
      <c r="O42" s="2025"/>
      <c r="P42" s="3506" t="str">
        <f>A42</f>
        <v>比较价格（元/平方米）</v>
      </c>
      <c r="Q42" s="3506"/>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495"/>
      <c r="Y42" s="1495"/>
      <c r="Z42" s="1495"/>
      <c r="AA42" s="1495"/>
      <c r="AB42" s="1495"/>
      <c r="AC42" s="1495"/>
    </row>
    <row r="43" spans="1:29" ht="15.75" thickBot="1">
      <c r="A43" s="612" t="s">
        <v>2874</v>
      </c>
      <c r="B43" s="613"/>
      <c r="C43" s="2476" t="e">
        <f>R43</f>
        <v>#DIV/0!</v>
      </c>
      <c r="D43" s="2476"/>
      <c r="E43" s="2476"/>
      <c r="F43" s="2476"/>
      <c r="G43" s="2476"/>
      <c r="H43" s="2476"/>
      <c r="I43" s="2476"/>
      <c r="J43" s="2476"/>
      <c r="K43" s="1540"/>
      <c r="L43" s="2024"/>
      <c r="M43" s="2025"/>
      <c r="N43" s="2025"/>
      <c r="O43" s="2025"/>
      <c r="P43" s="3503" t="str">
        <f>A43</f>
        <v>估价对象XX用房的比较价格（楼面单价，元/平方米）</v>
      </c>
      <c r="Q43" s="3504"/>
      <c r="R43" s="3602" t="e">
        <f>IF(F1="售价",ROUND(IF(D42="简单平均",AVERAGE(R42:V42),R42*F42+T42*H42+V42*J42),0),ROUND(IF(D42="简单平均",AVERAGE(R42:V42),R42*F42+T42*H42+V42*J42),1))</f>
        <v>#DIV/0!</v>
      </c>
      <c r="S43" s="3602"/>
      <c r="T43" s="3602"/>
      <c r="U43" s="3602"/>
      <c r="V43" s="3602"/>
      <c r="W43" s="3602"/>
      <c r="X43" s="1495"/>
      <c r="Y43" s="1495"/>
      <c r="Z43" s="1495"/>
      <c r="AA43" s="1495"/>
      <c r="AB43" s="1495"/>
      <c r="AC43" s="1495"/>
    </row>
    <row r="44" spans="1:29">
      <c r="A44" s="3094"/>
      <c r="B44" s="3094"/>
      <c r="C44" s="3094"/>
      <c r="D44" s="3094"/>
      <c r="E44" s="3094"/>
      <c r="F44" s="3094"/>
      <c r="G44" s="3096"/>
      <c r="H44" s="3094"/>
      <c r="I44" s="3094"/>
      <c r="J44" s="3094"/>
      <c r="K44" s="3097"/>
      <c r="L44" s="2029"/>
      <c r="M44" s="2025"/>
      <c r="N44" s="2025"/>
      <c r="O44" s="2025"/>
      <c r="P44" s="2025"/>
      <c r="Q44" s="2025"/>
      <c r="R44" s="2025"/>
      <c r="S44" s="2025"/>
      <c r="T44" s="2025"/>
      <c r="U44" s="2025"/>
      <c r="V44" s="2025"/>
      <c r="W44" s="2025"/>
      <c r="X44" s="2025"/>
      <c r="Y44" s="2025"/>
      <c r="Z44" s="2025"/>
      <c r="AA44" s="2025"/>
      <c r="AB44" s="2025"/>
      <c r="AC44" s="2025"/>
    </row>
    <row r="45" spans="1:29">
      <c r="A45" s="3094"/>
      <c r="B45" s="3094"/>
      <c r="C45" s="3094"/>
      <c r="D45" s="3094"/>
      <c r="E45" s="3094"/>
      <c r="F45" s="3094"/>
      <c r="G45" s="3094"/>
      <c r="H45" s="3094"/>
      <c r="I45" s="3094"/>
      <c r="J45" s="3094"/>
      <c r="K45" s="3097"/>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094"/>
      <c r="B46" s="3094"/>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097"/>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094"/>
      <c r="B47" s="3094"/>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097"/>
      <c r="L47" s="2029"/>
      <c r="M47" s="2025"/>
      <c r="N47" s="2025"/>
      <c r="O47" s="2025"/>
      <c r="P47" s="2025"/>
      <c r="Q47" s="2025"/>
      <c r="R47" s="2025"/>
      <c r="S47" s="2025"/>
      <c r="T47" s="2025"/>
      <c r="U47" s="2025"/>
      <c r="V47" s="2025"/>
      <c r="W47" s="2025"/>
      <c r="X47" s="2025"/>
      <c r="Y47" s="2025"/>
      <c r="Z47" s="2025"/>
      <c r="AA47" s="2025"/>
      <c r="AB47" s="2025"/>
      <c r="AC47" s="2025"/>
    </row>
    <row r="48" spans="1:29" s="1297" customFormat="1" ht="13.5" customHeight="1">
      <c r="A48" s="3095"/>
      <c r="B48" s="3095"/>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098"/>
      <c r="L48" s="2032"/>
      <c r="M48" s="2026"/>
      <c r="N48" s="2026"/>
      <c r="O48" s="2026"/>
      <c r="P48" s="2026"/>
      <c r="Q48" s="2026"/>
      <c r="R48" s="2026"/>
      <c r="S48" s="2026"/>
      <c r="T48" s="2026"/>
      <c r="U48" s="2026"/>
      <c r="V48" s="2026"/>
      <c r="W48" s="2026"/>
      <c r="X48" s="2026"/>
      <c r="Y48" s="2026"/>
      <c r="Z48" s="2026"/>
      <c r="AA48" s="2026"/>
      <c r="AB48" s="2026"/>
      <c r="AC48" s="2026"/>
    </row>
    <row r="49" spans="1:29" s="1297"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9" customFormat="1" ht="15">
      <c r="A52" s="636" t="s">
        <v>523</v>
      </c>
      <c r="B52" s="637"/>
      <c r="C52" s="2517" t="str">
        <f>YEAR(C7)&amp;"-"&amp;MONTH(C7)</f>
        <v>2021-3</v>
      </c>
      <c r="D52" s="2519">
        <f>EDATE(C52,-1)</f>
        <v>44228</v>
      </c>
      <c r="E52" s="2519">
        <f t="shared" ref="E52:O52" si="16">EDATE(D52,-1)</f>
        <v>44197</v>
      </c>
      <c r="F52" s="2519">
        <f t="shared" si="16"/>
        <v>44166</v>
      </c>
      <c r="G52" s="2519">
        <f t="shared" si="16"/>
        <v>44136</v>
      </c>
      <c r="H52" s="2519">
        <f t="shared" si="16"/>
        <v>44105</v>
      </c>
      <c r="I52" s="2519">
        <f t="shared" si="16"/>
        <v>44075</v>
      </c>
      <c r="J52" s="2519">
        <f t="shared" si="16"/>
        <v>44044</v>
      </c>
      <c r="K52" s="2519">
        <f t="shared" si="16"/>
        <v>44013</v>
      </c>
      <c r="L52" s="2519">
        <f t="shared" si="16"/>
        <v>43983</v>
      </c>
      <c r="M52" s="2519">
        <f t="shared" si="16"/>
        <v>43952</v>
      </c>
      <c r="N52" s="2519">
        <f t="shared" si="16"/>
        <v>43922</v>
      </c>
      <c r="O52" s="2519">
        <f t="shared" si="16"/>
        <v>43891</v>
      </c>
      <c r="P52" s="2039"/>
      <c r="Q52" s="2040"/>
      <c r="R52" s="2040"/>
      <c r="S52" s="2040"/>
      <c r="T52" s="2040"/>
      <c r="U52" s="2040"/>
      <c r="V52" s="2040"/>
      <c r="W52" s="2040"/>
      <c r="X52" s="2040"/>
      <c r="Y52" s="2040"/>
      <c r="Z52" s="2040"/>
      <c r="AA52" s="2040"/>
      <c r="AB52" s="2040"/>
      <c r="AC52" s="2040"/>
    </row>
    <row r="53" spans="1:29" s="1202"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2"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2"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2"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2"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2"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2"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2"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2"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2"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2536</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2537</v>
      </c>
      <c r="C76" s="2440" t="s">
        <v>2538</v>
      </c>
      <c r="D76" s="2440" t="s">
        <v>2539</v>
      </c>
      <c r="E76" s="2440" t="s">
        <v>2540</v>
      </c>
      <c r="F76" s="2440" t="s">
        <v>2541</v>
      </c>
      <c r="G76" s="2440" t="s">
        <v>2542</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2"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2"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2"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2"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2"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2"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2"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2535</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2"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2"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789</v>
      </c>
      <c r="B3" s="503" t="e">
        <f>IF(B37="元/平方米",C39,ROUND(B2*10000/D3,0))</f>
        <v>#DIV/0!</v>
      </c>
      <c r="C3" s="840" t="s">
        <v>790</v>
      </c>
      <c r="D3" s="839">
        <f>SUMIF('数据-汇总表'!$C19:$C33,D1,'数据-汇总表'!$E19:$E33)</f>
        <v>0</v>
      </c>
      <c r="E3" s="1760" t="s">
        <v>2062</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791</v>
      </c>
      <c r="B4" s="506"/>
      <c r="C4" s="3512" t="s">
        <v>792</v>
      </c>
      <c r="D4" s="3513"/>
      <c r="E4" s="3512" t="s">
        <v>793</v>
      </c>
      <c r="F4" s="3513"/>
      <c r="G4" s="3512" t="s">
        <v>794</v>
      </c>
      <c r="H4" s="3513"/>
      <c r="I4" s="3512" t="s">
        <v>795</v>
      </c>
      <c r="J4" s="3513"/>
      <c r="K4" s="507" t="s">
        <v>796</v>
      </c>
      <c r="L4" s="2013"/>
      <c r="M4" s="2014"/>
      <c r="N4" s="2014"/>
      <c r="O4" s="2014"/>
      <c r="P4" s="3514" t="s">
        <v>797</v>
      </c>
      <c r="Q4" s="3515"/>
      <c r="R4" s="3520" t="s">
        <v>793</v>
      </c>
      <c r="S4" s="3521"/>
      <c r="T4" s="3520" t="s">
        <v>794</v>
      </c>
      <c r="U4" s="3521"/>
      <c r="V4" s="3507" t="s">
        <v>795</v>
      </c>
      <c r="W4" s="3507"/>
      <c r="X4" s="1500"/>
      <c r="Y4" s="3520" t="s">
        <v>797</v>
      </c>
      <c r="Z4" s="3521"/>
      <c r="AA4" s="3509" t="s">
        <v>793</v>
      </c>
      <c r="AB4" s="3510" t="s">
        <v>794</v>
      </c>
      <c r="AC4" s="3509" t="s">
        <v>795</v>
      </c>
    </row>
    <row r="5" spans="1:29" ht="15">
      <c r="A5" s="508"/>
      <c r="B5" s="509"/>
      <c r="C5" s="3528" t="s">
        <v>2868</v>
      </c>
      <c r="D5" s="3529"/>
      <c r="E5" s="3528" t="s">
        <v>2869</v>
      </c>
      <c r="F5" s="3529"/>
      <c r="G5" s="3528" t="s">
        <v>2870</v>
      </c>
      <c r="H5" s="3529"/>
      <c r="I5" s="3528" t="s">
        <v>2871</v>
      </c>
      <c r="J5" s="3529"/>
      <c r="K5" s="507"/>
      <c r="L5" s="2013"/>
      <c r="M5" s="2014"/>
      <c r="N5" s="2014"/>
      <c r="O5" s="2014"/>
      <c r="P5" s="3516"/>
      <c r="Q5" s="3517"/>
      <c r="R5" s="3522"/>
      <c r="S5" s="3523"/>
      <c r="T5" s="3522"/>
      <c r="U5" s="3523"/>
      <c r="V5" s="3507"/>
      <c r="W5" s="3507"/>
      <c r="X5" s="1500"/>
      <c r="Y5" s="3522"/>
      <c r="Z5" s="3523"/>
      <c r="AA5" s="3510"/>
      <c r="AB5" s="3510"/>
      <c r="AC5" s="3510"/>
    </row>
    <row r="6" spans="1:29" ht="15.75" thickBot="1">
      <c r="A6" s="510"/>
      <c r="B6" s="511"/>
      <c r="C6" s="3526" t="s">
        <v>2872</v>
      </c>
      <c r="D6" s="3527"/>
      <c r="E6" s="3530" t="s">
        <v>2872</v>
      </c>
      <c r="F6" s="3531"/>
      <c r="G6" s="3526" t="s">
        <v>2872</v>
      </c>
      <c r="H6" s="3527"/>
      <c r="I6" s="3526" t="s">
        <v>2872</v>
      </c>
      <c r="J6" s="3527"/>
      <c r="K6" s="507" t="s">
        <v>522</v>
      </c>
      <c r="L6" s="2013"/>
      <c r="M6" s="2014"/>
      <c r="N6" s="2014"/>
      <c r="O6" s="2014"/>
      <c r="P6" s="3518"/>
      <c r="Q6" s="3519"/>
      <c r="R6" s="3522"/>
      <c r="S6" s="3523"/>
      <c r="T6" s="3524"/>
      <c r="U6" s="3525"/>
      <c r="V6" s="3507"/>
      <c r="W6" s="3507"/>
      <c r="X6" s="1500"/>
      <c r="Y6" s="3524"/>
      <c r="Z6" s="3525"/>
      <c r="AA6" s="3511"/>
      <c r="AB6" s="3511"/>
      <c r="AC6" s="3511"/>
    </row>
    <row r="7" spans="1:29" s="1202" customFormat="1" ht="15.75" thickBot="1">
      <c r="A7" s="2627"/>
      <c r="B7" s="2634" t="s">
        <v>523</v>
      </c>
      <c r="C7" s="512">
        <f>'数据-取费表'!B2</f>
        <v>44266</v>
      </c>
      <c r="D7" s="513">
        <v>100</v>
      </c>
      <c r="E7" s="514"/>
      <c r="F7" s="515">
        <f>SUMIF(48:48,YEAR(E7)&amp;"-"&amp;MONTH(E7),49:49)</f>
        <v>0</v>
      </c>
      <c r="G7" s="516"/>
      <c r="H7" s="513">
        <f>SUMIF(48:48,YEAR(G7)&amp;"-"&amp;MONTH(G7),49:49)</f>
        <v>0</v>
      </c>
      <c r="I7" s="516"/>
      <c r="J7" s="513">
        <f>SUMIF(48:48,YEAR(I7)&amp;"-"&amp;MONTH(I7),49:49)</f>
        <v>0</v>
      </c>
      <c r="K7" s="517"/>
      <c r="L7" s="2015"/>
      <c r="M7" s="2016"/>
      <c r="N7" s="2016"/>
      <c r="O7" s="2016"/>
      <c r="P7" s="3537" t="s">
        <v>524</v>
      </c>
      <c r="Q7" s="3539"/>
      <c r="R7" s="1501" t="s">
        <v>8</v>
      </c>
      <c r="S7" s="1502">
        <f t="shared" ref="S7:S14" si="0">F7</f>
        <v>0</v>
      </c>
      <c r="T7" s="1501" t="s">
        <v>8</v>
      </c>
      <c r="U7" s="1502">
        <f t="shared" ref="U7:U14" si="1">H7</f>
        <v>0</v>
      </c>
      <c r="V7" s="1501" t="s">
        <v>8</v>
      </c>
      <c r="W7" s="1502">
        <f t="shared" ref="W7:W14"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537" t="s">
        <v>527</v>
      </c>
      <c r="Q8" s="3538"/>
      <c r="R8" s="1501" t="s">
        <v>8</v>
      </c>
      <c r="S8" s="1502">
        <f t="shared" si="0"/>
        <v>0</v>
      </c>
      <c r="T8" s="1501" t="s">
        <v>8</v>
      </c>
      <c r="U8" s="1502">
        <f t="shared" si="1"/>
        <v>0</v>
      </c>
      <c r="V8" s="1501" t="s">
        <v>8</v>
      </c>
      <c r="W8" s="1502">
        <f t="shared" si="2"/>
        <v>0</v>
      </c>
      <c r="X8" s="1503"/>
      <c r="Y8" s="3537" t="s">
        <v>527</v>
      </c>
      <c r="Z8" s="3538"/>
      <c r="AA8" s="1504" t="e">
        <f t="shared" ref="AA8:AA36" si="3">D8/F8</f>
        <v>#DIV/0!</v>
      </c>
      <c r="AB8" s="1504" t="e">
        <f t="shared" ref="AB8:AB36" si="4">D8/H8</f>
        <v>#DIV/0!</v>
      </c>
      <c r="AC8" s="1504" t="e">
        <f t="shared" ref="AC8:AC36" si="5">D8/J8</f>
        <v>#DIV/0!</v>
      </c>
    </row>
    <row r="9" spans="1:29" s="1202" customFormat="1" ht="15">
      <c r="A9" s="2629"/>
      <c r="B9" s="2636" t="s">
        <v>2712</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506" t="s">
        <v>529</v>
      </c>
      <c r="Q9" s="1133" t="str">
        <f t="shared" ref="Q9:Q14" si="6">B9</f>
        <v>用途</v>
      </c>
      <c r="R9" s="1501" t="s">
        <v>8</v>
      </c>
      <c r="S9" s="1502">
        <f t="shared" si="0"/>
        <v>100</v>
      </c>
      <c r="T9" s="1501" t="s">
        <v>8</v>
      </c>
      <c r="U9" s="1502">
        <f t="shared" si="1"/>
        <v>100</v>
      </c>
      <c r="V9" s="1501" t="s">
        <v>8</v>
      </c>
      <c r="W9" s="1502">
        <f t="shared" si="2"/>
        <v>100</v>
      </c>
      <c r="X9" s="1503"/>
      <c r="Y9" s="3431" t="s">
        <v>530</v>
      </c>
      <c r="Z9" s="1132" t="str">
        <f t="shared" ref="Z9:Z14" si="7">Q9</f>
        <v>用途</v>
      </c>
      <c r="AA9" s="1504">
        <f t="shared" si="3"/>
        <v>1</v>
      </c>
      <c r="AB9" s="1504">
        <f t="shared" si="4"/>
        <v>1</v>
      </c>
      <c r="AC9" s="1504">
        <f t="shared" si="5"/>
        <v>1</v>
      </c>
    </row>
    <row r="10" spans="1:29" s="1291" customFormat="1" ht="27">
      <c r="A10" s="2630"/>
      <c r="B10" s="2635" t="s">
        <v>2713</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506"/>
      <c r="Q11" s="1133">
        <f t="shared" si="6"/>
        <v>111</v>
      </c>
      <c r="R11" s="1501" t="s">
        <v>8</v>
      </c>
      <c r="S11" s="1502">
        <f t="shared" si="0"/>
        <v>100</v>
      </c>
      <c r="T11" s="1501" t="s">
        <v>8</v>
      </c>
      <c r="U11" s="1502">
        <f t="shared" si="1"/>
        <v>100</v>
      </c>
      <c r="V11" s="1501" t="s">
        <v>8</v>
      </c>
      <c r="W11" s="1502">
        <f t="shared" si="2"/>
        <v>100</v>
      </c>
      <c r="X11" s="1503"/>
      <c r="Y11" s="3431"/>
      <c r="Z11" s="1132">
        <f t="shared" si="7"/>
        <v>111</v>
      </c>
      <c r="AA11" s="1504">
        <f t="shared" si="3"/>
        <v>1</v>
      </c>
      <c r="AB11" s="1504">
        <f t="shared" si="4"/>
        <v>1</v>
      </c>
      <c r="AC11" s="1504">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506"/>
      <c r="Q12" s="1133">
        <f t="shared" si="6"/>
        <v>111</v>
      </c>
      <c r="R12" s="1501" t="s">
        <v>8</v>
      </c>
      <c r="S12" s="1502">
        <f t="shared" si="0"/>
        <v>100</v>
      </c>
      <c r="T12" s="1501" t="s">
        <v>8</v>
      </c>
      <c r="U12" s="1502">
        <f t="shared" si="1"/>
        <v>100</v>
      </c>
      <c r="V12" s="1501" t="s">
        <v>8</v>
      </c>
      <c r="W12" s="1502">
        <f t="shared" si="2"/>
        <v>100</v>
      </c>
      <c r="X12" s="1503"/>
      <c r="Y12" s="3431"/>
      <c r="Z12" s="1132">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506"/>
      <c r="Q13" s="1133">
        <f t="shared" si="6"/>
        <v>111</v>
      </c>
      <c r="R13" s="1501" t="s">
        <v>8</v>
      </c>
      <c r="S13" s="1502">
        <f t="shared" si="0"/>
        <v>100</v>
      </c>
      <c r="T13" s="1501" t="s">
        <v>8</v>
      </c>
      <c r="U13" s="1502">
        <f t="shared" si="1"/>
        <v>100</v>
      </c>
      <c r="V13" s="1501" t="s">
        <v>8</v>
      </c>
      <c r="W13" s="1502">
        <f t="shared" si="2"/>
        <v>100</v>
      </c>
      <c r="X13" s="1503"/>
      <c r="Y13" s="3431"/>
      <c r="Z13" s="1132">
        <f t="shared" si="7"/>
        <v>111</v>
      </c>
      <c r="AA13" s="1504">
        <f t="shared" si="3"/>
        <v>1</v>
      </c>
      <c r="AB13" s="1504">
        <f t="shared" si="4"/>
        <v>1</v>
      </c>
      <c r="AC13" s="1504">
        <f t="shared" si="5"/>
        <v>1</v>
      </c>
    </row>
    <row r="14" spans="1:29" ht="15">
      <c r="A14" s="2625" t="s">
        <v>2710</v>
      </c>
      <c r="B14" s="540" t="s">
        <v>537</v>
      </c>
      <c r="C14" s="909" t="str">
        <f>IF(B1="工业",估价对象房地状况!G4,估价对象房地状况!C6)</f>
        <v>较差</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540" t="s">
        <v>534</v>
      </c>
      <c r="Q14" s="1505" t="str">
        <f t="shared" si="6"/>
        <v>交通便捷度</v>
      </c>
      <c r="R14" s="1506" t="s">
        <v>8</v>
      </c>
      <c r="S14" s="1507">
        <f t="shared" si="0"/>
        <v>100</v>
      </c>
      <c r="T14" s="1506" t="s">
        <v>8</v>
      </c>
      <c r="U14" s="1507">
        <f t="shared" si="1"/>
        <v>100</v>
      </c>
      <c r="V14" s="1506" t="s">
        <v>8</v>
      </c>
      <c r="W14" s="1507">
        <f t="shared" si="2"/>
        <v>100</v>
      </c>
      <c r="X14" s="1500"/>
      <c r="Y14" s="3540"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541"/>
      <c r="Q15" s="1505"/>
      <c r="R15" s="1506"/>
      <c r="S15" s="1507"/>
      <c r="T15" s="1506"/>
      <c r="U15" s="1507"/>
      <c r="V15" s="1506"/>
      <c r="W15" s="1507"/>
      <c r="X15" s="1500"/>
      <c r="Y15" s="3541"/>
      <c r="Z15" s="1508"/>
      <c r="AA15" s="1509">
        <v>1</v>
      </c>
      <c r="AB15" s="1509">
        <v>1</v>
      </c>
      <c r="AC15" s="1509">
        <v>1</v>
      </c>
    </row>
    <row r="16" spans="1:29" ht="15">
      <c r="A16" s="508"/>
      <c r="B16" s="2445" t="s">
        <v>2525</v>
      </c>
      <c r="C16" s="860" t="str">
        <f>IF(B1="工业",估价对象房地状况!G5,估价对象房地状况!C7)</f>
        <v>较差</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541"/>
      <c r="Q16" s="1505" t="str">
        <f>B16</f>
        <v>公共配套设施</v>
      </c>
      <c r="R16" s="1506" t="s">
        <v>8</v>
      </c>
      <c r="S16" s="1507">
        <f>F16</f>
        <v>100</v>
      </c>
      <c r="T16" s="1506" t="s">
        <v>8</v>
      </c>
      <c r="U16" s="1507">
        <f>H16</f>
        <v>100</v>
      </c>
      <c r="V16" s="1506" t="s">
        <v>8</v>
      </c>
      <c r="W16" s="1507">
        <f>J16</f>
        <v>100</v>
      </c>
      <c r="X16" s="1500"/>
      <c r="Y16" s="3541"/>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541"/>
      <c r="Q17" s="1505"/>
      <c r="R17" s="1506"/>
      <c r="S17" s="1507"/>
      <c r="T17" s="1506"/>
      <c r="U17" s="1507"/>
      <c r="V17" s="1506"/>
      <c r="W17" s="1507"/>
      <c r="X17" s="1500"/>
      <c r="Y17" s="3541"/>
      <c r="Z17" s="1508"/>
      <c r="AA17" s="1509">
        <v>1</v>
      </c>
      <c r="AB17" s="1509">
        <v>1</v>
      </c>
      <c r="AC17" s="1509">
        <v>1</v>
      </c>
    </row>
    <row r="18" spans="1:29" ht="15">
      <c r="A18" s="508"/>
      <c r="B18" s="2433"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541"/>
      <c r="Q18" s="2427" t="str">
        <f>B18</f>
        <v>基础设施水平</v>
      </c>
      <c r="R18" s="1506" t="s">
        <v>8</v>
      </c>
      <c r="S18" s="1507">
        <f>F18</f>
        <v>100</v>
      </c>
      <c r="T18" s="1506" t="s">
        <v>8</v>
      </c>
      <c r="U18" s="1507">
        <f>H18</f>
        <v>100</v>
      </c>
      <c r="V18" s="1506" t="s">
        <v>8</v>
      </c>
      <c r="W18" s="1507">
        <f>J18</f>
        <v>100</v>
      </c>
      <c r="X18" s="2429"/>
      <c r="Y18" s="3541"/>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541"/>
      <c r="Q19" s="2427"/>
      <c r="R19" s="1506"/>
      <c r="S19" s="1507"/>
      <c r="T19" s="1506"/>
      <c r="U19" s="1507"/>
      <c r="V19" s="1506"/>
      <c r="W19" s="1507"/>
      <c r="X19" s="2429"/>
      <c r="Y19" s="3541"/>
      <c r="Z19" s="2428"/>
      <c r="AA19" s="1509">
        <v>1</v>
      </c>
      <c r="AB19" s="1509">
        <v>1</v>
      </c>
      <c r="AC19" s="1509">
        <v>1</v>
      </c>
    </row>
    <row r="20" spans="1:29" ht="15">
      <c r="A20" s="508"/>
      <c r="B20" s="553" t="s">
        <v>798</v>
      </c>
      <c r="C20" s="860" t="str">
        <f>IF(B1="工业",估价对象房地状况!G7,估价对象房地状况!C9)</f>
        <v>较好</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541"/>
      <c r="Q20" s="1505" t="str">
        <f>B20</f>
        <v>自然及人文环境</v>
      </c>
      <c r="R20" s="1506" t="s">
        <v>8</v>
      </c>
      <c r="S20" s="1507">
        <f>F20</f>
        <v>100</v>
      </c>
      <c r="T20" s="1506" t="s">
        <v>8</v>
      </c>
      <c r="U20" s="1507">
        <f>H20</f>
        <v>100</v>
      </c>
      <c r="V20" s="1506" t="s">
        <v>8</v>
      </c>
      <c r="W20" s="1507">
        <f>J20</f>
        <v>100</v>
      </c>
      <c r="X20" s="1500"/>
      <c r="Y20" s="3541"/>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541"/>
      <c r="Q21" s="1505"/>
      <c r="R21" s="1506"/>
      <c r="S21" s="1507"/>
      <c r="T21" s="1506"/>
      <c r="U21" s="1507"/>
      <c r="V21" s="1506"/>
      <c r="W21" s="1507"/>
      <c r="X21" s="1500"/>
      <c r="Y21" s="3541"/>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41"/>
      <c r="Q22" s="1505" t="str">
        <f>B22</f>
        <v>楼层</v>
      </c>
      <c r="R22" s="1506" t="s">
        <v>8</v>
      </c>
      <c r="S22" s="1507">
        <f>F22</f>
        <v>100</v>
      </c>
      <c r="T22" s="1506" t="s">
        <v>8</v>
      </c>
      <c r="U22" s="1507">
        <f>H22</f>
        <v>100</v>
      </c>
      <c r="V22" s="1506" t="s">
        <v>8</v>
      </c>
      <c r="W22" s="1507">
        <f>J22</f>
        <v>100</v>
      </c>
      <c r="X22" s="1500"/>
      <c r="Y22" s="3541"/>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41"/>
      <c r="Q23" s="1505">
        <f>B23</f>
        <v>111</v>
      </c>
      <c r="R23" s="1506" t="s">
        <v>8</v>
      </c>
      <c r="S23" s="1507">
        <f>F23</f>
        <v>100</v>
      </c>
      <c r="T23" s="1506" t="s">
        <v>8</v>
      </c>
      <c r="U23" s="1507">
        <f>H23</f>
        <v>100</v>
      </c>
      <c r="V23" s="1506" t="s">
        <v>8</v>
      </c>
      <c r="W23" s="1507">
        <f>J23</f>
        <v>100</v>
      </c>
      <c r="X23" s="1500"/>
      <c r="Y23" s="3541"/>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41"/>
      <c r="Q24" s="1505">
        <f t="shared" ref="Q24:Q36" si="11">B24</f>
        <v>111</v>
      </c>
      <c r="R24" s="1506" t="s">
        <v>8</v>
      </c>
      <c r="S24" s="1507">
        <f>F24</f>
        <v>100</v>
      </c>
      <c r="T24" s="1506" t="s">
        <v>8</v>
      </c>
      <c r="U24" s="1507">
        <f>H24</f>
        <v>100</v>
      </c>
      <c r="V24" s="1506" t="s">
        <v>8</v>
      </c>
      <c r="W24" s="1507">
        <f>J24</f>
        <v>100</v>
      </c>
      <c r="X24" s="1500"/>
      <c r="Y24" s="3541"/>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41"/>
      <c r="Q25" s="1133">
        <f t="shared" si="11"/>
        <v>111</v>
      </c>
      <c r="R25" s="1501" t="s">
        <v>8</v>
      </c>
      <c r="S25" s="1502">
        <f>F25</f>
        <v>100</v>
      </c>
      <c r="T25" s="1501" t="s">
        <v>8</v>
      </c>
      <c r="U25" s="1502">
        <f>H25</f>
        <v>100</v>
      </c>
      <c r="V25" s="1501" t="s">
        <v>8</v>
      </c>
      <c r="W25" s="1502">
        <f>J25</f>
        <v>100</v>
      </c>
      <c r="X25" s="1503"/>
      <c r="Y25" s="3541"/>
      <c r="Z25" s="1132">
        <f>Q25</f>
        <v>111</v>
      </c>
      <c r="AA25" s="1509">
        <f>D25/F25</f>
        <v>1</v>
      </c>
      <c r="AB25" s="1509">
        <f>D25/H25</f>
        <v>1</v>
      </c>
      <c r="AC25" s="1509">
        <f>D25/J25</f>
        <v>1</v>
      </c>
    </row>
    <row r="26" spans="1:29" ht="15">
      <c r="A26" s="2622" t="s">
        <v>2711</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42"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43"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43"/>
      <c r="Q27" s="1534" t="str">
        <f t="shared" si="11"/>
        <v>项目停车位配比</v>
      </c>
      <c r="R27" s="1510" t="s">
        <v>8</v>
      </c>
      <c r="S27" s="1511">
        <f t="shared" si="12"/>
        <v>100</v>
      </c>
      <c r="T27" s="1510" t="s">
        <v>8</v>
      </c>
      <c r="U27" s="1511">
        <f t="shared" si="13"/>
        <v>100</v>
      </c>
      <c r="V27" s="1510" t="s">
        <v>8</v>
      </c>
      <c r="W27" s="1511">
        <f t="shared" si="14"/>
        <v>100</v>
      </c>
      <c r="X27" s="1512"/>
      <c r="Y27" s="3543"/>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43"/>
      <c r="Q28" s="1505" t="str">
        <f t="shared" si="11"/>
        <v>公共部分装修</v>
      </c>
      <c r="R28" s="1506" t="s">
        <v>8</v>
      </c>
      <c r="S28" s="1507">
        <f t="shared" si="12"/>
        <v>100</v>
      </c>
      <c r="T28" s="1506" t="s">
        <v>8</v>
      </c>
      <c r="U28" s="1507">
        <f t="shared" si="13"/>
        <v>100</v>
      </c>
      <c r="V28" s="1506" t="s">
        <v>8</v>
      </c>
      <c r="W28" s="1507">
        <f t="shared" si="14"/>
        <v>100</v>
      </c>
      <c r="X28" s="1500"/>
      <c r="Y28" s="3543"/>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543"/>
      <c r="Q29" s="1505" t="str">
        <f t="shared" si="11"/>
        <v>成新率</v>
      </c>
      <c r="R29" s="1506" t="s">
        <v>8</v>
      </c>
      <c r="S29" s="1507" t="e">
        <f t="shared" si="12"/>
        <v>#N/A</v>
      </c>
      <c r="T29" s="1506" t="s">
        <v>8</v>
      </c>
      <c r="U29" s="1507" t="e">
        <f t="shared" si="13"/>
        <v>#N/A</v>
      </c>
      <c r="V29" s="1506" t="s">
        <v>8</v>
      </c>
      <c r="W29" s="1507" t="e">
        <f t="shared" si="14"/>
        <v>#N/A</v>
      </c>
      <c r="X29" s="1500"/>
      <c r="Y29" s="3543"/>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543"/>
      <c r="Q30" s="1505" t="str">
        <f t="shared" si="11"/>
        <v>物业等级</v>
      </c>
      <c r="R30" s="1506" t="s">
        <v>8</v>
      </c>
      <c r="S30" s="1507">
        <f t="shared" si="12"/>
        <v>100</v>
      </c>
      <c r="T30" s="1506" t="s">
        <v>8</v>
      </c>
      <c r="U30" s="1507">
        <f t="shared" si="13"/>
        <v>100</v>
      </c>
      <c r="V30" s="1506" t="s">
        <v>8</v>
      </c>
      <c r="W30" s="1507">
        <f t="shared" si="14"/>
        <v>100</v>
      </c>
      <c r="X30" s="1500"/>
      <c r="Y30" s="3543"/>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543"/>
      <c r="Q31" s="1133" t="str">
        <f t="shared" si="11"/>
        <v>停车位面积</v>
      </c>
      <c r="R31" s="1501" t="s">
        <v>8</v>
      </c>
      <c r="S31" s="1502" t="e">
        <f t="shared" si="12"/>
        <v>#N/A</v>
      </c>
      <c r="T31" s="1501" t="s">
        <v>8</v>
      </c>
      <c r="U31" s="1502" t="e">
        <f t="shared" si="13"/>
        <v>#N/A</v>
      </c>
      <c r="V31" s="1501" t="s">
        <v>8</v>
      </c>
      <c r="W31" s="1502" t="e">
        <f t="shared" si="14"/>
        <v>#N/A</v>
      </c>
      <c r="X31" s="1503"/>
      <c r="Y31" s="3543"/>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43" t="s">
        <v>544</v>
      </c>
      <c r="Q32" s="1505" t="str">
        <f t="shared" si="11"/>
        <v>车位类型</v>
      </c>
      <c r="R32" s="1506" t="s">
        <v>8</v>
      </c>
      <c r="S32" s="1507">
        <f t="shared" si="12"/>
        <v>100</v>
      </c>
      <c r="T32" s="1506" t="s">
        <v>8</v>
      </c>
      <c r="U32" s="1507">
        <f t="shared" si="13"/>
        <v>100</v>
      </c>
      <c r="V32" s="1506" t="s">
        <v>8</v>
      </c>
      <c r="W32" s="1507">
        <f t="shared" si="14"/>
        <v>100</v>
      </c>
      <c r="X32" s="1500"/>
      <c r="Y32" s="3543"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43"/>
      <c r="Q33" s="1505" t="str">
        <f t="shared" si="11"/>
        <v>是否直接入户</v>
      </c>
      <c r="R33" s="1506" t="s">
        <v>8</v>
      </c>
      <c r="S33" s="1507">
        <f t="shared" si="12"/>
        <v>100</v>
      </c>
      <c r="T33" s="1506" t="s">
        <v>8</v>
      </c>
      <c r="U33" s="1507">
        <f t="shared" si="13"/>
        <v>100</v>
      </c>
      <c r="V33" s="1506" t="s">
        <v>8</v>
      </c>
      <c r="W33" s="1507">
        <f t="shared" si="14"/>
        <v>100</v>
      </c>
      <c r="X33" s="1500"/>
      <c r="Y33" s="3543"/>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43"/>
      <c r="Q34" s="1505">
        <f t="shared" si="11"/>
        <v>111</v>
      </c>
      <c r="R34" s="1506" t="s">
        <v>8</v>
      </c>
      <c r="S34" s="1507">
        <f t="shared" si="12"/>
        <v>100</v>
      </c>
      <c r="T34" s="1506" t="s">
        <v>8</v>
      </c>
      <c r="U34" s="1507">
        <f t="shared" si="13"/>
        <v>100</v>
      </c>
      <c r="V34" s="1506" t="s">
        <v>8</v>
      </c>
      <c r="W34" s="1507">
        <f t="shared" si="14"/>
        <v>100</v>
      </c>
      <c r="X34" s="1500"/>
      <c r="Y34" s="3543"/>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43"/>
      <c r="Q35" s="1534">
        <f t="shared" si="11"/>
        <v>111</v>
      </c>
      <c r="R35" s="1510" t="s">
        <v>8</v>
      </c>
      <c r="S35" s="1511">
        <f t="shared" si="12"/>
        <v>100</v>
      </c>
      <c r="T35" s="1510" t="s">
        <v>8</v>
      </c>
      <c r="U35" s="1511">
        <f t="shared" si="13"/>
        <v>100</v>
      </c>
      <c r="V35" s="1510" t="s">
        <v>8</v>
      </c>
      <c r="W35" s="1511">
        <f t="shared" si="14"/>
        <v>100</v>
      </c>
      <c r="X35" s="1512"/>
      <c r="Y35" s="3543"/>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43"/>
      <c r="Q36" s="1505">
        <f t="shared" si="11"/>
        <v>111</v>
      </c>
      <c r="R36" s="1506" t="s">
        <v>8</v>
      </c>
      <c r="S36" s="1507">
        <f t="shared" si="12"/>
        <v>100</v>
      </c>
      <c r="T36" s="1506" t="s">
        <v>8</v>
      </c>
      <c r="U36" s="1507">
        <f t="shared" si="13"/>
        <v>100</v>
      </c>
      <c r="V36" s="1506" t="s">
        <v>8</v>
      </c>
      <c r="W36" s="1507">
        <f t="shared" si="14"/>
        <v>100</v>
      </c>
      <c r="X36" s="1500"/>
      <c r="Y36" s="3543"/>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06" t="str">
        <f>A37</f>
        <v>成交单价</v>
      </c>
      <c r="Q37" s="3506"/>
      <c r="R37" s="3603">
        <f>E37</f>
        <v>0</v>
      </c>
      <c r="S37" s="3603"/>
      <c r="T37" s="3603">
        <f>G37</f>
        <v>0</v>
      </c>
      <c r="U37" s="3603"/>
      <c r="V37" s="3603">
        <f>I37</f>
        <v>0</v>
      </c>
      <c r="W37" s="3603"/>
      <c r="X37" s="1495"/>
      <c r="Y37" s="1514"/>
      <c r="Z37" s="1495"/>
      <c r="AA37" s="1495"/>
      <c r="AB37" s="1495"/>
      <c r="AC37" s="1495"/>
    </row>
    <row r="38" spans="1:29" ht="15.75" thickBot="1">
      <c r="A38" s="608" t="s">
        <v>2716</v>
      </c>
      <c r="B38" s="876"/>
      <c r="C38" s="2474" t="e">
        <f>R39</f>
        <v>#DIV/0!</v>
      </c>
      <c r="D38" s="2896" t="s">
        <v>2938</v>
      </c>
      <c r="E38" s="2475" t="e">
        <f>R38</f>
        <v>#DIV/0!</v>
      </c>
      <c r="F38" s="2897"/>
      <c r="G38" s="2474" t="e">
        <f>T38</f>
        <v>#DIV/0!</v>
      </c>
      <c r="H38" s="2897"/>
      <c r="I38" s="2475" t="e">
        <f>V38</f>
        <v>#DIV/0!</v>
      </c>
      <c r="J38" s="2897"/>
      <c r="K38" s="2905">
        <f>F38+H38+J38</f>
        <v>0</v>
      </c>
      <c r="L38" s="2024"/>
      <c r="M38" s="2025"/>
      <c r="N38" s="2025"/>
      <c r="O38" s="2025"/>
      <c r="P38" s="3506" t="str">
        <f>A38</f>
        <v>比较价格（元/平方米）</v>
      </c>
      <c r="Q38" s="3506"/>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1495"/>
      <c r="Y38" s="1495"/>
      <c r="Z38" s="1495"/>
      <c r="AA38" s="1495"/>
      <c r="AB38" s="1495"/>
      <c r="AC38" s="1495"/>
    </row>
    <row r="39" spans="1:29" ht="15.75" thickBot="1">
      <c r="A39" s="612" t="s">
        <v>2874</v>
      </c>
      <c r="B39" s="613"/>
      <c r="C39" s="2476" t="e">
        <f>R39</f>
        <v>#DIV/0!</v>
      </c>
      <c r="D39" s="2476"/>
      <c r="E39" s="2476"/>
      <c r="F39" s="2476"/>
      <c r="G39" s="2476"/>
      <c r="H39" s="2476"/>
      <c r="I39" s="2476"/>
      <c r="J39" s="2476"/>
      <c r="K39" s="1540"/>
      <c r="L39" s="2024"/>
      <c r="M39" s="2025"/>
      <c r="N39" s="2025"/>
      <c r="O39" s="2025"/>
      <c r="P39" s="3503" t="str">
        <f>A39</f>
        <v>估价对象XX用房的比较价格（楼面单价，元/平方米）</v>
      </c>
      <c r="Q39" s="3504"/>
      <c r="R39" s="3602" t="e">
        <f>IF(F1="售价",ROUND(IF(D38="简单平均",AVERAGE(R38:W38),R38*F38+T38*H38+V38*J38),0),ROUND(IF(D38="简单平均",AVERAGE(R38:V38),R38*F38+T38*H38+V38*J38),1))</f>
        <v>#DIV/0!</v>
      </c>
      <c r="S39" s="3602"/>
      <c r="T39" s="3602"/>
      <c r="U39" s="3602"/>
      <c r="V39" s="3602"/>
      <c r="W39" s="3602"/>
      <c r="X39" s="1495"/>
      <c r="Y39" s="1495"/>
      <c r="Z39" s="1495"/>
      <c r="AA39" s="1495"/>
      <c r="AB39" s="1495"/>
      <c r="AC39" s="1495"/>
    </row>
    <row r="40" spans="1:29">
      <c r="A40" s="3094"/>
      <c r="B40" s="3094"/>
      <c r="C40" s="3094"/>
      <c r="D40" s="3094"/>
      <c r="E40" s="3094"/>
      <c r="F40" s="3094"/>
      <c r="G40" s="3096"/>
      <c r="H40" s="3094"/>
      <c r="I40" s="3094"/>
      <c r="J40" s="3094"/>
      <c r="K40" s="3097"/>
      <c r="L40" s="2029"/>
      <c r="M40" s="2025"/>
      <c r="N40" s="2025"/>
      <c r="O40" s="2025"/>
      <c r="P40" s="2025"/>
      <c r="Q40" s="2025"/>
      <c r="R40" s="2025"/>
      <c r="S40" s="2025"/>
      <c r="T40" s="2025"/>
      <c r="U40" s="2025"/>
      <c r="V40" s="2025"/>
      <c r="W40" s="2025"/>
      <c r="X40" s="2025"/>
      <c r="Y40" s="2025"/>
      <c r="Z40" s="2025"/>
      <c r="AA40" s="2025"/>
      <c r="AB40" s="2025"/>
      <c r="AC40" s="2025"/>
    </row>
    <row r="41" spans="1:29">
      <c r="A41" s="3094"/>
      <c r="B41" s="3094"/>
      <c r="C41" s="3094"/>
      <c r="D41" s="3094"/>
      <c r="E41" s="3094"/>
      <c r="F41" s="3094"/>
      <c r="G41" s="3094"/>
      <c r="H41" s="3094"/>
      <c r="I41" s="3094"/>
      <c r="J41" s="3094"/>
      <c r="K41" s="3097"/>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094"/>
      <c r="B42" s="3094"/>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097"/>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094"/>
      <c r="B43" s="3094"/>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097"/>
      <c r="L43" s="2029"/>
      <c r="M43" s="2025"/>
      <c r="N43" s="2025"/>
      <c r="O43" s="2025"/>
      <c r="P43" s="2025"/>
      <c r="Q43" s="2025"/>
      <c r="R43" s="2025"/>
      <c r="S43" s="2025"/>
      <c r="T43" s="2025"/>
      <c r="U43" s="2025"/>
      <c r="V43" s="2025"/>
      <c r="W43" s="2025"/>
      <c r="X43" s="2025"/>
      <c r="Y43" s="2025"/>
      <c r="Z43" s="2025"/>
      <c r="AA43" s="2025"/>
      <c r="AB43" s="2025"/>
      <c r="AC43" s="2025"/>
    </row>
    <row r="44" spans="1:29" s="1297" customFormat="1" ht="13.5" customHeight="1">
      <c r="A44" s="3095"/>
      <c r="B44" s="3095"/>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098"/>
      <c r="L44" s="2032"/>
      <c r="M44" s="2026"/>
      <c r="N44" s="2026"/>
      <c r="O44" s="2026"/>
      <c r="P44" s="2026"/>
      <c r="Q44" s="2026"/>
      <c r="R44" s="2026"/>
      <c r="S44" s="2026"/>
      <c r="T44" s="2026"/>
      <c r="U44" s="2026"/>
      <c r="V44" s="2026"/>
      <c r="W44" s="2026"/>
      <c r="X44" s="2026"/>
      <c r="Y44" s="2026"/>
      <c r="Z44" s="2026"/>
      <c r="AA44" s="2026"/>
      <c r="AB44" s="2026"/>
      <c r="AC44" s="2026"/>
    </row>
    <row r="45" spans="1:29" s="1297"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9" customFormat="1" ht="15">
      <c r="A48" s="636" t="s">
        <v>523</v>
      </c>
      <c r="B48" s="637"/>
      <c r="C48" s="2517" t="str">
        <f>YEAR(C7)&amp;"-"&amp;MONTH(C7)</f>
        <v>2021-3</v>
      </c>
      <c r="D48" s="2519">
        <f>EDATE(C48,-1)</f>
        <v>44228</v>
      </c>
      <c r="E48" s="2519">
        <f t="shared" ref="E48:O48" si="16">EDATE(D48,-1)</f>
        <v>44197</v>
      </c>
      <c r="F48" s="2519">
        <f t="shared" si="16"/>
        <v>44166</v>
      </c>
      <c r="G48" s="2519">
        <f t="shared" si="16"/>
        <v>44136</v>
      </c>
      <c r="H48" s="2519">
        <f t="shared" si="16"/>
        <v>44105</v>
      </c>
      <c r="I48" s="2519">
        <f t="shared" si="16"/>
        <v>44075</v>
      </c>
      <c r="J48" s="2519">
        <f t="shared" si="16"/>
        <v>44044</v>
      </c>
      <c r="K48" s="2519">
        <f t="shared" si="16"/>
        <v>44013</v>
      </c>
      <c r="L48" s="2519">
        <f t="shared" si="16"/>
        <v>43983</v>
      </c>
      <c r="M48" s="2519">
        <f t="shared" si="16"/>
        <v>43952</v>
      </c>
      <c r="N48" s="2519">
        <f t="shared" si="16"/>
        <v>43922</v>
      </c>
      <c r="O48" s="2519">
        <f t="shared" si="16"/>
        <v>43891</v>
      </c>
      <c r="P48" s="2039"/>
      <c r="Q48" s="2040"/>
      <c r="R48" s="2040"/>
      <c r="S48" s="2040"/>
      <c r="T48" s="2040"/>
      <c r="U48" s="2040"/>
      <c r="V48" s="2040"/>
      <c r="W48" s="2040"/>
      <c r="X48" s="2040"/>
      <c r="Y48" s="2040"/>
      <c r="Z48" s="2040"/>
      <c r="AA48" s="2040"/>
      <c r="AB48" s="2040"/>
      <c r="AC48" s="2040"/>
    </row>
    <row r="49" spans="1:29" s="1202"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2"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2"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2"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2"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2"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2"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2"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2536</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2537</v>
      </c>
      <c r="C67" s="2440" t="s">
        <v>2538</v>
      </c>
      <c r="D67" s="2440" t="s">
        <v>2539</v>
      </c>
      <c r="E67" s="2440" t="s">
        <v>2540</v>
      </c>
      <c r="F67" s="2440" t="s">
        <v>2541</v>
      </c>
      <c r="G67" s="2440" t="s">
        <v>2542</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2"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2"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2"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2"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2"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2"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2"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2"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2"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93.75">
      <c r="A7" s="2588" t="s">
        <v>2704</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2021年3月11日（评估专业人员勘察现场之日）</v>
      </c>
    </row>
    <row r="12" spans="1:4" ht="18.75">
      <c r="A12" s="1711" t="s">
        <v>2011</v>
      </c>
    </row>
    <row r="13" spans="1:4" ht="18.75">
      <c r="A13" s="1705" t="s">
        <v>2057</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2060</v>
      </c>
    </row>
    <row r="23" spans="1:1" ht="18.75">
      <c r="A23" s="2590" t="s">
        <v>2705</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791</v>
      </c>
      <c r="B4" s="506"/>
      <c r="C4" s="3512" t="s">
        <v>792</v>
      </c>
      <c r="D4" s="3513"/>
      <c r="E4" s="3546" t="s">
        <v>793</v>
      </c>
      <c r="F4" s="3547"/>
      <c r="G4" s="3512" t="s">
        <v>794</v>
      </c>
      <c r="H4" s="3513"/>
      <c r="I4" s="3512" t="s">
        <v>795</v>
      </c>
      <c r="J4" s="3513"/>
      <c r="K4" s="507" t="s">
        <v>796</v>
      </c>
      <c r="L4" s="2013"/>
      <c r="M4" s="2014"/>
      <c r="N4" s="2014"/>
      <c r="O4" s="2014"/>
      <c r="P4" s="3514" t="s">
        <v>797</v>
      </c>
      <c r="Q4" s="3515"/>
      <c r="R4" s="3520" t="s">
        <v>793</v>
      </c>
      <c r="S4" s="3521"/>
      <c r="T4" s="3520" t="s">
        <v>794</v>
      </c>
      <c r="U4" s="3521"/>
      <c r="V4" s="3507" t="s">
        <v>795</v>
      </c>
      <c r="W4" s="3507"/>
      <c r="X4" s="1500"/>
      <c r="Y4" s="3520" t="s">
        <v>797</v>
      </c>
      <c r="Z4" s="3521"/>
      <c r="AA4" s="3509" t="s">
        <v>793</v>
      </c>
      <c r="AB4" s="3510" t="s">
        <v>794</v>
      </c>
      <c r="AC4" s="3509" t="s">
        <v>795</v>
      </c>
    </row>
    <row r="5" spans="1:29" ht="15">
      <c r="A5" s="508"/>
      <c r="B5" s="509"/>
      <c r="C5" s="3528" t="s">
        <v>2868</v>
      </c>
      <c r="D5" s="3529"/>
      <c r="E5" s="3548" t="s">
        <v>2869</v>
      </c>
      <c r="F5" s="3549"/>
      <c r="G5" s="3528" t="s">
        <v>2870</v>
      </c>
      <c r="H5" s="3529"/>
      <c r="I5" s="3528" t="s">
        <v>2871</v>
      </c>
      <c r="J5" s="3529"/>
      <c r="K5" s="507"/>
      <c r="L5" s="2013"/>
      <c r="M5" s="2014"/>
      <c r="N5" s="2014"/>
      <c r="O5" s="2014"/>
      <c r="P5" s="3516"/>
      <c r="Q5" s="3517"/>
      <c r="R5" s="3522"/>
      <c r="S5" s="3523"/>
      <c r="T5" s="3522"/>
      <c r="U5" s="3523"/>
      <c r="V5" s="3507"/>
      <c r="W5" s="3507"/>
      <c r="X5" s="1500"/>
      <c r="Y5" s="3522"/>
      <c r="Z5" s="3523"/>
      <c r="AA5" s="3510"/>
      <c r="AB5" s="3510"/>
      <c r="AC5" s="3510"/>
    </row>
    <row r="6" spans="1:29" ht="15.75" thickBot="1">
      <c r="A6" s="510"/>
      <c r="B6" s="511"/>
      <c r="C6" s="3526" t="s">
        <v>2872</v>
      </c>
      <c r="D6" s="3527"/>
      <c r="E6" s="3544" t="s">
        <v>2872</v>
      </c>
      <c r="F6" s="3545"/>
      <c r="G6" s="3526" t="s">
        <v>2872</v>
      </c>
      <c r="H6" s="3527"/>
      <c r="I6" s="3526" t="s">
        <v>2872</v>
      </c>
      <c r="J6" s="3527"/>
      <c r="K6" s="507" t="s">
        <v>522</v>
      </c>
      <c r="L6" s="2013"/>
      <c r="M6" s="2014"/>
      <c r="N6" s="2014"/>
      <c r="O6" s="2014"/>
      <c r="P6" s="3518"/>
      <c r="Q6" s="3519"/>
      <c r="R6" s="3522"/>
      <c r="S6" s="3523"/>
      <c r="T6" s="3524"/>
      <c r="U6" s="3525"/>
      <c r="V6" s="3507"/>
      <c r="W6" s="3507"/>
      <c r="X6" s="1500"/>
      <c r="Y6" s="3524"/>
      <c r="Z6" s="3525"/>
      <c r="AA6" s="3511"/>
      <c r="AB6" s="3511"/>
      <c r="AC6" s="3511"/>
    </row>
    <row r="7" spans="1:29" s="1202" customFormat="1" ht="15.75" thickBot="1">
      <c r="A7" s="2627"/>
      <c r="B7" s="2634" t="s">
        <v>523</v>
      </c>
      <c r="C7" s="512">
        <f>'数据-取费表'!B2</f>
        <v>44266</v>
      </c>
      <c r="D7" s="513">
        <v>100</v>
      </c>
      <c r="E7" s="514"/>
      <c r="F7" s="515">
        <f>SUMIF(46:46,YEAR(E7)&amp;"-"&amp;MONTH(E7),47:47)</f>
        <v>0</v>
      </c>
      <c r="G7" s="516"/>
      <c r="H7" s="513">
        <f>SUMIF(46:46,YEAR(G7)&amp;"-"&amp;MONTH(G7),47:47)</f>
        <v>0</v>
      </c>
      <c r="I7" s="516"/>
      <c r="J7" s="513">
        <f>SUMIF(46:46,YEAR(I7)&amp;"-"&amp;MONTH(I7),47:47)</f>
        <v>0</v>
      </c>
      <c r="K7" s="517"/>
      <c r="L7" s="2015"/>
      <c r="M7" s="2016"/>
      <c r="N7" s="2016"/>
      <c r="O7" s="2016"/>
      <c r="P7" s="3537" t="s">
        <v>524</v>
      </c>
      <c r="Q7" s="3539"/>
      <c r="R7" s="1501" t="s">
        <v>8</v>
      </c>
      <c r="S7" s="1502">
        <f t="shared" ref="S7:S14" si="0">F7</f>
        <v>0</v>
      </c>
      <c r="T7" s="1501" t="s">
        <v>8</v>
      </c>
      <c r="U7" s="1502">
        <f t="shared" ref="U7:U14" si="1">H7</f>
        <v>0</v>
      </c>
      <c r="V7" s="1501" t="s">
        <v>8</v>
      </c>
      <c r="W7" s="1502">
        <f t="shared" ref="W7:W14" si="2">J7</f>
        <v>0</v>
      </c>
      <c r="X7" s="1503"/>
      <c r="Y7" s="3537" t="s">
        <v>524</v>
      </c>
      <c r="Z7" s="3538"/>
      <c r="AA7" s="1504" t="e">
        <f>D7/F7</f>
        <v>#DIV/0!</v>
      </c>
      <c r="AB7" s="1504" t="e">
        <f>D7/H7</f>
        <v>#DIV/0!</v>
      </c>
      <c r="AC7" s="1504" t="e">
        <f>D7/J7</f>
        <v>#DIV/0!</v>
      </c>
    </row>
    <row r="8" spans="1:29" s="1202"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537" t="s">
        <v>527</v>
      </c>
      <c r="Q8" s="3538"/>
      <c r="R8" s="1501" t="s">
        <v>8</v>
      </c>
      <c r="S8" s="1502">
        <f t="shared" si="0"/>
        <v>0</v>
      </c>
      <c r="T8" s="1501" t="s">
        <v>8</v>
      </c>
      <c r="U8" s="1502">
        <f t="shared" si="1"/>
        <v>0</v>
      </c>
      <c r="V8" s="1501" t="s">
        <v>8</v>
      </c>
      <c r="W8" s="1502">
        <f t="shared" si="2"/>
        <v>0</v>
      </c>
      <c r="X8" s="1503"/>
      <c r="Y8" s="3537" t="s">
        <v>527</v>
      </c>
      <c r="Z8" s="3538"/>
      <c r="AA8" s="1504" t="e">
        <f t="shared" ref="AA8:AA34" si="3">D8/F8</f>
        <v>#DIV/0!</v>
      </c>
      <c r="AB8" s="1504" t="e">
        <f t="shared" ref="AB8:AB34" si="4">D8/H8</f>
        <v>#DIV/0!</v>
      </c>
      <c r="AC8" s="1504" t="e">
        <f t="shared" ref="AC8:AC34" si="5">D8/J8</f>
        <v>#DIV/0!</v>
      </c>
    </row>
    <row r="9" spans="1:29" s="1202" customFormat="1" ht="15">
      <c r="A9" s="2629"/>
      <c r="B9" s="2636" t="s">
        <v>2712</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506" t="s">
        <v>529</v>
      </c>
      <c r="Q9" s="1133" t="str">
        <f t="shared" ref="Q9:Q14" si="6">B9</f>
        <v>用途</v>
      </c>
      <c r="R9" s="1501" t="s">
        <v>8</v>
      </c>
      <c r="S9" s="1502">
        <f t="shared" si="0"/>
        <v>100</v>
      </c>
      <c r="T9" s="1501" t="s">
        <v>8</v>
      </c>
      <c r="U9" s="1502">
        <f t="shared" si="1"/>
        <v>100</v>
      </c>
      <c r="V9" s="1501" t="s">
        <v>8</v>
      </c>
      <c r="W9" s="1502">
        <f t="shared" si="2"/>
        <v>100</v>
      </c>
      <c r="X9" s="1503"/>
      <c r="Y9" s="3431" t="s">
        <v>530</v>
      </c>
      <c r="Z9" s="1132" t="str">
        <f t="shared" ref="Z9:Z14" si="7">Q9</f>
        <v>用途</v>
      </c>
      <c r="AA9" s="1504">
        <f t="shared" si="3"/>
        <v>1</v>
      </c>
      <c r="AB9" s="1504">
        <f t="shared" si="4"/>
        <v>1</v>
      </c>
      <c r="AC9" s="1504">
        <f t="shared" si="5"/>
        <v>1</v>
      </c>
    </row>
    <row r="10" spans="1:29" s="1291" customFormat="1" ht="27">
      <c r="A10" s="2630"/>
      <c r="B10" s="2635" t="s">
        <v>2713</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506"/>
      <c r="Q10" s="1133" t="str">
        <f t="shared" si="6"/>
        <v>土地使用年限（年）</v>
      </c>
      <c r="R10" s="1501" t="s">
        <v>8</v>
      </c>
      <c r="S10" s="1502">
        <f t="shared" si="0"/>
        <v>100</v>
      </c>
      <c r="T10" s="1501" t="s">
        <v>8</v>
      </c>
      <c r="U10" s="1502">
        <f t="shared" si="1"/>
        <v>100</v>
      </c>
      <c r="V10" s="1501" t="s">
        <v>8</v>
      </c>
      <c r="W10" s="1502">
        <f t="shared" si="2"/>
        <v>100</v>
      </c>
      <c r="X10" s="1503"/>
      <c r="Y10" s="3431"/>
      <c r="Z10" s="1132" t="str">
        <f t="shared" si="7"/>
        <v>土地使用年限（年）</v>
      </c>
      <c r="AA10" s="1504">
        <f t="shared" si="3"/>
        <v>1</v>
      </c>
      <c r="AB10" s="1504">
        <f t="shared" si="4"/>
        <v>1</v>
      </c>
      <c r="AC10" s="1504">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506"/>
      <c r="Q11" s="1133">
        <f t="shared" si="6"/>
        <v>111</v>
      </c>
      <c r="R11" s="1501" t="s">
        <v>8</v>
      </c>
      <c r="S11" s="1502">
        <f t="shared" si="0"/>
        <v>100</v>
      </c>
      <c r="T11" s="1501" t="s">
        <v>8</v>
      </c>
      <c r="U11" s="1502">
        <f t="shared" si="1"/>
        <v>100</v>
      </c>
      <c r="V11" s="1501" t="s">
        <v>8</v>
      </c>
      <c r="W11" s="1502">
        <f t="shared" si="2"/>
        <v>100</v>
      </c>
      <c r="X11" s="1503"/>
      <c r="Y11" s="3431"/>
      <c r="Z11" s="1132">
        <f t="shared" si="7"/>
        <v>111</v>
      </c>
      <c r="AA11" s="1504">
        <f t="shared" si="3"/>
        <v>1</v>
      </c>
      <c r="AB11" s="1504">
        <f t="shared" si="4"/>
        <v>1</v>
      </c>
      <c r="AC11" s="1504">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506"/>
      <c r="Q12" s="1133">
        <f t="shared" si="6"/>
        <v>111</v>
      </c>
      <c r="R12" s="1501" t="s">
        <v>8</v>
      </c>
      <c r="S12" s="1502">
        <f t="shared" si="0"/>
        <v>100</v>
      </c>
      <c r="T12" s="1501" t="s">
        <v>8</v>
      </c>
      <c r="U12" s="1502">
        <f t="shared" si="1"/>
        <v>100</v>
      </c>
      <c r="V12" s="1501" t="s">
        <v>8</v>
      </c>
      <c r="W12" s="1502">
        <f t="shared" si="2"/>
        <v>100</v>
      </c>
      <c r="X12" s="1503"/>
      <c r="Y12" s="3431"/>
      <c r="Z12" s="1132">
        <f t="shared" si="7"/>
        <v>111</v>
      </c>
      <c r="AA12" s="1504">
        <f>D12/F12</f>
        <v>1</v>
      </c>
      <c r="AB12" s="1504">
        <f>D12/H12</f>
        <v>1</v>
      </c>
      <c r="AC12" s="1504">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506"/>
      <c r="Q13" s="1133">
        <f t="shared" si="6"/>
        <v>111</v>
      </c>
      <c r="R13" s="1501" t="s">
        <v>8</v>
      </c>
      <c r="S13" s="1502">
        <f t="shared" si="0"/>
        <v>100</v>
      </c>
      <c r="T13" s="1501" t="s">
        <v>8</v>
      </c>
      <c r="U13" s="1502">
        <f t="shared" si="1"/>
        <v>100</v>
      </c>
      <c r="V13" s="1501" t="s">
        <v>8</v>
      </c>
      <c r="W13" s="1502">
        <f t="shared" si="2"/>
        <v>100</v>
      </c>
      <c r="X13" s="1503"/>
      <c r="Y13" s="3431"/>
      <c r="Z13" s="1132">
        <f t="shared" si="7"/>
        <v>111</v>
      </c>
      <c r="AA13" s="1504">
        <f t="shared" si="3"/>
        <v>1</v>
      </c>
      <c r="AB13" s="1504">
        <f t="shared" si="4"/>
        <v>1</v>
      </c>
      <c r="AC13" s="1504">
        <f t="shared" si="5"/>
        <v>1</v>
      </c>
    </row>
    <row r="14" spans="1:29" ht="15">
      <c r="A14" s="2625" t="s">
        <v>2710</v>
      </c>
      <c r="B14" s="164" t="s">
        <v>537</v>
      </c>
      <c r="C14" s="909" t="str">
        <f>IF(B1="工业",估价对象房地状况!G4,估价对象房地状况!C6)</f>
        <v>较差</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540" t="s">
        <v>534</v>
      </c>
      <c r="Q14" s="1505" t="str">
        <f t="shared" si="6"/>
        <v>交通便捷度</v>
      </c>
      <c r="R14" s="1506" t="s">
        <v>8</v>
      </c>
      <c r="S14" s="1507">
        <f t="shared" si="0"/>
        <v>100</v>
      </c>
      <c r="T14" s="1506" t="s">
        <v>8</v>
      </c>
      <c r="U14" s="1507">
        <f t="shared" si="1"/>
        <v>100</v>
      </c>
      <c r="V14" s="1506" t="s">
        <v>8</v>
      </c>
      <c r="W14" s="1507">
        <f t="shared" si="2"/>
        <v>100</v>
      </c>
      <c r="X14" s="1500"/>
      <c r="Y14" s="3540"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541"/>
      <c r="Q15" s="1505"/>
      <c r="R15" s="1506"/>
      <c r="S15" s="1507"/>
      <c r="T15" s="1506"/>
      <c r="U15" s="1507"/>
      <c r="V15" s="1506"/>
      <c r="W15" s="1507"/>
      <c r="X15" s="1500"/>
      <c r="Y15" s="3541"/>
      <c r="Z15" s="1508"/>
      <c r="AA15" s="1509">
        <v>1</v>
      </c>
      <c r="AB15" s="1509">
        <v>1</v>
      </c>
      <c r="AC15" s="1509">
        <v>1</v>
      </c>
    </row>
    <row r="16" spans="1:29" ht="15">
      <c r="A16" s="525"/>
      <c r="B16" s="2445" t="s">
        <v>2525</v>
      </c>
      <c r="C16" s="860" t="str">
        <f>IF(B1="工业",估价对象房地状况!G5,估价对象房地状况!C7)</f>
        <v>较差</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541"/>
      <c r="Q16" s="1505" t="str">
        <f>B16</f>
        <v>公共配套设施</v>
      </c>
      <c r="R16" s="1506" t="s">
        <v>8</v>
      </c>
      <c r="S16" s="1507">
        <f>F16</f>
        <v>100</v>
      </c>
      <c r="T16" s="1506" t="s">
        <v>8</v>
      </c>
      <c r="U16" s="1507">
        <f>H16</f>
        <v>100</v>
      </c>
      <c r="V16" s="1506" t="s">
        <v>8</v>
      </c>
      <c r="W16" s="1507">
        <f>J16</f>
        <v>100</v>
      </c>
      <c r="X16" s="1500"/>
      <c r="Y16" s="3541"/>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541"/>
      <c r="Q17" s="1505"/>
      <c r="R17" s="1506"/>
      <c r="S17" s="1507"/>
      <c r="T17" s="1506"/>
      <c r="U17" s="1507"/>
      <c r="V17" s="1506"/>
      <c r="W17" s="1507"/>
      <c r="X17" s="1500"/>
      <c r="Y17" s="3541"/>
      <c r="Z17" s="1508"/>
      <c r="AA17" s="1509">
        <v>1</v>
      </c>
      <c r="AB17" s="1509">
        <v>1</v>
      </c>
      <c r="AC17" s="1509">
        <v>1</v>
      </c>
    </row>
    <row r="18" spans="1:29" ht="15">
      <c r="A18" s="525"/>
      <c r="B18" s="2433"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541"/>
      <c r="Q18" s="2427" t="str">
        <f>B18</f>
        <v>基础设施水平</v>
      </c>
      <c r="R18" s="1506" t="s">
        <v>8</v>
      </c>
      <c r="S18" s="1507">
        <f>F18</f>
        <v>100</v>
      </c>
      <c r="T18" s="1506" t="s">
        <v>8</v>
      </c>
      <c r="U18" s="1507">
        <f>H18</f>
        <v>100</v>
      </c>
      <c r="V18" s="1506" t="s">
        <v>8</v>
      </c>
      <c r="W18" s="1507">
        <f>J18</f>
        <v>100</v>
      </c>
      <c r="X18" s="2429"/>
      <c r="Y18" s="3541"/>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541"/>
      <c r="Q19" s="2427"/>
      <c r="R19" s="1506"/>
      <c r="S19" s="1507"/>
      <c r="T19" s="1506"/>
      <c r="U19" s="1507"/>
      <c r="V19" s="1506"/>
      <c r="W19" s="1507"/>
      <c r="X19" s="2429"/>
      <c r="Y19" s="3541"/>
      <c r="Z19" s="2428"/>
      <c r="AA19" s="1509">
        <v>1</v>
      </c>
      <c r="AB19" s="1509">
        <v>1</v>
      </c>
      <c r="AC19" s="1509">
        <v>1</v>
      </c>
    </row>
    <row r="20" spans="1:29" ht="15">
      <c r="A20" s="525"/>
      <c r="B20" s="859" t="s">
        <v>798</v>
      </c>
      <c r="C20" s="860" t="str">
        <f>IF(B1="工业",估价对象房地状况!G7,估价对象房地状况!C9)</f>
        <v>较好</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541"/>
      <c r="Q20" s="1505" t="str">
        <f>B20</f>
        <v>自然及人文环境</v>
      </c>
      <c r="R20" s="1506" t="s">
        <v>8</v>
      </c>
      <c r="S20" s="1507">
        <f>F20</f>
        <v>100</v>
      </c>
      <c r="T20" s="1506" t="s">
        <v>8</v>
      </c>
      <c r="U20" s="1507">
        <f>H20</f>
        <v>100</v>
      </c>
      <c r="V20" s="1506" t="s">
        <v>8</v>
      </c>
      <c r="W20" s="1507">
        <f>J20</f>
        <v>100</v>
      </c>
      <c r="X20" s="1500"/>
      <c r="Y20" s="3541"/>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541"/>
      <c r="Q21" s="1505"/>
      <c r="R21" s="1506"/>
      <c r="S21" s="1507"/>
      <c r="T21" s="1506"/>
      <c r="U21" s="1507"/>
      <c r="V21" s="1506"/>
      <c r="W21" s="1507"/>
      <c r="X21" s="1500"/>
      <c r="Y21" s="3541"/>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41"/>
      <c r="Q22" s="1505" t="str">
        <f>B22</f>
        <v>楼层</v>
      </c>
      <c r="R22" s="1506" t="s">
        <v>8</v>
      </c>
      <c r="S22" s="1507">
        <f>F22</f>
        <v>100</v>
      </c>
      <c r="T22" s="1506" t="s">
        <v>8</v>
      </c>
      <c r="U22" s="1507">
        <f>H22</f>
        <v>100</v>
      </c>
      <c r="V22" s="1506" t="s">
        <v>8</v>
      </c>
      <c r="W22" s="1507">
        <f>J22</f>
        <v>100</v>
      </c>
      <c r="X22" s="1500"/>
      <c r="Y22" s="3541"/>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41"/>
      <c r="Q23" s="1505">
        <f>B23</f>
        <v>111</v>
      </c>
      <c r="R23" s="1506" t="s">
        <v>8</v>
      </c>
      <c r="S23" s="1507">
        <f>F23</f>
        <v>100</v>
      </c>
      <c r="T23" s="1506" t="s">
        <v>8</v>
      </c>
      <c r="U23" s="1507">
        <f>H23</f>
        <v>100</v>
      </c>
      <c r="V23" s="1506" t="s">
        <v>8</v>
      </c>
      <c r="W23" s="1507">
        <f>J23</f>
        <v>100</v>
      </c>
      <c r="X23" s="1500"/>
      <c r="Y23" s="3541"/>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41"/>
      <c r="Q24" s="1505">
        <f t="shared" ref="Q24:Q34" si="11">B24</f>
        <v>111</v>
      </c>
      <c r="R24" s="1506" t="s">
        <v>8</v>
      </c>
      <c r="S24" s="1507">
        <f>F24</f>
        <v>100</v>
      </c>
      <c r="T24" s="1506" t="s">
        <v>8</v>
      </c>
      <c r="U24" s="1507">
        <f>H24</f>
        <v>100</v>
      </c>
      <c r="V24" s="1506" t="s">
        <v>8</v>
      </c>
      <c r="W24" s="1507">
        <f>J24</f>
        <v>100</v>
      </c>
      <c r="X24" s="1500"/>
      <c r="Y24" s="3541"/>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41"/>
      <c r="Q25" s="1133">
        <f t="shared" si="11"/>
        <v>111</v>
      </c>
      <c r="R25" s="1501" t="s">
        <v>8</v>
      </c>
      <c r="S25" s="1502">
        <f>F25</f>
        <v>100</v>
      </c>
      <c r="T25" s="1501" t="s">
        <v>8</v>
      </c>
      <c r="U25" s="1502">
        <f>H25</f>
        <v>100</v>
      </c>
      <c r="V25" s="1501" t="s">
        <v>8</v>
      </c>
      <c r="W25" s="1502">
        <f>J25</f>
        <v>100</v>
      </c>
      <c r="X25" s="1503"/>
      <c r="Y25" s="3541"/>
      <c r="Z25" s="1132">
        <f>Q25</f>
        <v>111</v>
      </c>
      <c r="AA25" s="1509">
        <f>D25/F25</f>
        <v>1</v>
      </c>
      <c r="AB25" s="1509">
        <f>D25/H25</f>
        <v>1</v>
      </c>
      <c r="AC25" s="1509">
        <f>D25/J25</f>
        <v>1</v>
      </c>
    </row>
    <row r="26" spans="1:29" ht="15">
      <c r="A26" s="2622" t="s">
        <v>2711</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42"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43"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543"/>
      <c r="Q27" s="1534" t="str">
        <f t="shared" si="11"/>
        <v>成新率</v>
      </c>
      <c r="R27" s="1510" t="s">
        <v>8</v>
      </c>
      <c r="S27" s="1511" t="e">
        <f t="shared" si="12"/>
        <v>#N/A</v>
      </c>
      <c r="T27" s="1510" t="s">
        <v>8</v>
      </c>
      <c r="U27" s="1511" t="e">
        <f t="shared" si="13"/>
        <v>#N/A</v>
      </c>
      <c r="V27" s="1510" t="s">
        <v>8</v>
      </c>
      <c r="W27" s="1511" t="e">
        <f t="shared" si="14"/>
        <v>#N/A</v>
      </c>
      <c r="X27" s="1512"/>
      <c r="Y27" s="3543"/>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43"/>
      <c r="Q28" s="1505" t="str">
        <f t="shared" si="11"/>
        <v>物业等级</v>
      </c>
      <c r="R28" s="1506" t="s">
        <v>8</v>
      </c>
      <c r="S28" s="1507">
        <f t="shared" si="12"/>
        <v>100</v>
      </c>
      <c r="T28" s="1506" t="s">
        <v>8</v>
      </c>
      <c r="U28" s="1507">
        <f t="shared" si="13"/>
        <v>100</v>
      </c>
      <c r="V28" s="1506" t="s">
        <v>8</v>
      </c>
      <c r="W28" s="1507">
        <f t="shared" si="14"/>
        <v>100</v>
      </c>
      <c r="X28" s="1500"/>
      <c r="Y28" s="3543"/>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43"/>
      <c r="Q29" s="1505" t="str">
        <f t="shared" si="11"/>
        <v>有无电梯</v>
      </c>
      <c r="R29" s="1506" t="s">
        <v>8</v>
      </c>
      <c r="S29" s="1507">
        <f t="shared" si="12"/>
        <v>100</v>
      </c>
      <c r="T29" s="1506" t="s">
        <v>8</v>
      </c>
      <c r="U29" s="1507">
        <f t="shared" si="13"/>
        <v>100</v>
      </c>
      <c r="V29" s="1506" t="s">
        <v>8</v>
      </c>
      <c r="W29" s="1507">
        <f t="shared" si="14"/>
        <v>100</v>
      </c>
      <c r="X29" s="1500"/>
      <c r="Y29" s="3543"/>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543"/>
      <c r="Q30" s="1505" t="str">
        <f t="shared" si="11"/>
        <v>建筑面积</v>
      </c>
      <c r="R30" s="1506" t="s">
        <v>8</v>
      </c>
      <c r="S30" s="1507" t="e">
        <f t="shared" si="12"/>
        <v>#N/A</v>
      </c>
      <c r="T30" s="1506" t="s">
        <v>8</v>
      </c>
      <c r="U30" s="1507" t="e">
        <f t="shared" si="13"/>
        <v>#N/A</v>
      </c>
      <c r="V30" s="1506" t="s">
        <v>8</v>
      </c>
      <c r="W30" s="1507" t="e">
        <f t="shared" si="14"/>
        <v>#N/A</v>
      </c>
      <c r="X30" s="1500"/>
      <c r="Y30" s="3543"/>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43"/>
      <c r="Q31" s="1133" t="str">
        <f t="shared" si="11"/>
        <v>是否封闭</v>
      </c>
      <c r="R31" s="1501" t="s">
        <v>8</v>
      </c>
      <c r="S31" s="1502">
        <f t="shared" si="12"/>
        <v>100</v>
      </c>
      <c r="T31" s="1501" t="s">
        <v>8</v>
      </c>
      <c r="U31" s="1502">
        <f t="shared" si="13"/>
        <v>100</v>
      </c>
      <c r="V31" s="1501" t="s">
        <v>8</v>
      </c>
      <c r="W31" s="1502">
        <f t="shared" si="14"/>
        <v>100</v>
      </c>
      <c r="X31" s="1503"/>
      <c r="Y31" s="3543"/>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43" t="s">
        <v>544</v>
      </c>
      <c r="Q32" s="1505">
        <f t="shared" si="11"/>
        <v>111</v>
      </c>
      <c r="R32" s="1506" t="s">
        <v>8</v>
      </c>
      <c r="S32" s="1507">
        <f t="shared" si="12"/>
        <v>100</v>
      </c>
      <c r="T32" s="1506" t="s">
        <v>8</v>
      </c>
      <c r="U32" s="1507">
        <f t="shared" si="13"/>
        <v>100</v>
      </c>
      <c r="V32" s="1506" t="s">
        <v>8</v>
      </c>
      <c r="W32" s="1507">
        <f t="shared" si="14"/>
        <v>100</v>
      </c>
      <c r="X32" s="1500"/>
      <c r="Y32" s="3543"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43"/>
      <c r="Q33" s="1505">
        <f t="shared" si="11"/>
        <v>111</v>
      </c>
      <c r="R33" s="1506" t="s">
        <v>8</v>
      </c>
      <c r="S33" s="1507">
        <f t="shared" si="12"/>
        <v>100</v>
      </c>
      <c r="T33" s="1506" t="s">
        <v>8</v>
      </c>
      <c r="U33" s="1507">
        <f t="shared" si="13"/>
        <v>100</v>
      </c>
      <c r="V33" s="1506" t="s">
        <v>8</v>
      </c>
      <c r="W33" s="1507">
        <f t="shared" si="14"/>
        <v>100</v>
      </c>
      <c r="X33" s="1500"/>
      <c r="Y33" s="3543"/>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43"/>
      <c r="Q34" s="1505">
        <f t="shared" si="11"/>
        <v>111</v>
      </c>
      <c r="R34" s="1506" t="s">
        <v>8</v>
      </c>
      <c r="S34" s="1507">
        <f t="shared" si="12"/>
        <v>100</v>
      </c>
      <c r="T34" s="1506" t="s">
        <v>8</v>
      </c>
      <c r="U34" s="1507">
        <f t="shared" si="13"/>
        <v>100</v>
      </c>
      <c r="V34" s="1506" t="s">
        <v>8</v>
      </c>
      <c r="W34" s="1507">
        <f t="shared" si="14"/>
        <v>100</v>
      </c>
      <c r="X34" s="1500"/>
      <c r="Y34" s="3543"/>
      <c r="Z34" s="1508">
        <f t="shared" si="15"/>
        <v>111</v>
      </c>
      <c r="AA34" s="1509">
        <f t="shared" si="3"/>
        <v>1</v>
      </c>
      <c r="AB34" s="1509">
        <f t="shared" si="4"/>
        <v>1</v>
      </c>
      <c r="AC34" s="1509">
        <f t="shared" si="5"/>
        <v>1</v>
      </c>
    </row>
    <row r="35" spans="1:29" ht="15">
      <c r="A35" s="600" t="s">
        <v>730</v>
      </c>
      <c r="B35" s="875"/>
      <c r="C35" s="2468" t="s">
        <v>1</v>
      </c>
      <c r="D35" s="2469"/>
      <c r="E35" s="2470"/>
      <c r="F35" s="2471"/>
      <c r="G35" s="2472"/>
      <c r="H35" s="2473"/>
      <c r="I35" s="2470"/>
      <c r="J35" s="2473"/>
      <c r="K35" s="1539"/>
      <c r="L35" s="2024"/>
      <c r="M35" s="2025"/>
      <c r="N35" s="2014"/>
      <c r="O35" s="2025"/>
      <c r="P35" s="3506" t="str">
        <f>A35</f>
        <v>成交单价（元/平方米）</v>
      </c>
      <c r="Q35" s="3506"/>
      <c r="R35" s="3603">
        <f>E35</f>
        <v>0</v>
      </c>
      <c r="S35" s="3603"/>
      <c r="T35" s="3603">
        <f>G35</f>
        <v>0</v>
      </c>
      <c r="U35" s="3603"/>
      <c r="V35" s="3603">
        <f>I35</f>
        <v>0</v>
      </c>
      <c r="W35" s="3603"/>
      <c r="X35" s="1495"/>
      <c r="Y35" s="1514"/>
      <c r="Z35" s="1495"/>
      <c r="AA35" s="1495"/>
      <c r="AB35" s="1495"/>
      <c r="AC35" s="1495"/>
    </row>
    <row r="36" spans="1:29" ht="15.75" thickBot="1">
      <c r="A36" s="608" t="s">
        <v>2716</v>
      </c>
      <c r="B36" s="876"/>
      <c r="C36" s="2474" t="e">
        <f>R37</f>
        <v>#DIV/0!</v>
      </c>
      <c r="D36" s="2896" t="s">
        <v>2939</v>
      </c>
      <c r="E36" s="2475" t="e">
        <f>R36</f>
        <v>#DIV/0!</v>
      </c>
      <c r="F36" s="2897"/>
      <c r="G36" s="2474" t="e">
        <f>T36</f>
        <v>#DIV/0!</v>
      </c>
      <c r="H36" s="2897"/>
      <c r="I36" s="2475" t="e">
        <f>V36</f>
        <v>#DIV/0!</v>
      </c>
      <c r="J36" s="2897"/>
      <c r="K36" s="2905">
        <f>F36+H36+J36</f>
        <v>0</v>
      </c>
      <c r="L36" s="2024"/>
      <c r="M36" s="2025"/>
      <c r="N36" s="2014"/>
      <c r="O36" s="2025"/>
      <c r="P36" s="3506" t="str">
        <f>A36</f>
        <v>比较价格（元/平方米）</v>
      </c>
      <c r="Q36" s="3506"/>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1495"/>
      <c r="Y36" s="1495"/>
      <c r="Z36" s="1495"/>
      <c r="AA36" s="1495"/>
      <c r="AB36" s="1495"/>
      <c r="AC36" s="1495"/>
    </row>
    <row r="37" spans="1:29" ht="15.75" thickBot="1">
      <c r="A37" s="612" t="s">
        <v>2874</v>
      </c>
      <c r="B37" s="613"/>
      <c r="C37" s="2476" t="e">
        <f>R37</f>
        <v>#DIV/0!</v>
      </c>
      <c r="D37" s="2476"/>
      <c r="E37" s="2476"/>
      <c r="F37" s="2476"/>
      <c r="G37" s="2476"/>
      <c r="H37" s="2476"/>
      <c r="I37" s="2476"/>
      <c r="J37" s="2476"/>
      <c r="K37" s="1540"/>
      <c r="L37" s="2024"/>
      <c r="M37" s="2025"/>
      <c r="N37" s="2025"/>
      <c r="O37" s="2025"/>
      <c r="P37" s="3503" t="str">
        <f>A37</f>
        <v>估价对象XX用房的比较价格（楼面单价，元/平方米）</v>
      </c>
      <c r="Q37" s="3504"/>
      <c r="R37" s="3602" t="e">
        <f>IF(F1="售价",ROUND(IF(D36="简单平均",AVERAGE(R36:W36),R36*F36+T36*H36+V36*J36),0),ROUND(IF(D36="简单平均",AVERAGE(R36:V36),R36*F36+T36*H36+V36*J36),1))</f>
        <v>#DIV/0!</v>
      </c>
      <c r="S37" s="3602"/>
      <c r="T37" s="3602"/>
      <c r="U37" s="3602"/>
      <c r="V37" s="3602"/>
      <c r="W37" s="3602"/>
      <c r="X37" s="1495"/>
      <c r="Y37" s="1495"/>
      <c r="Z37" s="1495"/>
      <c r="AA37" s="1495"/>
      <c r="AB37" s="1495"/>
      <c r="AC37" s="1495"/>
    </row>
    <row r="38" spans="1:29">
      <c r="A38" s="3094"/>
      <c r="B38" s="3094"/>
      <c r="C38" s="3094"/>
      <c r="D38" s="3094"/>
      <c r="E38" s="3094"/>
      <c r="F38" s="3094"/>
      <c r="G38" s="3096"/>
      <c r="H38" s="3094"/>
      <c r="I38" s="3094"/>
      <c r="J38" s="3094"/>
      <c r="K38" s="3097"/>
      <c r="L38" s="2029"/>
      <c r="M38" s="2025"/>
      <c r="N38" s="2025"/>
      <c r="O38" s="2025"/>
      <c r="P38" s="2025"/>
      <c r="Q38" s="2025"/>
      <c r="R38" s="2025"/>
      <c r="S38" s="2025"/>
      <c r="T38" s="2025"/>
      <c r="U38" s="2025"/>
      <c r="V38" s="2025"/>
      <c r="W38" s="2025"/>
      <c r="X38" s="2025"/>
      <c r="Y38" s="2025"/>
      <c r="Z38" s="2025"/>
      <c r="AA38" s="2025"/>
      <c r="AB38" s="2025"/>
      <c r="AC38" s="2025"/>
    </row>
    <row r="39" spans="1:29">
      <c r="A39" s="3094"/>
      <c r="B39" s="3094"/>
      <c r="C39" s="3094"/>
      <c r="D39" s="3094"/>
      <c r="E39" s="3094"/>
      <c r="F39" s="3094"/>
      <c r="G39" s="3094"/>
      <c r="H39" s="3094"/>
      <c r="I39" s="3094"/>
      <c r="J39" s="3094"/>
      <c r="K39" s="3097"/>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094"/>
      <c r="B40" s="3094"/>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097"/>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094"/>
      <c r="B41" s="3094"/>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097"/>
      <c r="L41" s="2029"/>
      <c r="M41" s="2025"/>
      <c r="N41" s="2025"/>
      <c r="O41" s="2025"/>
      <c r="P41" s="2025"/>
      <c r="Q41" s="2025"/>
      <c r="R41" s="2025"/>
      <c r="S41" s="2025"/>
      <c r="T41" s="2025"/>
      <c r="U41" s="2025"/>
      <c r="V41" s="2025"/>
      <c r="W41" s="2025"/>
      <c r="X41" s="2025"/>
      <c r="Y41" s="2025"/>
      <c r="Z41" s="2025"/>
      <c r="AA41" s="2025"/>
      <c r="AB41" s="2025"/>
      <c r="AC41" s="2025"/>
    </row>
    <row r="42" spans="1:29" s="1297" customFormat="1" ht="13.5" customHeight="1">
      <c r="A42" s="3095"/>
      <c r="B42" s="3095"/>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098"/>
      <c r="L42" s="2032"/>
      <c r="M42" s="2026"/>
      <c r="N42" s="2026"/>
      <c r="O42" s="2026"/>
      <c r="P42" s="2026"/>
      <c r="Q42" s="2026"/>
      <c r="R42" s="2026"/>
      <c r="S42" s="2026"/>
      <c r="T42" s="2026"/>
      <c r="U42" s="2026"/>
      <c r="V42" s="2026"/>
      <c r="W42" s="2026"/>
      <c r="X42" s="2026"/>
      <c r="Y42" s="2026"/>
      <c r="Z42" s="2026"/>
      <c r="AA42" s="2026"/>
      <c r="AB42" s="2026"/>
      <c r="AC42" s="2026"/>
    </row>
    <row r="43" spans="1:29" s="1297"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9" customFormat="1" ht="15">
      <c r="A46" s="636" t="s">
        <v>523</v>
      </c>
      <c r="B46" s="637"/>
      <c r="C46" s="2517" t="str">
        <f>YEAR(C7)&amp;"-"&amp;MONTH(C7)</f>
        <v>2021-3</v>
      </c>
      <c r="D46" s="2519">
        <f>EDATE(C46,-1)</f>
        <v>44228</v>
      </c>
      <c r="E46" s="2519">
        <f t="shared" ref="E46:O46" si="16">EDATE(D46,-1)</f>
        <v>44197</v>
      </c>
      <c r="F46" s="2519">
        <f t="shared" si="16"/>
        <v>44166</v>
      </c>
      <c r="G46" s="2519">
        <f t="shared" si="16"/>
        <v>44136</v>
      </c>
      <c r="H46" s="2519">
        <f t="shared" si="16"/>
        <v>44105</v>
      </c>
      <c r="I46" s="2519">
        <f t="shared" si="16"/>
        <v>44075</v>
      </c>
      <c r="J46" s="2519">
        <f t="shared" si="16"/>
        <v>44044</v>
      </c>
      <c r="K46" s="2519">
        <f t="shared" si="16"/>
        <v>44013</v>
      </c>
      <c r="L46" s="2519">
        <f t="shared" si="16"/>
        <v>43983</v>
      </c>
      <c r="M46" s="2519">
        <f t="shared" si="16"/>
        <v>43952</v>
      </c>
      <c r="N46" s="2519">
        <f t="shared" si="16"/>
        <v>43922</v>
      </c>
      <c r="O46" s="2519">
        <f t="shared" si="16"/>
        <v>43891</v>
      </c>
      <c r="P46" s="2039"/>
      <c r="Q46" s="2040"/>
      <c r="R46" s="2040"/>
      <c r="S46" s="2040"/>
      <c r="T46" s="2040"/>
      <c r="U46" s="2040"/>
      <c r="V46" s="2040"/>
      <c r="W46" s="2040"/>
      <c r="X46" s="2040"/>
      <c r="Y46" s="2040"/>
      <c r="Z46" s="2040"/>
      <c r="AA46" s="2040"/>
      <c r="AB46" s="2040"/>
      <c r="AC46" s="2040"/>
    </row>
    <row r="47" spans="1:29" s="1202"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2"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2"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2"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2"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2"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2"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2"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2536</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2537</v>
      </c>
      <c r="C65" s="2440" t="s">
        <v>2538</v>
      </c>
      <c r="D65" s="2440" t="s">
        <v>2539</v>
      </c>
      <c r="E65" s="2440" t="s">
        <v>2540</v>
      </c>
      <c r="F65" s="2440" t="s">
        <v>2541</v>
      </c>
      <c r="G65" s="2440" t="s">
        <v>2542</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2"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2"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2"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2"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2"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2"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2"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2" t="s">
        <v>2288</v>
      </c>
      <c r="C1" s="3612" t="s">
        <v>2289</v>
      </c>
      <c r="D1" s="3613"/>
      <c r="E1" s="3613"/>
      <c r="F1" s="3613"/>
      <c r="G1" s="3613"/>
      <c r="H1" s="3613"/>
      <c r="I1" s="3613"/>
      <c r="J1" s="3613"/>
      <c r="K1" s="3613"/>
      <c r="L1" s="3613"/>
      <c r="M1" s="3613"/>
      <c r="N1" s="3613"/>
      <c r="O1" s="3613"/>
      <c r="P1" s="3613"/>
      <c r="Q1" s="3613"/>
      <c r="R1" s="3613"/>
      <c r="S1" s="3614"/>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7"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2867</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2866</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2865</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2878</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2864</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2863</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9" t="s">
        <v>20</v>
      </c>
      <c r="D22" s="3610"/>
      <c r="E22" s="3610"/>
      <c r="F22" s="3610"/>
      <c r="G22" s="3610"/>
      <c r="H22" s="3610"/>
      <c r="I22" s="3610"/>
      <c r="J22" s="3610"/>
      <c r="K22" s="3610"/>
      <c r="L22" s="3610"/>
      <c r="M22" s="3610"/>
      <c r="N22" s="3610"/>
      <c r="O22" s="3610"/>
      <c r="P22" s="3610"/>
      <c r="Q22" s="3611"/>
      <c r="R22" s="483" t="e">
        <f>ROUND(S22*10000/B22,0)</f>
        <v>#DIV/0!</v>
      </c>
      <c r="S22" s="53">
        <f>SUM(S24:S10000)</f>
        <v>0</v>
      </c>
    </row>
    <row r="23" spans="1:45" s="1541" customFormat="1" ht="24">
      <c r="A23" s="17" t="s">
        <v>824</v>
      </c>
      <c r="B23" s="2858" t="s">
        <v>2886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156">
        <v>1</v>
      </c>
      <c r="D24" s="3157"/>
      <c r="E24" s="3156">
        <v>1</v>
      </c>
      <c r="F24" s="3157"/>
      <c r="G24" s="3156">
        <v>1</v>
      </c>
      <c r="H24" s="3157"/>
      <c r="I24" s="3156">
        <v>1</v>
      </c>
      <c r="J24" s="3157"/>
      <c r="K24" s="3156">
        <v>1</v>
      </c>
      <c r="L24" s="3157"/>
      <c r="M24" s="3156">
        <v>1</v>
      </c>
      <c r="N24" s="3157"/>
      <c r="O24" s="3156">
        <v>1</v>
      </c>
      <c r="P24" s="3157"/>
      <c r="Q24" s="3156">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2743</v>
      </c>
      <c r="C1" s="2719">
        <f>项目基本情况!D3</f>
        <v>44266</v>
      </c>
      <c r="H1" s="2653">
        <f>IF(C1&gt;C13,0,MATCH(C1,C$13:C$100,-1))+IF(SUMIF(C13:C100,C1,D13:D100)=0,13,12)</f>
        <v>13</v>
      </c>
      <c r="I1" s="2653">
        <f ca="1">MATCH(C2,H3:H7,1)+IF(SUMIF(H3:H7,C2,I3:I7)=0,2,1)</f>
        <v>4</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2774</v>
      </c>
      <c r="C2" s="2720">
        <f>'数据-取费表'!B22</f>
        <v>1</v>
      </c>
      <c r="D2" s="2715" t="s">
        <v>2744</v>
      </c>
      <c r="E2" s="2718">
        <f ca="1">INDIRECT("I"&amp;$I$1)/100</f>
        <v>4.3499999999999997E-2</v>
      </c>
      <c r="G2" s="2655"/>
      <c r="H2" s="2655"/>
      <c r="I2" s="2655" t="s">
        <v>2745</v>
      </c>
      <c r="K2" s="2655"/>
      <c r="L2" s="2655"/>
      <c r="M2" s="2655"/>
      <c r="N2" s="2655" t="s">
        <v>2746</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2776</v>
      </c>
      <c r="C3" s="2717">
        <f>'数据-取费表'!B19</f>
        <v>0</v>
      </c>
      <c r="D3" s="2715" t="s">
        <v>2744</v>
      </c>
      <c r="E3" s="2718">
        <f ca="1">INDIRECT("J"&amp;$J$1)/100</f>
        <v>0</v>
      </c>
      <c r="G3" s="2657" t="s">
        <v>2747</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2775</v>
      </c>
      <c r="C4" s="2718">
        <f ca="1">N4/100</f>
        <v>1.4999999999999999E-2</v>
      </c>
      <c r="G4" s="2663" t="s">
        <v>2748</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2749</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2750</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2751</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2752</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2753</v>
      </c>
      <c r="C10" s="2682"/>
      <c r="D10" s="2682"/>
      <c r="E10" s="2682"/>
      <c r="F10" s="2682"/>
      <c r="G10" s="2682"/>
      <c r="H10" s="2682"/>
      <c r="I10" s="2656"/>
      <c r="J10" s="2656"/>
      <c r="K10" s="2682"/>
      <c r="L10" s="2683" t="s">
        <v>2754</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2755</v>
      </c>
      <c r="C11" s="2687" t="s">
        <v>2756</v>
      </c>
      <c r="D11" s="2688" t="s">
        <v>2757</v>
      </c>
      <c r="E11" s="2689"/>
      <c r="F11" s="2688" t="s">
        <v>2758</v>
      </c>
      <c r="G11" s="2690"/>
      <c r="H11" s="2689"/>
      <c r="I11" s="2688" t="s">
        <v>2759</v>
      </c>
      <c r="J11" s="2689"/>
      <c r="K11" s="2685"/>
      <c r="L11" s="2686" t="s">
        <v>2755</v>
      </c>
      <c r="M11" s="2687" t="s">
        <v>2756</v>
      </c>
      <c r="N11" s="2686" t="s">
        <v>2760</v>
      </c>
      <c r="O11" s="2688" t="s">
        <v>2761</v>
      </c>
      <c r="P11" s="2690"/>
      <c r="Q11" s="2690"/>
      <c r="R11" s="2690"/>
      <c r="S11" s="2690"/>
      <c r="T11" s="2689"/>
      <c r="U11" s="2688" t="s">
        <v>2762</v>
      </c>
      <c r="V11" s="2690"/>
      <c r="W11" s="2689"/>
      <c r="X11" s="2686" t="s">
        <v>2763</v>
      </c>
      <c r="Y11" s="2686" t="s">
        <v>2764</v>
      </c>
      <c r="Z11" s="2686" t="s">
        <v>2765</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2766</v>
      </c>
      <c r="E12" s="2695" t="s">
        <v>2767</v>
      </c>
      <c r="F12" s="2695" t="s">
        <v>2768</v>
      </c>
      <c r="G12" s="2695" t="s">
        <v>2769</v>
      </c>
      <c r="H12" s="2695" t="s">
        <v>2751</v>
      </c>
      <c r="I12" s="2696" t="s">
        <v>2770</v>
      </c>
      <c r="J12" s="2696" t="s">
        <v>2770</v>
      </c>
      <c r="K12" s="2692"/>
      <c r="L12" s="2693"/>
      <c r="M12" s="2694"/>
      <c r="N12" s="2693"/>
      <c r="O12" s="2696" t="s">
        <v>2771</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2772</v>
      </c>
      <c r="C13" s="2700">
        <v>42301</v>
      </c>
      <c r="D13" s="2701">
        <v>4.3499999999999996</v>
      </c>
      <c r="E13" s="2701">
        <v>4.3499999999999996</v>
      </c>
      <c r="F13" s="2701">
        <v>4.75</v>
      </c>
      <c r="G13" s="2701">
        <v>4.75</v>
      </c>
      <c r="H13" s="2701">
        <v>4.9000000000000004</v>
      </c>
      <c r="I13" s="2701">
        <v>2.75</v>
      </c>
      <c r="J13" s="2701">
        <v>3.25</v>
      </c>
      <c r="K13" s="2698"/>
      <c r="L13" s="2699" t="s">
        <v>2772</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2773</v>
      </c>
      <c r="Y42" s="2705" t="s">
        <v>2773</v>
      </c>
      <c r="Z42" s="2705" t="s">
        <v>2773</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2773</v>
      </c>
      <c r="Y43" s="2705" t="s">
        <v>2773</v>
      </c>
      <c r="Z43" s="2705" t="s">
        <v>2773</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2773</v>
      </c>
      <c r="Y44" s="2705" t="s">
        <v>2773</v>
      </c>
      <c r="Z44" s="2705" t="s">
        <v>2773</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2773</v>
      </c>
      <c r="Y45" s="2705" t="s">
        <v>2773</v>
      </c>
      <c r="Z45" s="2705" t="s">
        <v>2773</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2773</v>
      </c>
      <c r="Y46" s="2705" t="s">
        <v>2773</v>
      </c>
      <c r="Z46" s="2705" t="s">
        <v>2773</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2773</v>
      </c>
      <c r="Y47" s="2705" t="s">
        <v>2773</v>
      </c>
      <c r="Z47" s="2705" t="s">
        <v>2773</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2773</v>
      </c>
      <c r="Y48" s="2705" t="s">
        <v>2773</v>
      </c>
      <c r="Z48" s="2705" t="s">
        <v>2773</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2773</v>
      </c>
      <c r="Y49" s="2705" t="s">
        <v>2773</v>
      </c>
      <c r="Z49" s="2705" t="s">
        <v>2773</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2773</v>
      </c>
      <c r="Y50" s="2705" t="s">
        <v>2773</v>
      </c>
      <c r="Z50" s="2705" t="s">
        <v>2773</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2773</v>
      </c>
      <c r="V51" s="2705" t="s">
        <v>2773</v>
      </c>
      <c r="W51" s="2705" t="s">
        <v>2773</v>
      </c>
      <c r="X51" s="2705" t="s">
        <v>2773</v>
      </c>
      <c r="Y51" s="2705" t="s">
        <v>2773</v>
      </c>
      <c r="Z51" s="2705" t="s">
        <v>2773</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2773</v>
      </c>
      <c r="J55" s="2705" t="s">
        <v>2773</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60" zoomScaleSheetLayoutView="85" workbookViewId="0">
      <selection activeCell="D26" sqref="D2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2983</v>
      </c>
      <c r="D1" s="2795" t="s">
        <v>3135</v>
      </c>
      <c r="E1" s="2240" t="s">
        <v>862</v>
      </c>
      <c r="F1" s="2241">
        <f ca="1">J53</f>
        <v>47.13</v>
      </c>
      <c r="G1" s="3139">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461</v>
      </c>
      <c r="B2" s="764">
        <f ca="1">C40+J29+L46</f>
        <v>72</v>
      </c>
      <c r="C2" s="3144"/>
      <c r="D2" s="3145"/>
      <c r="E2" s="3146"/>
      <c r="F2" s="3146"/>
      <c r="G2" s="3140"/>
      <c r="H2" s="1938"/>
      <c r="I2" s="1938"/>
      <c r="J2" s="1938"/>
      <c r="K2" s="1939"/>
      <c r="L2" s="1938"/>
      <c r="M2" s="1938"/>
    </row>
    <row r="3" spans="1:33" ht="18" customHeight="1" thickBot="1">
      <c r="A3" s="821" t="s">
        <v>513</v>
      </c>
      <c r="B3" s="822">
        <f ca="1">IF(ISERROR(B2*10000/F43),0,ROUND(B2*10000/F43,0))</f>
        <v>836</v>
      </c>
      <c r="C3" s="3144"/>
      <c r="D3" s="3145"/>
      <c r="E3" s="3146"/>
      <c r="F3" s="3146"/>
      <c r="G3" s="3140"/>
      <c r="H3" s="765" t="s">
        <v>689</v>
      </c>
      <c r="I3" s="1315"/>
      <c r="J3" s="1315"/>
      <c r="K3" s="1524"/>
      <c r="L3" s="1315"/>
      <c r="M3" s="1315"/>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2437</v>
      </c>
      <c r="C5" s="55">
        <f ca="1">C6+C10+C12</f>
        <v>10</v>
      </c>
      <c r="D5" s="2347" t="s">
        <v>2440</v>
      </c>
      <c r="E5" s="2341"/>
      <c r="F5" s="2342"/>
      <c r="G5" s="1943"/>
      <c r="H5" s="770">
        <v>1</v>
      </c>
      <c r="I5" s="771" t="s">
        <v>2437</v>
      </c>
      <c r="J5" s="55">
        <f ca="1">J6+J10+J12</f>
        <v>0</v>
      </c>
      <c r="K5" s="2347" t="s">
        <v>2440</v>
      </c>
      <c r="L5" s="2341"/>
      <c r="M5" s="2342"/>
    </row>
    <row r="6" spans="1:33" ht="18" customHeight="1">
      <c r="A6" s="1744" t="s">
        <v>1815</v>
      </c>
      <c r="B6" s="3573" t="s">
        <v>2442</v>
      </c>
      <c r="C6" s="772">
        <f ca="1">ROUND(F6*F8*F7*(1-F9)/10000,0)</f>
        <v>10</v>
      </c>
      <c r="D6" s="2348" t="s">
        <v>2441</v>
      </c>
      <c r="E6" s="773" t="s">
        <v>631</v>
      </c>
      <c r="F6" s="774">
        <f ca="1">INDIRECT("'数据-取费表'!u"&amp;$G$1)</f>
        <v>500</v>
      </c>
      <c r="G6" s="1943"/>
      <c r="H6" s="2355" t="s">
        <v>1815</v>
      </c>
      <c r="I6" s="3573" t="s">
        <v>2442</v>
      </c>
      <c r="J6" s="772">
        <f ca="1">ROUND(M6*M8*M7*(1-M9)/10000,0)</f>
        <v>0</v>
      </c>
      <c r="K6" s="338" t="s">
        <v>630</v>
      </c>
      <c r="L6" s="773" t="s">
        <v>631</v>
      </c>
      <c r="M6" s="774">
        <f ca="1">INDIRECT("'数据-取费表'!z"&amp;$G$1)</f>
        <v>0</v>
      </c>
    </row>
    <row r="7" spans="1:33" ht="18" customHeight="1">
      <c r="A7" s="2351"/>
      <c r="B7" s="3574"/>
      <c r="C7" s="777"/>
      <c r="D7" s="778"/>
      <c r="E7" s="773" t="s">
        <v>632</v>
      </c>
      <c r="F7" s="774">
        <f ca="1">IF(INDIRECT("'数据-取费表'!ah"&amp;$G$1)="",INDIRECT("'数据-取费表'!k"&amp;$G$1),INDIRECT("'数据-取费表'!ah"&amp;$G$1))</f>
        <v>19</v>
      </c>
      <c r="G7" s="1943">
        <f ca="1">F43/F7</f>
        <v>45.324210526315788</v>
      </c>
      <c r="H7" s="2340"/>
      <c r="I7" s="3574"/>
      <c r="J7" s="777"/>
      <c r="K7" s="778"/>
      <c r="L7" s="773" t="s">
        <v>632</v>
      </c>
      <c r="M7" s="774">
        <f ca="1">F7</f>
        <v>19</v>
      </c>
    </row>
    <row r="8" spans="1:33" ht="18" customHeight="1">
      <c r="A8" s="2344"/>
      <c r="B8" s="3575"/>
      <c r="C8" s="777"/>
      <c r="D8" s="778"/>
      <c r="E8" s="773" t="s">
        <v>633</v>
      </c>
      <c r="F8" s="774">
        <f ca="1">INDIRECT("'数据-取费表'!ai"&amp;$G$1)</f>
        <v>12</v>
      </c>
      <c r="G8" s="1943"/>
      <c r="H8" s="2340"/>
      <c r="I8" s="3575"/>
      <c r="J8" s="777"/>
      <c r="K8" s="778"/>
      <c r="L8" s="773" t="s">
        <v>633</v>
      </c>
      <c r="M8" s="774">
        <f ca="1">INDIRECT("'数据-取费表'!ai"&amp;$G$1)</f>
        <v>12</v>
      </c>
    </row>
    <row r="9" spans="1:33" ht="18" customHeight="1">
      <c r="A9" s="775"/>
      <c r="B9" s="3576"/>
      <c r="C9" s="777"/>
      <c r="D9" s="778"/>
      <c r="E9" s="773" t="s">
        <v>634</v>
      </c>
      <c r="F9" s="783">
        <f ca="1">INDIRECT("'数据-取费表'!w"&amp;$G$1)</f>
        <v>0.1</v>
      </c>
      <c r="G9" s="1943"/>
      <c r="H9" s="2356"/>
      <c r="I9" s="3575"/>
      <c r="J9" s="777"/>
      <c r="K9" s="778"/>
      <c r="L9" s="784" t="s">
        <v>634</v>
      </c>
      <c r="M9" s="785">
        <f ca="1">INDIRECT("'数据-取费表'!ab"&amp;$G$1)</f>
        <v>0</v>
      </c>
    </row>
    <row r="10" spans="1:33" ht="18" customHeight="1">
      <c r="A10" s="1744" t="s">
        <v>1816</v>
      </c>
      <c r="B10" s="2345" t="s">
        <v>2438</v>
      </c>
      <c r="C10" s="788">
        <f ca="1">ROUND(IF(F10="押一",C6/12*F11,IF(F10="押二",C6/12*2*F11,IF(F10="押三",C6/12*3*F11,C11*F11))),0)</f>
        <v>0</v>
      </c>
      <c r="D10" s="2352" t="s">
        <v>2905</v>
      </c>
      <c r="E10" s="2349" t="s">
        <v>2443</v>
      </c>
      <c r="F10" s="2463" t="s">
        <v>3212</v>
      </c>
      <c r="G10" s="1943"/>
      <c r="H10" s="2412" t="s">
        <v>1816</v>
      </c>
      <c r="I10" s="2417" t="s">
        <v>2438</v>
      </c>
      <c r="J10" s="772">
        <f ca="1">ROUND(IF(M10="押一",J6/12*M11,IF(M10="押二",J6/12*2*M11,IF(M10="押三",J6/12*3*M11,J11*M11))),0)</f>
        <v>0</v>
      </c>
      <c r="K10" s="2352" t="s">
        <v>2905</v>
      </c>
      <c r="L10" s="2349" t="s">
        <v>2443</v>
      </c>
      <c r="M10" s="2463"/>
    </row>
    <row r="11" spans="1:33" ht="18" customHeight="1">
      <c r="A11" s="779"/>
      <c r="B11" s="2346" t="s">
        <v>2552</v>
      </c>
      <c r="C11" s="2350"/>
      <c r="D11" s="778"/>
      <c r="E11" s="2349" t="s">
        <v>2435</v>
      </c>
      <c r="F11" s="785">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3">
        <v>2</v>
      </c>
      <c r="B13" s="1741" t="s">
        <v>638</v>
      </c>
      <c r="C13" s="781">
        <f ca="1">ROUND(C29*F13,0)</f>
        <v>318</v>
      </c>
      <c r="D13" s="1748" t="s">
        <v>2282</v>
      </c>
      <c r="E13" s="1748" t="s">
        <v>637</v>
      </c>
      <c r="F13" s="2387">
        <f ca="1">INDIRECT("'数据-取费表'!y"&amp;$G$1)</f>
        <v>1</v>
      </c>
      <c r="G13" s="1943"/>
      <c r="H13" s="1743">
        <v>2</v>
      </c>
      <c r="I13" s="1741" t="s">
        <v>638</v>
      </c>
      <c r="J13" s="1733">
        <f ca="1">ROUND(J14*J15,0)</f>
        <v>0</v>
      </c>
      <c r="K13" s="1735" t="s">
        <v>636</v>
      </c>
      <c r="L13" s="2403"/>
      <c r="M13" s="2404"/>
    </row>
    <row r="14" spans="1:33" ht="18" customHeight="1">
      <c r="A14" s="1575" t="s">
        <v>1822</v>
      </c>
      <c r="B14" s="773" t="s">
        <v>639</v>
      </c>
      <c r="C14" s="793">
        <f ca="1">INDIRECT("'数据-取费表'!m"&amp;$G$1)+INDIRECT("'数据-取费表'!t"&amp;$G$1)</f>
        <v>237</v>
      </c>
      <c r="D14" s="3159" t="s">
        <v>640</v>
      </c>
      <c r="E14" s="3160"/>
      <c r="F14" s="794"/>
      <c r="G14" s="1943"/>
      <c r="H14" s="1576" t="s">
        <v>1815</v>
      </c>
      <c r="I14" s="2109" t="s">
        <v>2780</v>
      </c>
      <c r="J14" s="53">
        <f ca="1">C29</f>
        <v>318</v>
      </c>
      <c r="K14" s="26"/>
      <c r="L14" s="790"/>
      <c r="M14" s="791"/>
    </row>
    <row r="15" spans="1:33" s="1945" customFormat="1" ht="18" customHeight="1" thickBot="1">
      <c r="A15" s="1575" t="s">
        <v>1823</v>
      </c>
      <c r="B15" s="773" t="s">
        <v>641</v>
      </c>
      <c r="C15" s="53">
        <f ca="1">ROUND(C14*F15,0)</f>
        <v>7</v>
      </c>
      <c r="D15" s="795" t="s">
        <v>642</v>
      </c>
      <c r="E15" s="795" t="s">
        <v>643</v>
      </c>
      <c r="F15" s="796">
        <f>'数据-取费表'!B33</f>
        <v>0.03</v>
      </c>
      <c r="G15" s="3141"/>
      <c r="H15" s="2402" t="s">
        <v>1880</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1824</v>
      </c>
      <c r="B16" s="773" t="s">
        <v>644</v>
      </c>
      <c r="C16" s="53">
        <f ca="1">ROUND(INDIRECT("'数据-取费表'!m"&amp;$G$1)*F16,0)</f>
        <v>0</v>
      </c>
      <c r="D16" s="773" t="s">
        <v>642</v>
      </c>
      <c r="E16" s="773" t="s">
        <v>643</v>
      </c>
      <c r="F16" s="798">
        <f ca="1">IF(INDIRECT("'数据-取费表'!c"&amp;$G$1)="住宅",'数据-取费表'!B34,0)</f>
        <v>0</v>
      </c>
      <c r="G16" s="1943"/>
      <c r="H16" s="1743" t="s">
        <v>1739</v>
      </c>
      <c r="I16" s="1741" t="s">
        <v>645</v>
      </c>
      <c r="J16" s="781">
        <f ca="1">ROUND(J17+J22+J23+J24,0)</f>
        <v>30</v>
      </c>
      <c r="K16" s="1735" t="s">
        <v>646</v>
      </c>
      <c r="L16" s="3161"/>
      <c r="M16" s="2342"/>
    </row>
    <row r="17" spans="1:33" s="1945" customFormat="1" ht="18" customHeight="1">
      <c r="A17" s="1575" t="s">
        <v>1878</v>
      </c>
      <c r="B17" s="773" t="s">
        <v>647</v>
      </c>
      <c r="C17" s="53">
        <f ca="1">ROUND(F17*(F43+INDIRECT("'数据-取费表'!S"&amp;$G$1))/10000,0)</f>
        <v>24</v>
      </c>
      <c r="D17" s="773" t="s">
        <v>648</v>
      </c>
      <c r="E17" s="773" t="s">
        <v>649</v>
      </c>
      <c r="F17" s="56">
        <f>'数据-取费表'!B35</f>
        <v>200</v>
      </c>
      <c r="G17" s="3141"/>
      <c r="H17" s="1576" t="s">
        <v>1815</v>
      </c>
      <c r="I17" s="773" t="s">
        <v>650</v>
      </c>
      <c r="J17" s="2901">
        <f ca="1">ROUND(IF(AND(项目基本情况!B11="自然人",项目基本情况!B10="北京市"),J6*M17/(1+'数据-取费表'!C42),J18+J19+J20),0)</f>
        <v>27</v>
      </c>
      <c r="K17" s="3159" t="s">
        <v>651</v>
      </c>
      <c r="L17" s="3158" t="s">
        <v>652</v>
      </c>
      <c r="M17" s="2900"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v>
      </c>
      <c r="D18" s="773" t="s">
        <v>642</v>
      </c>
      <c r="E18" s="773" t="s">
        <v>643</v>
      </c>
      <c r="F18" s="798">
        <f>'数据-取费表'!B36</f>
        <v>1.4999999999999999E-2</v>
      </c>
      <c r="G18" s="3141"/>
      <c r="H18" s="1575" t="s">
        <v>1822</v>
      </c>
      <c r="I18" s="773" t="s">
        <v>654</v>
      </c>
      <c r="J18" s="53">
        <f ca="1">ROUND(J6*M18/(1+'数据-取费表'!C42),1)</f>
        <v>0</v>
      </c>
      <c r="K18" s="3158" t="s">
        <v>655</v>
      </c>
      <c r="L18" s="773" t="s">
        <v>643</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1815</v>
      </c>
      <c r="B19" s="773" t="s">
        <v>656</v>
      </c>
      <c r="C19" s="53">
        <f ca="1">SUM(C14:C18)</f>
        <v>272</v>
      </c>
      <c r="D19" s="258" t="s">
        <v>657</v>
      </c>
      <c r="E19" s="3163"/>
      <c r="F19" s="56"/>
      <c r="G19" s="1943"/>
      <c r="H19" s="1575" t="s">
        <v>1823</v>
      </c>
      <c r="I19" s="773" t="s">
        <v>658</v>
      </c>
      <c r="J19" s="53">
        <f ca="1">IF(K19="按租金收入计税",ROUND(J6*M19/(1+'数据-取费表'!C42),1),ROUND(C29*F33*0.7,1))</f>
        <v>26.7</v>
      </c>
      <c r="K19" s="799" t="s">
        <v>659</v>
      </c>
      <c r="L19" s="773" t="s">
        <v>643</v>
      </c>
      <c r="M19" s="798">
        <f>IF(K19="按租金收入计税",'数据-取费表'!B51,'数据-取费表'!B50)</f>
        <v>1.2E-2</v>
      </c>
    </row>
    <row r="20" spans="1:33" s="1945" customFormat="1" ht="18" customHeight="1">
      <c r="A20" s="1576" t="s">
        <v>1880</v>
      </c>
      <c r="B20" s="773" t="s">
        <v>660</v>
      </c>
      <c r="C20" s="53">
        <f ca="1">ROUND(C19*F20,0)</f>
        <v>4</v>
      </c>
      <c r="D20" s="800" t="s">
        <v>661</v>
      </c>
      <c r="E20" s="773" t="s">
        <v>643</v>
      </c>
      <c r="F20" s="798">
        <f>'数据-取费表'!B37</f>
        <v>1.4999999999999999E-2</v>
      </c>
      <c r="G20" s="3141"/>
      <c r="H20" s="1578" t="s">
        <v>1824</v>
      </c>
      <c r="I20" s="338" t="s">
        <v>662</v>
      </c>
      <c r="J20" s="54">
        <f ca="1">ROUND(M20*M21/10000,0)</f>
        <v>0</v>
      </c>
      <c r="K20" s="802" t="s">
        <v>663</v>
      </c>
      <c r="L20" s="773" t="s">
        <v>664</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665</v>
      </c>
      <c r="C21" s="53" t="s">
        <v>1755</v>
      </c>
      <c r="D21" s="800" t="s">
        <v>2283</v>
      </c>
      <c r="E21" s="773" t="s">
        <v>667</v>
      </c>
      <c r="F21" s="798">
        <f>'数据-取费表'!B38</f>
        <v>1.4999999999999999E-2</v>
      </c>
      <c r="G21" s="3141"/>
      <c r="H21" s="2357"/>
      <c r="I21" s="782"/>
      <c r="J21" s="69"/>
      <c r="K21" s="804"/>
      <c r="L21" s="773" t="s">
        <v>668</v>
      </c>
      <c r="M21" s="774">
        <f ca="1">INDIRECT("'数据-取费表'!r"&amp;$G$1)</f>
        <v>797.43000000000006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669</v>
      </c>
      <c r="C22" s="53"/>
      <c r="D22" s="2422" t="str">
        <f>IF(F23&lt;=1,"单利计息。","复利计息。")&amp;"建造成本、管理费用、销售费用产生的利息。"</f>
        <v>单利计息。建造成本、管理费用、销售费用产生的利息。</v>
      </c>
      <c r="E22" s="3163"/>
      <c r="F22" s="56"/>
      <c r="G22" s="1943"/>
      <c r="H22" s="1576" t="s">
        <v>1880</v>
      </c>
      <c r="I22" s="773" t="s">
        <v>670</v>
      </c>
      <c r="J22" s="53">
        <f ca="1">ROUND(J14*M22,0)</f>
        <v>3</v>
      </c>
      <c r="K22" s="3158" t="s">
        <v>671</v>
      </c>
      <c r="L22" s="773" t="s">
        <v>643</v>
      </c>
      <c r="M22" s="805">
        <f ca="1">INDIRECT("'数据-取费表'!Ak"&amp;$G$1)</f>
        <v>0.01</v>
      </c>
    </row>
    <row r="23" spans="1:33" s="1945" customFormat="1" ht="18" customHeight="1">
      <c r="A23" s="1575" t="s">
        <v>1822</v>
      </c>
      <c r="B23" s="773" t="s">
        <v>2418</v>
      </c>
      <c r="C23" s="53">
        <f ca="1">ROUND(IF('数据-取费表'!B22&lt;=1,(C19+C20)*F24*F23/2,(C19+C20)*(POWER((1+F24),F23/2)-1)),0)</f>
        <v>6</v>
      </c>
      <c r="D23" s="2421" t="str">
        <f>IF(F23&lt;=1,"(建造成本+管理费用)×利率×(建设周期÷2)","(建造成本+管理费用)×((1+利率)^(建设周期÷2)-1)")</f>
        <v>(建造成本+管理费用)×利率×(建设周期÷2)</v>
      </c>
      <c r="E23" s="773" t="s">
        <v>672</v>
      </c>
      <c r="F23" s="631">
        <f>'数据-取费表'!B20</f>
        <v>1</v>
      </c>
      <c r="G23" s="3141"/>
      <c r="H23" s="1576" t="s">
        <v>1881</v>
      </c>
      <c r="I23" s="773" t="s">
        <v>673</v>
      </c>
      <c r="J23" s="53">
        <f ca="1">ROUND(J13*M23,0)</f>
        <v>0</v>
      </c>
      <c r="K23" s="3158" t="s">
        <v>674</v>
      </c>
      <c r="L23" s="773" t="s">
        <v>643</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675</v>
      </c>
      <c r="C24" s="53">
        <f ca="1">ROUND(IF('数据-取费表'!B22&lt;=1,F21*F24*F23/2,F21*(POWER((1+F24),F23/2)-1)),4)</f>
        <v>2.9999999999999997E-4</v>
      </c>
      <c r="D24" s="2421" t="str">
        <f>IF(F23&lt;=1,"销售费用×利率×(建设周期÷2)","销售费用×((1+利率)^(建设周期÷2)-1)")</f>
        <v>销售费用×利率×(建设周期÷2)</v>
      </c>
      <c r="E24" s="773" t="s">
        <v>676</v>
      </c>
      <c r="F24" s="807">
        <f ca="1">'数据-取费表'!B40</f>
        <v>4.3499999999999997E-2</v>
      </c>
      <c r="G24" s="3141"/>
      <c r="H24" s="2402" t="s">
        <v>1882</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679</v>
      </c>
      <c r="E25" s="3163"/>
      <c r="F25" s="56"/>
      <c r="G25" s="1943"/>
      <c r="H25" s="1743" t="s">
        <v>1767</v>
      </c>
      <c r="I25" s="2721" t="s">
        <v>2777</v>
      </c>
      <c r="J25" s="781">
        <f ca="1">J5-J16</f>
        <v>-30</v>
      </c>
      <c r="K25" s="2399" t="s">
        <v>694</v>
      </c>
      <c r="L25" s="2400"/>
      <c r="M25" s="2401"/>
    </row>
    <row r="26" spans="1:33" ht="18" customHeight="1">
      <c r="A26" s="1575" t="s">
        <v>1822</v>
      </c>
      <c r="B26" s="773" t="s">
        <v>2419</v>
      </c>
      <c r="C26" s="53">
        <f ca="1">ROUND((C19+C20)*F26,0)</f>
        <v>14</v>
      </c>
      <c r="D26" s="800" t="s">
        <v>695</v>
      </c>
      <c r="E26" s="784" t="s">
        <v>696</v>
      </c>
      <c r="F26" s="783">
        <f ca="1">INDIRECT("'数据-取费表'!q"&amp;$G$1)</f>
        <v>0.05</v>
      </c>
      <c r="G26" s="1943"/>
      <c r="H26" s="2353" t="s">
        <v>1771</v>
      </c>
      <c r="I26" s="2110" t="s">
        <v>2782</v>
      </c>
      <c r="J26" s="772">
        <f ca="1">IF(J5&lt;&gt;0,ROUND(J25*(1-((1+M28)/(1+M26))^M27)/(M26-M28),0),0)</f>
        <v>0</v>
      </c>
      <c r="K26" s="802" t="s">
        <v>698</v>
      </c>
      <c r="L26" s="773" t="s">
        <v>2401</v>
      </c>
      <c r="M26" s="783">
        <f ca="1">INDIRECT("'数据-取费表'!I"&amp;$G$1)</f>
        <v>0.05</v>
      </c>
    </row>
    <row r="27" spans="1:33" ht="18" customHeight="1">
      <c r="A27" s="1575" t="s">
        <v>1823</v>
      </c>
      <c r="B27" s="773" t="s">
        <v>680</v>
      </c>
      <c r="C27" s="53">
        <f ca="1">ROUND(F21*F26,4)</f>
        <v>8.0000000000000004E-4</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1832</v>
      </c>
      <c r="B28" s="773" t="s">
        <v>681</v>
      </c>
      <c r="C28" s="53">
        <f>ROUND(F28/(1+'数据-取费表'!C42),4)</f>
        <v>5.2400000000000002E-2</v>
      </c>
      <c r="D28" s="800" t="s">
        <v>2284</v>
      </c>
      <c r="E28" s="773" t="s">
        <v>643</v>
      </c>
      <c r="F28" s="798">
        <f>'数据-取费表'!B41</f>
        <v>5.5000000000000007E-2</v>
      </c>
      <c r="G28" s="3141"/>
      <c r="H28" s="1743"/>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318</v>
      </c>
      <c r="D29" s="2396"/>
      <c r="E29" s="2397"/>
      <c r="F29" s="2398"/>
      <c r="G29" s="3141"/>
      <c r="H29" s="811" t="s">
        <v>1778</v>
      </c>
      <c r="I29" s="812" t="s">
        <v>1779</v>
      </c>
      <c r="J29" s="813">
        <f ca="1">ROUND(J26/(1+F40)^F41,0)</f>
        <v>0</v>
      </c>
      <c r="K29" s="814" t="s">
        <v>682</v>
      </c>
      <c r="L29" s="815"/>
      <c r="M29" s="816">
        <f ca="1">INDIRECT("'数据-取费表'!k"&amp;$G$1)</f>
        <v>861.16</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1739</v>
      </c>
      <c r="B30" s="1741" t="s">
        <v>645</v>
      </c>
      <c r="C30" s="781">
        <f ca="1">ROUND(C31+C36+C37+C38,0)</f>
        <v>6</v>
      </c>
      <c r="D30" s="1735" t="s">
        <v>646</v>
      </c>
      <c r="E30" s="3161"/>
      <c r="F30" s="2342"/>
      <c r="G30" s="1943"/>
      <c r="H30" s="1946"/>
      <c r="I30" s="1947"/>
      <c r="J30" s="1948"/>
      <c r="K30" s="1949"/>
      <c r="L30" s="1950"/>
      <c r="M30" s="1951"/>
    </row>
    <row r="31" spans="1:33" ht="18" customHeight="1">
      <c r="A31" s="1576" t="s">
        <v>1815</v>
      </c>
      <c r="B31" s="773" t="s">
        <v>650</v>
      </c>
      <c r="C31" s="2901">
        <f ca="1">ROUND(IF(AND(项目基本情况!B11="自然人",项目基本情况!B10="北京市"),C6*F31/(1+'数据-取费表'!C42),C32+C33+C34),0)</f>
        <v>2</v>
      </c>
      <c r="D31" s="3159" t="s">
        <v>651</v>
      </c>
      <c r="E31" s="3158" t="s">
        <v>684</v>
      </c>
      <c r="F31" s="2900" t="str">
        <f>IF(项目基本情况!B11="企业","——",IF('数据-取费表'!B10="住宅",IF(F6*F7*F8/12/(1+'数据-取费表'!F30)&gt;100000,4%,2.5%),IF(F6*F7*F8/12/(1+'数据-取费表'!F30)&gt;100000,12%,7%)))</f>
        <v>——</v>
      </c>
      <c r="G31" s="1943"/>
      <c r="H31" s="3138" t="s">
        <v>2963</v>
      </c>
      <c r="I31" s="1947"/>
      <c r="J31" s="1948"/>
      <c r="K31" s="1949"/>
      <c r="L31" s="1950"/>
      <c r="M31" s="1951"/>
    </row>
    <row r="32" spans="1:33" ht="18" customHeight="1">
      <c r="A32" s="1575" t="s">
        <v>1822</v>
      </c>
      <c r="B32" s="773" t="s">
        <v>654</v>
      </c>
      <c r="C32" s="53">
        <f ca="1">ROUND(C6*F32/(1+'数据-取费表'!C42),1)</f>
        <v>0.5</v>
      </c>
      <c r="D32" s="3158" t="s">
        <v>655</v>
      </c>
      <c r="E32" s="773" t="s">
        <v>643</v>
      </c>
      <c r="F32" s="798">
        <f>'数据-取费表'!B41</f>
        <v>5.5000000000000007E-2</v>
      </c>
      <c r="G32" s="1943"/>
      <c r="H32" s="1952"/>
      <c r="I32" s="1953"/>
      <c r="J32" s="1954"/>
      <c r="K32" s="1955"/>
      <c r="L32" s="1956"/>
      <c r="M32" s="1957"/>
    </row>
    <row r="33" spans="1:18" ht="18" customHeight="1">
      <c r="A33" s="1575" t="s">
        <v>1823</v>
      </c>
      <c r="B33" s="773" t="s">
        <v>658</v>
      </c>
      <c r="C33" s="53">
        <f ca="1">IF(D33="按租金收入计税",ROUND(C6*F33/(1+'数据-取费表'!C42),1),IF(D33="按房产原值计税",ROUND(C29*F33*0.7,1),INDIRECT("'数据-取费表'!Aj"&amp;$G$1)))</f>
        <v>1.1000000000000001</v>
      </c>
      <c r="D33" s="799" t="s">
        <v>3137</v>
      </c>
      <c r="E33" s="773" t="s">
        <v>643</v>
      </c>
      <c r="F33" s="798">
        <f>IF(D33="按租金收入计税",'数据-取费表'!B51,'数据-取费表'!B50)</f>
        <v>0.12</v>
      </c>
      <c r="G33" s="1943"/>
      <c r="H33" s="1958"/>
      <c r="I33" s="1958"/>
      <c r="J33" s="1958"/>
      <c r="K33" s="1959"/>
      <c r="L33" s="1958"/>
      <c r="M33" s="1958"/>
    </row>
    <row r="34" spans="1:18" ht="18" customHeight="1">
      <c r="A34" s="1578" t="s">
        <v>1824</v>
      </c>
      <c r="B34" s="338" t="s">
        <v>662</v>
      </c>
      <c r="C34" s="54">
        <f ca="1">ROUND(F34*F35/10000,1)</f>
        <v>0.1</v>
      </c>
      <c r="D34" s="802" t="s">
        <v>663</v>
      </c>
      <c r="E34" s="773" t="s">
        <v>664</v>
      </c>
      <c r="F34" s="631">
        <f>'数据-取费表'!B52</f>
        <v>1.5</v>
      </c>
      <c r="G34" s="1943"/>
      <c r="H34" s="1946"/>
      <c r="I34" s="823" t="s">
        <v>1804</v>
      </c>
      <c r="J34" s="824"/>
      <c r="K34" s="1961"/>
      <c r="L34" s="1960"/>
      <c r="M34" s="1960"/>
    </row>
    <row r="35" spans="1:18" ht="18" customHeight="1">
      <c r="A35" s="803"/>
      <c r="B35" s="782"/>
      <c r="C35" s="69"/>
      <c r="D35" s="804"/>
      <c r="E35" s="773" t="s">
        <v>668</v>
      </c>
      <c r="F35" s="774">
        <f ca="1">INDIRECT("'数据-取费表'!r"&amp;$G$1)</f>
        <v>797.43000000000006</v>
      </c>
      <c r="G35" s="1943"/>
      <c r="H35" s="1946"/>
      <c r="I35" s="825" t="s">
        <v>1805</v>
      </c>
      <c r="J35" s="826">
        <f ca="1">ROUND(C13*J36,0)</f>
        <v>0</v>
      </c>
      <c r="K35" s="1959"/>
      <c r="L35" s="1958"/>
      <c r="M35" s="1958"/>
    </row>
    <row r="36" spans="1:18" ht="18" customHeight="1">
      <c r="A36" s="1576" t="s">
        <v>1880</v>
      </c>
      <c r="B36" s="773" t="s">
        <v>670</v>
      </c>
      <c r="C36" s="53">
        <f ca="1">ROUND(C29*F36,1)</f>
        <v>3.2</v>
      </c>
      <c r="D36" s="3158" t="s">
        <v>685</v>
      </c>
      <c r="E36" s="773" t="s">
        <v>643</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0.5</v>
      </c>
      <c r="D37" s="3158" t="s">
        <v>674</v>
      </c>
      <c r="E37" s="773" t="s">
        <v>643</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0.1</v>
      </c>
      <c r="D38" s="2396" t="s">
        <v>677</v>
      </c>
      <c r="E38" s="2397" t="s">
        <v>643</v>
      </c>
      <c r="F38" s="2393">
        <f ca="1">INDIRECT("'数据-取费表'!Am"&amp;$G$1)</f>
        <v>0.01</v>
      </c>
      <c r="G38" s="1943"/>
      <c r="H38" s="1958"/>
      <c r="I38" s="831" t="s">
        <v>1808</v>
      </c>
      <c r="J38" s="832"/>
      <c r="K38" s="1963"/>
      <c r="L38" s="1958"/>
      <c r="M38" s="1958"/>
    </row>
    <row r="39" spans="1:18" ht="24.6" customHeight="1" thickTop="1">
      <c r="A39" s="1743" t="s">
        <v>1767</v>
      </c>
      <c r="B39" s="2721" t="s">
        <v>2777</v>
      </c>
      <c r="C39" s="781">
        <f ca="1">C5-C30</f>
        <v>4</v>
      </c>
      <c r="D39" s="2399" t="s">
        <v>694</v>
      </c>
      <c r="E39" s="2400"/>
      <c r="F39" s="2401"/>
      <c r="G39" s="1943"/>
      <c r="H39" s="1958"/>
      <c r="I39" s="825" t="s">
        <v>1809</v>
      </c>
      <c r="J39" s="833">
        <f ca="1">ROUND(J35/C39,3)</f>
        <v>0</v>
      </c>
      <c r="K39" s="1963"/>
      <c r="L39" s="1958"/>
      <c r="M39" s="1958"/>
    </row>
    <row r="40" spans="1:18" ht="18" customHeight="1">
      <c r="A40" s="770" t="s">
        <v>1771</v>
      </c>
      <c r="B40" s="2110" t="s">
        <v>2286</v>
      </c>
      <c r="C40" s="772">
        <f ca="1">ROUND(C39*(1-((1+F42)/(1+F40))^F41)/(F40-F42),0)</f>
        <v>72</v>
      </c>
      <c r="D40" s="802" t="s">
        <v>698</v>
      </c>
      <c r="E40" s="773" t="s">
        <v>2401</v>
      </c>
      <c r="F40" s="783">
        <f ca="1">INDIRECT("'数据-取费表'!I"&amp;$G$1)</f>
        <v>0.05</v>
      </c>
      <c r="G40" s="1943"/>
      <c r="H40" s="1943"/>
      <c r="I40" s="825" t="s">
        <v>1810</v>
      </c>
      <c r="J40" s="833">
        <f ca="1">1-J39</f>
        <v>1</v>
      </c>
      <c r="K40" s="1963"/>
      <c r="L40" s="1943"/>
      <c r="M40" s="1943"/>
    </row>
    <row r="41" spans="1:18" ht="18" customHeight="1">
      <c r="A41" s="775"/>
      <c r="B41" s="776"/>
      <c r="C41" s="777"/>
      <c r="D41" s="809" t="s">
        <v>1799</v>
      </c>
      <c r="E41" s="773" t="s">
        <v>702</v>
      </c>
      <c r="F41" s="810">
        <f ca="1">IF(INDIRECT("'数据-取费表'!af"&amp;$G$1)=0,INDIRECT("'数据-取费表'!ae"&amp;$G$1),INDIRECT("'数据-取费表'!af"&amp;$G$1))</f>
        <v>47.13</v>
      </c>
      <c r="G41" s="1943"/>
      <c r="H41" s="1898"/>
      <c r="I41" s="831" t="s">
        <v>1811</v>
      </c>
      <c r="J41" s="834"/>
      <c r="K41" s="1962"/>
      <c r="L41" s="1898"/>
      <c r="M41" s="1898"/>
    </row>
    <row r="42" spans="1:18" ht="18" customHeight="1">
      <c r="A42" s="779"/>
      <c r="B42" s="780"/>
      <c r="C42" s="781"/>
      <c r="D42" s="804"/>
      <c r="E42" s="773" t="s">
        <v>704</v>
      </c>
      <c r="F42" s="783">
        <f ca="1">INDIRECT("'数据-取费表'!v"&amp;$G$1)</f>
        <v>0</v>
      </c>
      <c r="G42" s="1943"/>
      <c r="H42" s="1898"/>
      <c r="I42" s="835" t="s">
        <v>1812</v>
      </c>
      <c r="J42" s="833">
        <f ca="1">ROUND(C13/C40,3)</f>
        <v>4.4169999999999998</v>
      </c>
      <c r="K42" s="1962"/>
      <c r="L42" s="1898"/>
      <c r="M42" s="1898"/>
    </row>
    <row r="43" spans="1:18" ht="18" customHeight="1" thickBot="1">
      <c r="A43" s="811" t="s">
        <v>1778</v>
      </c>
      <c r="B43" s="812" t="s">
        <v>1801</v>
      </c>
      <c r="C43" s="813">
        <f ca="1">ROUND(C40*10000/F43,0)</f>
        <v>836</v>
      </c>
      <c r="D43" s="814" t="s">
        <v>1802</v>
      </c>
      <c r="E43" s="815" t="s">
        <v>1803</v>
      </c>
      <c r="F43" s="816">
        <f ca="1">INDIRECT("'数据-取费表'!k"&amp;$G$1)</f>
        <v>861.16</v>
      </c>
      <c r="G43" s="1943"/>
      <c r="H43" s="1898"/>
      <c r="I43" s="835" t="s">
        <v>1813</v>
      </c>
      <c r="J43" s="836">
        <f ca="1">1-J42</f>
        <v>-3.4169999999999998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-144</v>
      </c>
      <c r="D46" s="3142"/>
      <c r="E46" s="3142"/>
      <c r="F46" s="3142"/>
      <c r="I46" s="2231" t="s">
        <v>2325</v>
      </c>
      <c r="J46" s="2232"/>
      <c r="K46" s="2233"/>
      <c r="L46" s="2808">
        <f>IF(OR(M47="住宅",D1="土地（套用方法）"),0,IF(L48&gt;J51,L60,J60))</f>
        <v>0</v>
      </c>
      <c r="M46" s="3143"/>
      <c r="O46" s="2247" t="s">
        <v>2392</v>
      </c>
      <c r="P46" s="1525"/>
      <c r="Q46" s="1533"/>
      <c r="R46" s="1525"/>
    </row>
    <row r="47" spans="1:18" s="1940" customFormat="1" ht="18" customHeight="1" thickBot="1">
      <c r="A47" s="2225">
        <v>1</v>
      </c>
      <c r="B47" s="2226" t="s">
        <v>629</v>
      </c>
      <c r="C47" s="2424">
        <f ca="1">C48+C52+C54</f>
        <v>0</v>
      </c>
      <c r="D47" s="3142"/>
      <c r="E47" s="3142"/>
      <c r="F47" s="3142"/>
      <c r="I47" s="2799" t="s">
        <v>2326</v>
      </c>
      <c r="J47" s="2234" t="s">
        <v>3138</v>
      </c>
      <c r="K47" s="2805" t="s">
        <v>2331</v>
      </c>
      <c r="L47" s="2809">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1861</v>
      </c>
      <c r="B48" s="2483" t="s">
        <v>2517</v>
      </c>
      <c r="C48" s="2227">
        <f ca="1">ROUND(F48*F50*F49*(1-F51)/10000,0)</f>
        <v>0</v>
      </c>
      <c r="D48" s="2228" t="s">
        <v>630</v>
      </c>
      <c r="E48" s="2229" t="s">
        <v>2281</v>
      </c>
      <c r="F48" s="2230"/>
      <c r="G48" s="1970"/>
      <c r="I48" s="2796" t="s">
        <v>2327</v>
      </c>
      <c r="J48" s="2235" t="s">
        <v>2332</v>
      </c>
      <c r="K48" s="2806" t="s">
        <v>2333</v>
      </c>
      <c r="L48" s="1820">
        <f ca="1">INDIRECT("'数据-取费表'!f"&amp;$G$1)</f>
        <v>48.13</v>
      </c>
      <c r="M48" s="3143"/>
      <c r="O48" s="2251" t="s">
        <v>2361</v>
      </c>
      <c r="P48" s="2252" t="s">
        <v>2387</v>
      </c>
      <c r="Q48" s="2253">
        <f ca="1">C40+J29</f>
        <v>72</v>
      </c>
      <c r="R48" s="2252" t="s">
        <v>2362</v>
      </c>
    </row>
    <row r="49" spans="1:18" s="1940" customFormat="1" ht="18" customHeight="1" thickBot="1">
      <c r="A49" s="775"/>
      <c r="B49" s="776"/>
      <c r="C49" s="777"/>
      <c r="D49" s="778"/>
      <c r="E49" s="773" t="s">
        <v>632</v>
      </c>
      <c r="F49" s="774">
        <f ca="1">F7</f>
        <v>19</v>
      </c>
      <c r="G49" s="1970"/>
      <c r="H49" s="1973"/>
      <c r="I49" s="2796" t="s">
        <v>2328</v>
      </c>
      <c r="J49" s="2236">
        <v>2021</v>
      </c>
      <c r="K49" s="2807" t="s">
        <v>2334</v>
      </c>
      <c r="L49" s="2237"/>
      <c r="M49" s="3143"/>
      <c r="O49" s="2251" t="s">
        <v>2363</v>
      </c>
      <c r="P49" s="2252" t="s">
        <v>2388</v>
      </c>
      <c r="Q49" s="2253" t="str">
        <f ca="1">J60</f>
        <v>0</v>
      </c>
      <c r="R49" s="2252" t="s">
        <v>2364</v>
      </c>
    </row>
    <row r="50" spans="1:18" s="1940" customFormat="1" ht="18" customHeight="1" thickBot="1">
      <c r="A50" s="775"/>
      <c r="B50" s="776"/>
      <c r="C50" s="777"/>
      <c r="D50" s="778"/>
      <c r="E50" s="773" t="s">
        <v>633</v>
      </c>
      <c r="F50" s="774">
        <f ca="1">F8</f>
        <v>12</v>
      </c>
      <c r="G50" s="1975"/>
      <c r="H50" s="1973"/>
      <c r="I50" s="2796" t="s">
        <v>2329</v>
      </c>
      <c r="J50" s="2803">
        <f>SUMPRODUCT((I63:I65=J47)*(J62:L62=J48)*(J63:L65))</f>
        <v>60</v>
      </c>
      <c r="K50" s="2807" t="s">
        <v>2335</v>
      </c>
      <c r="L50" s="2237"/>
      <c r="M50" s="3143"/>
      <c r="O50" s="2254" t="s">
        <v>2365</v>
      </c>
      <c r="P50" s="2252" t="s">
        <v>2389</v>
      </c>
      <c r="Q50" s="2253">
        <f ca="1">C29</f>
        <v>318</v>
      </c>
      <c r="R50" s="2252" t="s">
        <v>2362</v>
      </c>
    </row>
    <row r="51" spans="1:18" s="1940" customFormat="1" ht="18" customHeight="1" thickBot="1">
      <c r="A51" s="775"/>
      <c r="B51" s="776"/>
      <c r="C51" s="777"/>
      <c r="D51" s="778"/>
      <c r="E51" s="773" t="s">
        <v>634</v>
      </c>
      <c r="F51" s="2224"/>
      <c r="H51" s="1973"/>
      <c r="I51" s="2800" t="s">
        <v>2330</v>
      </c>
      <c r="J51" s="2804">
        <f>IF(J49="",J50,J49+J50-YEAR('数据-取费表'!B2))</f>
        <v>60</v>
      </c>
      <c r="K51" s="2796" t="s">
        <v>2336</v>
      </c>
      <c r="L51" s="2810">
        <f ca="1">ROUND(-PV(INDIRECT("'数据-取费表'!h"&amp;$G$1),J51,(C39-C13*J36),0),0)</f>
        <v>83</v>
      </c>
      <c r="M51" s="3143"/>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2905</v>
      </c>
      <c r="E52" s="2349" t="s">
        <v>2443</v>
      </c>
      <c r="F52" s="2463"/>
      <c r="I52" s="2801" t="s">
        <v>2403</v>
      </c>
      <c r="J52" s="2238"/>
      <c r="K52" s="2801" t="s">
        <v>2402</v>
      </c>
      <c r="L52" s="2238"/>
      <c r="M52" s="3143"/>
      <c r="O52" s="2254" t="s">
        <v>2368</v>
      </c>
      <c r="P52" s="2252" t="s">
        <v>2369</v>
      </c>
      <c r="Q52" s="2255">
        <f>J52</f>
        <v>0</v>
      </c>
      <c r="R52" s="2256"/>
    </row>
    <row r="53" spans="1:18" s="1940" customFormat="1" ht="39.75" customHeight="1" thickBot="1">
      <c r="A53" s="775"/>
      <c r="B53" s="2346" t="s">
        <v>2552</v>
      </c>
      <c r="C53" s="2350"/>
      <c r="D53" s="2352"/>
      <c r="E53" s="2349"/>
      <c r="F53" s="789"/>
      <c r="I53" s="2802" t="s">
        <v>2909</v>
      </c>
      <c r="J53" s="2855">
        <f ca="1">IF(M47="住宅",IF(D1="——",MAX(J51,L48),MAX(J51,L48-'数据-取费表'!B20)),IF(D1="——",MIN(J51,L48),MIN(J51,L48-'数据-取费表'!B20)))</f>
        <v>47.13</v>
      </c>
      <c r="K53" s="3579" t="s">
        <v>2898</v>
      </c>
      <c r="L53" s="3580"/>
      <c r="M53" s="3143"/>
      <c r="O53" s="2254" t="s">
        <v>2370</v>
      </c>
      <c r="P53" s="2252" t="s">
        <v>2371</v>
      </c>
      <c r="Q53" s="2253">
        <f ca="1">J53</f>
        <v>47.13</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143"/>
      <c r="O54" s="2251" t="s">
        <v>2373</v>
      </c>
      <c r="P54" s="2252" t="s">
        <v>2390</v>
      </c>
      <c r="Q54" s="2253">
        <f ca="1">Q48+Q49</f>
        <v>72</v>
      </c>
      <c r="R54" s="2256" t="s">
        <v>2374</v>
      </c>
    </row>
    <row r="55" spans="1:18" s="1940" customFormat="1" ht="18" customHeight="1" thickTop="1" thickBot="1">
      <c r="A55" s="786">
        <v>2</v>
      </c>
      <c r="B55" s="787" t="s">
        <v>638</v>
      </c>
      <c r="C55" s="788">
        <f ca="1">C13</f>
        <v>318</v>
      </c>
      <c r="D55" s="784"/>
      <c r="E55" s="784"/>
      <c r="F55" s="789"/>
      <c r="I55" s="2813" t="s">
        <v>2337</v>
      </c>
      <c r="J55" s="2785" t="e">
        <f ca="1">ROUND(IF(J47="钢混",J57/J50,1-(1-2%)*(J50-J57)/J50),3)</f>
        <v>#VALUE!</v>
      </c>
      <c r="K55" s="2814" t="s">
        <v>2338</v>
      </c>
      <c r="L55" s="2239"/>
      <c r="M55" s="3143"/>
      <c r="O55" s="2257" t="s">
        <v>2393</v>
      </c>
      <c r="P55" s="1525"/>
      <c r="Q55" s="1533"/>
      <c r="R55" s="1525"/>
    </row>
    <row r="56" spans="1:18" s="1940" customFormat="1" ht="42.75" customHeight="1" thickBot="1">
      <c r="A56" s="1577"/>
      <c r="B56" s="2109" t="s">
        <v>2285</v>
      </c>
      <c r="C56" s="53">
        <f ca="1">C29</f>
        <v>318</v>
      </c>
      <c r="D56" s="3158"/>
      <c r="E56" s="773"/>
      <c r="F56" s="798"/>
      <c r="I56" s="2815" t="s">
        <v>2339</v>
      </c>
      <c r="J56" s="2825" t="s">
        <v>1669</v>
      </c>
      <c r="K56" s="2796" t="s">
        <v>2344</v>
      </c>
      <c r="L56" s="1820" t="str">
        <f ca="1">IF(L48&lt;J51,"——",L48-J51)</f>
        <v>——</v>
      </c>
      <c r="M56" s="3143"/>
      <c r="O56" s="2248" t="s">
        <v>2357</v>
      </c>
      <c r="P56" s="2249" t="s">
        <v>2358</v>
      </c>
      <c r="Q56" s="2250" t="s">
        <v>2359</v>
      </c>
      <c r="R56" s="2249" t="s">
        <v>2360</v>
      </c>
    </row>
    <row r="57" spans="1:18" s="1940" customFormat="1" ht="28.5" customHeight="1" thickBot="1">
      <c r="A57" s="786" t="s">
        <v>1739</v>
      </c>
      <c r="B57" s="787" t="s">
        <v>645</v>
      </c>
      <c r="C57" s="788">
        <f ca="1">ROUND(C58+C63+C64+C65,0)</f>
        <v>4</v>
      </c>
      <c r="D57" s="26" t="s">
        <v>646</v>
      </c>
      <c r="E57" s="3163"/>
      <c r="F57" s="56"/>
      <c r="I57" s="2816" t="s">
        <v>2340</v>
      </c>
      <c r="J57" s="2817" t="str">
        <f ca="1">IF(OR(M47="住宅",J51&lt;L48,J56="是"),"——",J51-L48)</f>
        <v>——</v>
      </c>
      <c r="K57" s="2796" t="s">
        <v>2345</v>
      </c>
      <c r="L57" s="1820" t="str">
        <f ca="1">IF(L48&lt;J51,"——",IF(L55="比较法",L49,IF(L55="基准地价",L50,L51)))</f>
        <v>——</v>
      </c>
      <c r="M57" s="3143"/>
      <c r="O57" s="2251" t="s">
        <v>2361</v>
      </c>
      <c r="P57" s="2252" t="s">
        <v>2387</v>
      </c>
      <c r="Q57" s="2253">
        <f ca="1">C40+J29</f>
        <v>72</v>
      </c>
      <c r="R57" s="2252" t="s">
        <v>2362</v>
      </c>
    </row>
    <row r="58" spans="1:18" s="1940" customFormat="1" ht="28.5" customHeight="1" thickBot="1">
      <c r="A58" s="1576" t="s">
        <v>1815</v>
      </c>
      <c r="B58" s="773" t="s">
        <v>650</v>
      </c>
      <c r="C58" s="2901">
        <f ca="1">ROUND(IF(AND(项目基本情况!B11="自然人",项目基本情况!B10="北京市"),C48*F58/(1+'数据-取费表'!C42),C59+C60+C61),0)</f>
        <v>0</v>
      </c>
      <c r="D58" s="3159" t="s">
        <v>651</v>
      </c>
      <c r="E58" s="3158" t="s">
        <v>684</v>
      </c>
      <c r="F58" s="2900"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143"/>
      <c r="O58" s="2251" t="s">
        <v>2363</v>
      </c>
      <c r="P58" s="2252" t="s">
        <v>2394</v>
      </c>
      <c r="Q58" s="2253">
        <f ca="1">L60</f>
        <v>0</v>
      </c>
      <c r="R58" s="2256" t="s">
        <v>2396</v>
      </c>
    </row>
    <row r="59" spans="1:18" s="1940" customFormat="1" ht="28.5" customHeight="1" thickBot="1">
      <c r="A59" s="1575" t="s">
        <v>1822</v>
      </c>
      <c r="B59" s="773" t="s">
        <v>654</v>
      </c>
      <c r="C59" s="53">
        <f ca="1">ROUND(C47*F59/1.05,1)</f>
        <v>0</v>
      </c>
      <c r="D59" s="3158" t="s">
        <v>655</v>
      </c>
      <c r="E59" s="773" t="s">
        <v>643</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143"/>
      <c r="O59" s="2254" t="s">
        <v>2365</v>
      </c>
      <c r="P59" s="2252" t="s">
        <v>2395</v>
      </c>
      <c r="Q59" s="2253">
        <f>IF(L55="比较法",L49,IF(L55="基准地价",L50,0))</f>
        <v>0</v>
      </c>
      <c r="R59" s="2252" t="s">
        <v>2362</v>
      </c>
    </row>
    <row r="60" spans="1:18" s="1940" customFormat="1" ht="18" customHeight="1" thickBot="1">
      <c r="A60" s="1575" t="s">
        <v>1823</v>
      </c>
      <c r="B60" s="773" t="s">
        <v>658</v>
      </c>
      <c r="C60" s="53">
        <f ca="1">IF(D60="按租金收入计税",ROUND(C47*F60,1),IF(D60="按房产原值计税",ROUND(C56*F60*0.7,1),INDIRECT("'数据-取费表'!Aj"&amp;$G$1)))</f>
        <v>0</v>
      </c>
      <c r="D60" s="3158" t="str">
        <f>D33</f>
        <v>按租金收入计税</v>
      </c>
      <c r="E60" s="773" t="s">
        <v>643</v>
      </c>
      <c r="F60" s="798">
        <f t="shared" si="0"/>
        <v>0.12</v>
      </c>
      <c r="I60" s="2818" t="s">
        <v>2343</v>
      </c>
      <c r="J60" s="2819" t="str">
        <f ca="1">IF(OR(M47="住宅",J51&lt;L48,J56="是"),"0",ROUND(J59/(1+J52)^J53,0))</f>
        <v>0</v>
      </c>
      <c r="K60" s="2820" t="s">
        <v>2348</v>
      </c>
      <c r="L60" s="2819">
        <f ca="1">IF(OR(M47="住宅",L48&lt;J51),0,ROUND(L57*(L58/L59-1),0))</f>
        <v>0</v>
      </c>
      <c r="M60" s="3143"/>
      <c r="O60" s="2254" t="s">
        <v>2366</v>
      </c>
      <c r="P60" s="2252" t="s">
        <v>2375</v>
      </c>
      <c r="Q60" s="2255">
        <f>L52</f>
        <v>0</v>
      </c>
      <c r="R60" s="2256"/>
    </row>
    <row r="61" spans="1:18" s="1940" customFormat="1" ht="18" customHeight="1" thickBot="1">
      <c r="A61" s="1578" t="s">
        <v>1824</v>
      </c>
      <c r="B61" s="338" t="s">
        <v>662</v>
      </c>
      <c r="C61" s="54">
        <f ca="1">ROUND(F61*F62/10000,1)</f>
        <v>0.1</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797.43000000000006</v>
      </c>
      <c r="I62" s="2821" t="s">
        <v>2349</v>
      </c>
      <c r="J62" s="2822" t="s">
        <v>2350</v>
      </c>
      <c r="K62" s="2822" t="s">
        <v>2351</v>
      </c>
      <c r="L62" s="2822" t="s">
        <v>2332</v>
      </c>
      <c r="M62" s="2823" t="s">
        <v>2881</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3.2</v>
      </c>
      <c r="D63" s="3158" t="s">
        <v>685</v>
      </c>
      <c r="E63" s="773" t="s">
        <v>643</v>
      </c>
      <c r="F63" s="805">
        <f t="shared" ca="1" si="0"/>
        <v>0.01</v>
      </c>
      <c r="I63" s="2821" t="s">
        <v>2352</v>
      </c>
      <c r="J63" s="2822">
        <v>70</v>
      </c>
      <c r="K63" s="2822">
        <v>50</v>
      </c>
      <c r="L63" s="2822">
        <v>80</v>
      </c>
      <c r="M63" s="2824">
        <v>0.02</v>
      </c>
      <c r="O63" s="2251" t="s">
        <v>2373</v>
      </c>
      <c r="P63" s="2252" t="s">
        <v>2390</v>
      </c>
      <c r="Q63" s="2253">
        <f ca="1">Q57+Q58</f>
        <v>72</v>
      </c>
      <c r="R63" s="2256" t="s">
        <v>2374</v>
      </c>
    </row>
    <row r="64" spans="1:18" s="1940" customFormat="1" ht="16.5" thickBot="1">
      <c r="A64" s="1576" t="s">
        <v>1881</v>
      </c>
      <c r="B64" s="773" t="s">
        <v>673</v>
      </c>
      <c r="C64" s="53">
        <f ca="1">ROUND(C55*F64,1)</f>
        <v>0.5</v>
      </c>
      <c r="D64" s="3158" t="s">
        <v>674</v>
      </c>
      <c r="E64" s="773" t="s">
        <v>643</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3158" t="s">
        <v>677</v>
      </c>
      <c r="E65" s="773" t="s">
        <v>643</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2777</v>
      </c>
      <c r="C66" s="788">
        <f ca="1">C47-C57</f>
        <v>-4</v>
      </c>
      <c r="D66" s="3159" t="s">
        <v>694</v>
      </c>
      <c r="E66" s="3162"/>
      <c r="F66" s="808"/>
      <c r="K66" s="1966"/>
      <c r="O66" s="2251" t="s">
        <v>2361</v>
      </c>
      <c r="P66" s="2252" t="s">
        <v>2387</v>
      </c>
      <c r="Q66" s="2253">
        <f ca="1">C40+J29</f>
        <v>72</v>
      </c>
      <c r="R66" s="2252" t="s">
        <v>2362</v>
      </c>
    </row>
    <row r="67" spans="1:18" s="1940" customFormat="1" ht="20.25" thickBot="1">
      <c r="A67" s="770" t="s">
        <v>1771</v>
      </c>
      <c r="B67" s="2110" t="s">
        <v>2286</v>
      </c>
      <c r="C67" s="772">
        <f ca="1">ROUND(C66*(1-((1+F69)/(1+F67))^F68)/(F67-F69),0)</f>
        <v>-72</v>
      </c>
      <c r="D67" s="802" t="s">
        <v>698</v>
      </c>
      <c r="E67" s="773" t="s">
        <v>699</v>
      </c>
      <c r="F67" s="783">
        <f ca="1">F40</f>
        <v>0.05</v>
      </c>
      <c r="K67" s="1966"/>
      <c r="O67" s="2251" t="s">
        <v>2363</v>
      </c>
      <c r="P67" s="2252" t="s">
        <v>2394</v>
      </c>
      <c r="Q67" s="2253">
        <f ca="1">L60</f>
        <v>0</v>
      </c>
      <c r="R67" s="2256" t="s">
        <v>2396</v>
      </c>
    </row>
    <row r="68" spans="1:18" ht="21.75" thickBot="1">
      <c r="A68" s="775"/>
      <c r="B68" s="776"/>
      <c r="C68" s="777"/>
      <c r="D68" s="809" t="s">
        <v>1799</v>
      </c>
      <c r="E68" s="773" t="s">
        <v>702</v>
      </c>
      <c r="F68" s="810">
        <f ca="1">F41</f>
        <v>47.13</v>
      </c>
      <c r="O68" s="2254" t="s">
        <v>2365</v>
      </c>
      <c r="P68" s="2252" t="s">
        <v>2395</v>
      </c>
      <c r="Q68" s="2258">
        <f ca="1">L51</f>
        <v>83</v>
      </c>
      <c r="R68" s="2259" t="s">
        <v>2398</v>
      </c>
    </row>
    <row r="69" spans="1:18" ht="20.25" thickBot="1">
      <c r="A69" s="779"/>
      <c r="B69" s="780"/>
      <c r="C69" s="781"/>
      <c r="D69" s="804"/>
      <c r="E69" s="773" t="s">
        <v>704</v>
      </c>
      <c r="F69" s="2224"/>
      <c r="O69" s="2254" t="s">
        <v>2366</v>
      </c>
      <c r="P69" s="2260" t="s">
        <v>2380</v>
      </c>
      <c r="Q69" s="2253">
        <f ca="1">ROUND(Q70-Q71*Q72,0)</f>
        <v>4</v>
      </c>
      <c r="R69" s="2256"/>
    </row>
    <row r="70" spans="1:18" ht="15.75" thickBot="1">
      <c r="A70" s="811" t="s">
        <v>1778</v>
      </c>
      <c r="B70" s="812" t="s">
        <v>1801</v>
      </c>
      <c r="C70" s="813">
        <f ca="1">ROUND(C67*10000/F70,0)</f>
        <v>-836</v>
      </c>
      <c r="D70" s="814" t="s">
        <v>1802</v>
      </c>
      <c r="E70" s="815" t="s">
        <v>1803</v>
      </c>
      <c r="F70" s="816">
        <f ca="1">F43</f>
        <v>861.16</v>
      </c>
      <c r="O70" s="2254" t="s">
        <v>2381</v>
      </c>
      <c r="P70" s="2260" t="s">
        <v>2382</v>
      </c>
      <c r="Q70" s="2253">
        <f ca="1">C39</f>
        <v>4</v>
      </c>
      <c r="R70" s="2252" t="s">
        <v>2362</v>
      </c>
    </row>
    <row r="71" spans="1:18" ht="15.75" thickBot="1">
      <c r="O71" s="2254" t="s">
        <v>2383</v>
      </c>
      <c r="P71" s="2260" t="s">
        <v>2384</v>
      </c>
      <c r="Q71" s="2253">
        <f ca="1">C13</f>
        <v>318</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72</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40" sqref="D40"/>
    </sheetView>
  </sheetViews>
  <sheetFormatPr defaultRowHeight="13.5"/>
  <cols>
    <col min="10" max="10" width="9" style="3176"/>
    <col min="13" max="13" width="9" style="3176"/>
    <col min="14" max="14" width="9" style="3178"/>
  </cols>
  <sheetData>
    <row r="1" spans="1:14">
      <c r="F1" s="3128" t="s">
        <v>3154</v>
      </c>
      <c r="G1" s="3128" t="s">
        <v>3155</v>
      </c>
      <c r="J1" s="3175" t="s">
        <v>3154</v>
      </c>
      <c r="K1" s="3128" t="s">
        <v>3162</v>
      </c>
      <c r="L1" s="3128" t="s">
        <v>3165</v>
      </c>
      <c r="M1" s="3175" t="s">
        <v>3165</v>
      </c>
      <c r="N1" s="3177" t="s">
        <v>3169</v>
      </c>
    </row>
    <row r="2" spans="1:14">
      <c r="E2" s="3128" t="s">
        <v>3156</v>
      </c>
      <c r="F2" s="3128" t="s">
        <v>3151</v>
      </c>
      <c r="G2" s="3128" t="s">
        <v>3152</v>
      </c>
      <c r="H2" s="3128" t="s">
        <v>3153</v>
      </c>
      <c r="I2" s="3128" t="s">
        <v>3157</v>
      </c>
      <c r="J2" s="3175" t="s">
        <v>3160</v>
      </c>
      <c r="L2" s="3128" t="s">
        <v>3166</v>
      </c>
      <c r="M2" s="3175" t="s">
        <v>3167</v>
      </c>
    </row>
    <row r="3" spans="1:14">
      <c r="A3" s="3128" t="s">
        <v>3148</v>
      </c>
      <c r="B3">
        <v>1</v>
      </c>
      <c r="C3" s="3128" t="s">
        <v>3149</v>
      </c>
      <c r="D3" s="3128" t="s">
        <v>3150</v>
      </c>
      <c r="E3">
        <f t="shared" ref="E3:E31" si="0">SUM(F3:H3)</f>
        <v>1795.13</v>
      </c>
      <c r="F3">
        <v>1332.85</v>
      </c>
      <c r="G3">
        <v>453.63</v>
      </c>
      <c r="H3">
        <v>8.65</v>
      </c>
    </row>
    <row r="4" spans="1:14">
      <c r="B4">
        <v>2</v>
      </c>
      <c r="E4">
        <f t="shared" si="0"/>
        <v>3580.49</v>
      </c>
      <c r="F4">
        <v>2645.37</v>
      </c>
      <c r="G4">
        <v>885.99</v>
      </c>
      <c r="H4">
        <v>49.13</v>
      </c>
    </row>
    <row r="5" spans="1:14">
      <c r="B5">
        <v>3</v>
      </c>
      <c r="E5">
        <f t="shared" si="0"/>
        <v>3580.69</v>
      </c>
      <c r="F5">
        <v>2645.37</v>
      </c>
      <c r="G5">
        <v>886.19</v>
      </c>
      <c r="H5">
        <v>49.13</v>
      </c>
    </row>
    <row r="6" spans="1:14">
      <c r="B6">
        <v>4</v>
      </c>
      <c r="E6">
        <f t="shared" si="0"/>
        <v>1794.8600000000001</v>
      </c>
      <c r="F6">
        <v>1332.85</v>
      </c>
      <c r="G6">
        <v>453.36</v>
      </c>
      <c r="H6">
        <v>8.65</v>
      </c>
    </row>
    <row r="7" spans="1:14">
      <c r="B7">
        <v>5</v>
      </c>
      <c r="E7">
        <f t="shared" si="0"/>
        <v>1321.8600000000001</v>
      </c>
      <c r="F7">
        <v>1014.98</v>
      </c>
      <c r="G7">
        <v>306.88</v>
      </c>
    </row>
    <row r="8" spans="1:14">
      <c r="B8">
        <v>6</v>
      </c>
      <c r="E8">
        <f t="shared" si="0"/>
        <v>1974.4099999999999</v>
      </c>
      <c r="F8">
        <v>1515.04</v>
      </c>
      <c r="G8">
        <v>459.37</v>
      </c>
    </row>
    <row r="9" spans="1:14">
      <c r="B9">
        <v>7</v>
      </c>
      <c r="E9">
        <f t="shared" si="0"/>
        <v>1974.4099999999999</v>
      </c>
      <c r="F9">
        <v>1515.04</v>
      </c>
      <c r="G9">
        <v>459.37</v>
      </c>
    </row>
    <row r="10" spans="1:14">
      <c r="B10">
        <v>8</v>
      </c>
      <c r="E10">
        <f t="shared" si="0"/>
        <v>1321.8600000000001</v>
      </c>
      <c r="F10">
        <v>1014.98</v>
      </c>
      <c r="G10">
        <v>306.88</v>
      </c>
    </row>
    <row r="11" spans="1:14">
      <c r="B11">
        <v>9</v>
      </c>
      <c r="E11">
        <f t="shared" si="0"/>
        <v>1396.75</v>
      </c>
      <c r="F11">
        <v>1036.26</v>
      </c>
      <c r="G11">
        <v>353.81</v>
      </c>
      <c r="H11">
        <v>6.68</v>
      </c>
    </row>
    <row r="12" spans="1:14">
      <c r="B12">
        <v>10</v>
      </c>
      <c r="E12">
        <f t="shared" si="0"/>
        <v>1321.8600000000001</v>
      </c>
      <c r="F12">
        <v>1014.98</v>
      </c>
      <c r="G12">
        <v>306.88</v>
      </c>
    </row>
    <row r="13" spans="1:14">
      <c r="B13">
        <v>11</v>
      </c>
      <c r="E13">
        <f t="shared" si="0"/>
        <v>1974.4099999999999</v>
      </c>
      <c r="F13">
        <v>1515.04</v>
      </c>
      <c r="G13">
        <v>459.37</v>
      </c>
    </row>
    <row r="14" spans="1:14">
      <c r="B14">
        <v>12</v>
      </c>
      <c r="E14">
        <f t="shared" si="0"/>
        <v>1988.88</v>
      </c>
      <c r="F14">
        <v>1016.39</v>
      </c>
      <c r="G14">
        <v>972.49</v>
      </c>
    </row>
    <row r="15" spans="1:14">
      <c r="B15">
        <v>13</v>
      </c>
      <c r="E15">
        <f t="shared" si="0"/>
        <v>1974.4099999999999</v>
      </c>
      <c r="F15">
        <v>1515.04</v>
      </c>
      <c r="G15">
        <v>459.37</v>
      </c>
    </row>
    <row r="16" spans="1:14">
      <c r="B16">
        <v>14</v>
      </c>
      <c r="E16">
        <f t="shared" si="0"/>
        <v>1321.8600000000001</v>
      </c>
      <c r="F16">
        <v>1014.98</v>
      </c>
      <c r="G16">
        <v>306.88</v>
      </c>
    </row>
    <row r="17" spans="1:11">
      <c r="B17">
        <v>15</v>
      </c>
      <c r="E17">
        <f t="shared" si="0"/>
        <v>1321.8600000000001</v>
      </c>
      <c r="F17">
        <v>1014.98</v>
      </c>
      <c r="G17">
        <v>306.88</v>
      </c>
    </row>
    <row r="18" spans="1:11">
      <c r="B18">
        <v>16</v>
      </c>
      <c r="E18">
        <f t="shared" si="0"/>
        <v>1974.4099999999999</v>
      </c>
      <c r="F18">
        <v>1515.04</v>
      </c>
      <c r="G18">
        <v>459.37</v>
      </c>
    </row>
    <row r="19" spans="1:11">
      <c r="B19">
        <v>17</v>
      </c>
      <c r="E19">
        <f t="shared" si="0"/>
        <v>1974.4099999999999</v>
      </c>
      <c r="F19">
        <v>1515.04</v>
      </c>
      <c r="G19">
        <v>459.37</v>
      </c>
    </row>
    <row r="20" spans="1:11">
      <c r="B20">
        <v>18</v>
      </c>
      <c r="E20">
        <f t="shared" si="0"/>
        <v>1321.8600000000001</v>
      </c>
      <c r="F20">
        <v>1014.98</v>
      </c>
      <c r="G20">
        <v>306.88</v>
      </c>
    </row>
    <row r="21" spans="1:11">
      <c r="B21">
        <v>19</v>
      </c>
      <c r="E21">
        <f t="shared" si="0"/>
        <v>669.33</v>
      </c>
      <c r="F21">
        <v>514.94000000000005</v>
      </c>
      <c r="G21">
        <v>154.38999999999999</v>
      </c>
    </row>
    <row r="22" spans="1:11">
      <c r="B22">
        <v>20</v>
      </c>
      <c r="E22">
        <f t="shared" si="0"/>
        <v>1974.4099999999999</v>
      </c>
      <c r="F22">
        <v>1515.04</v>
      </c>
      <c r="G22">
        <v>459.37</v>
      </c>
    </row>
    <row r="23" spans="1:11">
      <c r="B23">
        <v>21</v>
      </c>
      <c r="E23">
        <f t="shared" si="0"/>
        <v>1321.8600000000001</v>
      </c>
      <c r="F23">
        <v>1014.98</v>
      </c>
      <c r="G23">
        <v>306.88</v>
      </c>
    </row>
    <row r="24" spans="1:11">
      <c r="B24">
        <v>22</v>
      </c>
      <c r="E24">
        <f t="shared" si="0"/>
        <v>1988.88</v>
      </c>
      <c r="F24">
        <v>1016.39</v>
      </c>
      <c r="G24">
        <v>972.49</v>
      </c>
    </row>
    <row r="25" spans="1:11">
      <c r="B25">
        <v>23</v>
      </c>
      <c r="E25">
        <f t="shared" si="0"/>
        <v>1321.8600000000001</v>
      </c>
      <c r="F25">
        <v>1014.98</v>
      </c>
      <c r="G25">
        <v>306.88</v>
      </c>
    </row>
    <row r="26" spans="1:11">
      <c r="B26">
        <v>24</v>
      </c>
      <c r="E26">
        <f t="shared" si="0"/>
        <v>1974.4099999999999</v>
      </c>
      <c r="F26">
        <v>1515.04</v>
      </c>
      <c r="G26">
        <v>459.37</v>
      </c>
    </row>
    <row r="27" spans="1:11">
      <c r="B27">
        <v>25</v>
      </c>
      <c r="E27">
        <f t="shared" si="0"/>
        <v>1974.4099999999999</v>
      </c>
      <c r="F27">
        <v>1515.04</v>
      </c>
      <c r="G27">
        <v>459.37</v>
      </c>
    </row>
    <row r="28" spans="1:11">
      <c r="B28">
        <v>26</v>
      </c>
      <c r="E28">
        <f t="shared" si="0"/>
        <v>1321.8600000000001</v>
      </c>
      <c r="F28">
        <v>1014.98</v>
      </c>
      <c r="G28">
        <v>306.88</v>
      </c>
    </row>
    <row r="29" spans="1:11">
      <c r="B29">
        <v>27</v>
      </c>
      <c r="E29">
        <f t="shared" si="0"/>
        <v>1321.8600000000001</v>
      </c>
      <c r="F29">
        <v>1014.98</v>
      </c>
      <c r="G29">
        <v>306.88</v>
      </c>
    </row>
    <row r="30" spans="1:11">
      <c r="B30">
        <v>28</v>
      </c>
      <c r="E30">
        <f t="shared" si="0"/>
        <v>1974.4099999999999</v>
      </c>
      <c r="F30">
        <v>1515.04</v>
      </c>
      <c r="G30">
        <v>459.37</v>
      </c>
    </row>
    <row r="31" spans="1:11">
      <c r="B31">
        <v>29</v>
      </c>
      <c r="E31">
        <f t="shared" si="0"/>
        <v>669.33</v>
      </c>
      <c r="F31">
        <v>514.94000000000005</v>
      </c>
      <c r="G31">
        <v>154.38999999999999</v>
      </c>
    </row>
    <row r="32" spans="1:11">
      <c r="A32" s="3128" t="s">
        <v>3148</v>
      </c>
      <c r="B32">
        <v>30</v>
      </c>
      <c r="D32" s="3128" t="s">
        <v>3161</v>
      </c>
      <c r="E32">
        <f>SUM(F32:K32)</f>
        <v>1665.77</v>
      </c>
      <c r="I32">
        <v>453.6</v>
      </c>
      <c r="J32" s="3176">
        <v>1200.17</v>
      </c>
      <c r="K32">
        <v>12</v>
      </c>
    </row>
    <row r="33" spans="1:13">
      <c r="A33" s="3128" t="s">
        <v>3148</v>
      </c>
      <c r="B33">
        <v>31</v>
      </c>
      <c r="D33" s="3128" t="s">
        <v>3163</v>
      </c>
      <c r="E33">
        <f>SUM(F33:K33)</f>
        <v>284.82</v>
      </c>
      <c r="H33">
        <v>92.82</v>
      </c>
      <c r="J33" s="3176">
        <v>192</v>
      </c>
    </row>
    <row r="34" spans="1:13">
      <c r="B34">
        <v>2</v>
      </c>
      <c r="D34" s="3128" t="s">
        <v>3164</v>
      </c>
      <c r="E34">
        <f>SUM(F34:M34)</f>
        <v>22206.090000000004</v>
      </c>
      <c r="H34">
        <v>1084.82</v>
      </c>
      <c r="K34">
        <f>173.27+3572.11</f>
        <v>3745.38</v>
      </c>
      <c r="L34">
        <v>17337.650000000001</v>
      </c>
      <c r="M34" s="3176">
        <v>38.24</v>
      </c>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L12"/>
  <sheetViews>
    <sheetView topLeftCell="C1" workbookViewId="0">
      <selection activeCell="L8" sqref="L8"/>
    </sheetView>
  </sheetViews>
  <sheetFormatPr defaultRowHeight="13.5"/>
  <cols>
    <col min="4" max="4" width="14.25" customWidth="1"/>
  </cols>
  <sheetData>
    <row r="4" spans="4:12">
      <c r="D4" s="3617" t="s">
        <v>2016</v>
      </c>
      <c r="E4" s="3617" t="s">
        <v>3203</v>
      </c>
      <c r="F4" s="3617" t="s">
        <v>3204</v>
      </c>
      <c r="G4" s="3616" t="s">
        <v>3207</v>
      </c>
      <c r="H4" s="3616"/>
      <c r="I4" s="3616" t="s">
        <v>3208</v>
      </c>
      <c r="J4" s="3616"/>
      <c r="K4" s="3616" t="s">
        <v>3209</v>
      </c>
      <c r="L4" s="3616"/>
    </row>
    <row r="5" spans="4:12">
      <c r="D5" s="3617"/>
      <c r="E5" s="3617"/>
      <c r="F5" s="3617"/>
      <c r="G5" s="3294" t="s">
        <v>3205</v>
      </c>
      <c r="H5" s="3294" t="s">
        <v>3206</v>
      </c>
      <c r="I5" s="3294" t="s">
        <v>3205</v>
      </c>
      <c r="J5" s="3294" t="s">
        <v>3206</v>
      </c>
      <c r="K5" s="3294" t="s">
        <v>3205</v>
      </c>
      <c r="L5" s="3294" t="s">
        <v>3206</v>
      </c>
    </row>
    <row r="6" spans="4:12" ht="36">
      <c r="D6" s="3295" t="s">
        <v>3214</v>
      </c>
      <c r="E6" s="3295">
        <f>结果表!K38</f>
        <v>9817.3700000000008</v>
      </c>
      <c r="F6" s="3295">
        <f>结果表!L38</f>
        <v>14621.33</v>
      </c>
      <c r="G6" s="3294">
        <f ca="1">结果表!O38</f>
        <v>2055</v>
      </c>
      <c r="H6" s="3294">
        <f ca="1">结果表!N38</f>
        <v>1405</v>
      </c>
      <c r="I6" s="3294" t="s">
        <v>3210</v>
      </c>
      <c r="J6" s="3294" t="s">
        <v>3210</v>
      </c>
      <c r="K6" s="3294">
        <f ca="1">G6</f>
        <v>2055</v>
      </c>
      <c r="L6" s="3294">
        <f ca="1">H6</f>
        <v>1405</v>
      </c>
    </row>
    <row r="7" spans="4:12" ht="36">
      <c r="D7" s="3295" t="s">
        <v>3215</v>
      </c>
      <c r="E7" s="3295">
        <f>[7]结果表!$K$38</f>
        <v>38548.01</v>
      </c>
      <c r="F7" s="3295">
        <f>[7]结果表!$L$38</f>
        <v>70826.34</v>
      </c>
      <c r="G7" s="3294">
        <f ca="1">[7]结果表!$O$38</f>
        <v>43894</v>
      </c>
      <c r="H7" s="3294">
        <f ca="1">[7]结果表!$N$38</f>
        <v>6197</v>
      </c>
      <c r="I7" s="3294" t="s">
        <v>3210</v>
      </c>
      <c r="J7" s="3294" t="s">
        <v>3210</v>
      </c>
      <c r="K7" s="3294">
        <f ca="1">G7</f>
        <v>43894</v>
      </c>
      <c r="L7" s="3294">
        <f ca="1">H7</f>
        <v>6197</v>
      </c>
    </row>
    <row r="8" spans="4:12" ht="36">
      <c r="D8" s="3295" t="s">
        <v>3217</v>
      </c>
      <c r="E8" s="3295">
        <f>[4]结果表!$C$118</f>
        <v>40036.67</v>
      </c>
      <c r="F8" s="3295">
        <f>[4]结果表!$B$118</f>
        <v>72555.72</v>
      </c>
      <c r="G8" s="3295">
        <f ca="1">[4]结果表!$D$118</f>
        <v>45435</v>
      </c>
      <c r="H8" s="3295">
        <f ca="1">[4]结果表!$E$118</f>
        <v>6262</v>
      </c>
      <c r="I8" s="3295">
        <f ca="1">[4]结果表!$F$118</f>
        <v>6550</v>
      </c>
      <c r="J8" s="3295">
        <f ca="1">[4]结果表!$G$118</f>
        <v>903</v>
      </c>
      <c r="K8" s="3295">
        <f ca="1">[4]结果表!$H$118</f>
        <v>51985</v>
      </c>
      <c r="L8" s="3295">
        <f ca="1">[4]结果表!$I$118</f>
        <v>7165</v>
      </c>
    </row>
    <row r="9" spans="4:12" ht="36">
      <c r="D9" s="3295" t="s">
        <v>3216</v>
      </c>
      <c r="E9" s="3295">
        <f>[5]结果表!$K$38</f>
        <v>33238.620000000003</v>
      </c>
      <c r="F9" s="3294">
        <f>[5]结果表!$L$38</f>
        <v>60146.96</v>
      </c>
      <c r="G9" s="3294">
        <f>[5]结果表!$O$38</f>
        <v>38060</v>
      </c>
      <c r="H9" s="3294">
        <f>[5]结果表!$N$38</f>
        <v>6328</v>
      </c>
      <c r="I9" s="3294" t="s">
        <v>3210</v>
      </c>
      <c r="J9" s="3294" t="s">
        <v>3210</v>
      </c>
      <c r="K9" s="3294">
        <f>G9</f>
        <v>38060</v>
      </c>
      <c r="L9" s="3294">
        <f>H9</f>
        <v>6328</v>
      </c>
    </row>
    <row r="10" spans="4:12">
      <c r="D10" s="3296" t="s">
        <v>3211</v>
      </c>
      <c r="E10" s="3294">
        <f>SUM(E6:E9)</f>
        <v>121640.67000000001</v>
      </c>
      <c r="F10" s="3294">
        <f t="shared" ref="F10:K10" si="0">SUM(F6:F9)</f>
        <v>218150.35</v>
      </c>
      <c r="G10" s="3294">
        <f t="shared" ca="1" si="0"/>
        <v>129444</v>
      </c>
      <c r="H10" s="3294" t="s">
        <v>3210</v>
      </c>
      <c r="I10" s="3294">
        <f t="shared" ca="1" si="0"/>
        <v>6550</v>
      </c>
      <c r="J10" s="3294" t="s">
        <v>3210</v>
      </c>
      <c r="K10" s="3294">
        <f t="shared" ca="1" si="0"/>
        <v>135994</v>
      </c>
      <c r="L10" s="3294" t="s">
        <v>3210</v>
      </c>
    </row>
    <row r="12" spans="4:12">
      <c r="D12" s="3615" t="s">
        <v>3213</v>
      </c>
      <c r="E12" s="3615"/>
      <c r="F12" s="3615"/>
      <c r="G12" s="3615"/>
    </row>
  </sheetData>
  <mergeCells count="7">
    <mergeCell ref="D12:G12"/>
    <mergeCell ref="G4:H4"/>
    <mergeCell ref="I4:J4"/>
    <mergeCell ref="K4:L4"/>
    <mergeCell ref="D4:D5"/>
    <mergeCell ref="E4:E5"/>
    <mergeCell ref="F4:F5"/>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2024</v>
      </c>
      <c r="B1" s="3298"/>
      <c r="C1" s="3298"/>
      <c r="D1" s="3298"/>
      <c r="E1" s="3298"/>
      <c r="F1" s="3298"/>
      <c r="G1" s="3298"/>
      <c r="H1" s="3298"/>
      <c r="I1" s="3298"/>
      <c r="J1" s="3298"/>
      <c r="K1" s="3298"/>
      <c r="L1" s="3298"/>
      <c r="M1" s="3298"/>
      <c r="N1" s="3298"/>
      <c r="O1" s="3298"/>
      <c r="P1" s="3298"/>
      <c r="Q1" s="3298"/>
      <c r="R1" s="3298"/>
    </row>
    <row r="2" spans="1:18">
      <c r="A2" s="1721" t="s">
        <v>2026</v>
      </c>
      <c r="B2" s="1721"/>
      <c r="C2" s="1721"/>
      <c r="D2" s="1721"/>
      <c r="E2" s="1721"/>
      <c r="F2" s="1721"/>
      <c r="G2" s="1721"/>
      <c r="H2" s="1721"/>
      <c r="I2" s="1722"/>
      <c r="J2" s="1722"/>
      <c r="K2" s="1723" t="str">
        <f>"估价期日："&amp;TEXT(项目基本情况!D3,"yyyy年m月d日;;")</f>
        <v>估价期日：2021年3月11日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299" t="s">
        <v>2015</v>
      </c>
      <c r="B3" s="3299" t="s">
        <v>2687</v>
      </c>
      <c r="C3" s="3300" t="s">
        <v>2016</v>
      </c>
      <c r="D3" s="3299" t="s">
        <v>2691</v>
      </c>
      <c r="E3" s="3302" t="s">
        <v>2017</v>
      </c>
      <c r="F3" s="3302"/>
      <c r="G3" s="3302"/>
      <c r="H3" s="3302" t="s">
        <v>2018</v>
      </c>
      <c r="I3" s="3302"/>
      <c r="J3" s="3302"/>
      <c r="K3" s="3300" t="s">
        <v>2019</v>
      </c>
      <c r="L3" s="3300" t="s">
        <v>2020</v>
      </c>
      <c r="M3" s="3299" t="s">
        <v>2688</v>
      </c>
      <c r="N3" s="3301" t="str">
        <f>"（分摊）"&amp;项目基本情况!B16&amp;"国有建设用地使用权面积/㎡"</f>
        <v>（分摊）出让国有建设用地使用权面积/㎡</v>
      </c>
      <c r="O3" s="3299" t="s">
        <v>2049</v>
      </c>
      <c r="P3" s="3300" t="s">
        <v>2029</v>
      </c>
      <c r="Q3" s="3300" t="s">
        <v>2050</v>
      </c>
      <c r="R3" s="3300" t="s">
        <v>2021</v>
      </c>
    </row>
    <row r="4" spans="1:18" ht="36.75" customHeight="1">
      <c r="A4" s="3299"/>
      <c r="B4" s="3299"/>
      <c r="C4" s="3300"/>
      <c r="D4" s="3299"/>
      <c r="E4" s="2489" t="s">
        <v>2028</v>
      </c>
      <c r="F4" s="2489" t="s">
        <v>2700</v>
      </c>
      <c r="G4" s="2489" t="s">
        <v>2022</v>
      </c>
      <c r="H4" s="2489" t="s">
        <v>2023</v>
      </c>
      <c r="I4" s="2489" t="s">
        <v>2701</v>
      </c>
      <c r="J4" s="2489" t="s">
        <v>2022</v>
      </c>
      <c r="K4" s="3300"/>
      <c r="L4" s="3300"/>
      <c r="M4" s="3299"/>
      <c r="N4" s="3301"/>
      <c r="O4" s="3299"/>
      <c r="P4" s="3300"/>
      <c r="Q4" s="3300"/>
      <c r="R4" s="3300"/>
    </row>
    <row r="5" spans="1:18" ht="135" customHeight="1">
      <c r="A5" s="1855" t="s">
        <v>2611</v>
      </c>
      <c r="B5" s="2582" t="s">
        <v>2609</v>
      </c>
      <c r="C5" s="2488">
        <v>22</v>
      </c>
      <c r="D5" s="2487" t="s">
        <v>2610</v>
      </c>
      <c r="E5" s="1724" t="str">
        <f>项目基本情况!B12</f>
        <v>办公（公共服务设施）、住宅、地下仓储、商业、地下车库</v>
      </c>
      <c r="F5" s="2487">
        <v>258</v>
      </c>
      <c r="G5" s="1724" t="str">
        <f>项目基本情况!B13</f>
        <v>商业、地下车库</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9817.3700000000008</v>
      </c>
      <c r="O5" s="1724">
        <f>项目基本情况!C21</f>
        <v>14621.33</v>
      </c>
      <c r="P5" s="1724">
        <f ca="1">结果表!E42</f>
        <v>2093</v>
      </c>
      <c r="Q5" s="1724">
        <f ca="1">结果表!D42</f>
        <v>1405</v>
      </c>
      <c r="R5" s="1725">
        <f ca="1">结果表!C42</f>
        <v>2055</v>
      </c>
    </row>
    <row r="6" spans="1:18">
      <c r="A6" s="3303" t="str">
        <f>IF(项目基本情况!B9="市场价格","——","抵押价格")</f>
        <v>抵押价格</v>
      </c>
      <c r="B6" s="3304"/>
      <c r="C6" s="3304"/>
      <c r="D6" s="3304"/>
      <c r="E6" s="3304"/>
      <c r="F6" s="3304"/>
      <c r="G6" s="3304"/>
      <c r="H6" s="3304"/>
      <c r="I6" s="3304"/>
      <c r="J6" s="3304"/>
      <c r="K6" s="3304"/>
      <c r="L6" s="3304"/>
      <c r="M6" s="3304"/>
      <c r="N6" s="3304"/>
      <c r="O6" s="3304"/>
      <c r="P6" s="3304"/>
      <c r="Q6" s="3305"/>
      <c r="R6" s="1726">
        <f ca="1">结果表!O39</f>
        <v>2055</v>
      </c>
    </row>
    <row r="7" spans="1:18">
      <c r="A7" s="3303" t="str">
        <f>IF(项目基本情况!B9="市场价格","——",IF(项目基本情况!E8="已注销及未注销","抵押担保权已注销时的抵押价格","——"))</f>
        <v>——</v>
      </c>
      <c r="B7" s="3304"/>
      <c r="C7" s="3304"/>
      <c r="D7" s="3304"/>
      <c r="E7" s="3304"/>
      <c r="F7" s="3304"/>
      <c r="G7" s="3304"/>
      <c r="H7" s="3304"/>
      <c r="I7" s="3304"/>
      <c r="J7" s="3304"/>
      <c r="K7" s="3304"/>
      <c r="L7" s="3304"/>
      <c r="M7" s="3304"/>
      <c r="N7" s="3304"/>
      <c r="O7" s="3304"/>
      <c r="P7" s="3304"/>
      <c r="Q7" s="3305"/>
      <c r="R7" s="1726" t="str">
        <f>结果表!O40</f>
        <v>——</v>
      </c>
    </row>
    <row r="8" spans="1:18">
      <c r="A8" s="3303" t="str">
        <f>IF(项目基本情况!B9="市场价格","——",项目基本情况!E9)</f>
        <v>——</v>
      </c>
      <c r="B8" s="3304"/>
      <c r="C8" s="3304"/>
      <c r="D8" s="3304"/>
      <c r="E8" s="3304"/>
      <c r="F8" s="3304"/>
      <c r="G8" s="3304"/>
      <c r="H8" s="3304"/>
      <c r="I8" s="3304"/>
      <c r="J8" s="3304"/>
      <c r="K8" s="3304"/>
      <c r="L8" s="3304"/>
      <c r="M8" s="3304"/>
      <c r="N8" s="3304"/>
      <c r="O8" s="3304"/>
      <c r="P8" s="3304"/>
      <c r="Q8" s="3305"/>
      <c r="R8" s="1726" t="str">
        <f>结果表!O41</f>
        <v>——</v>
      </c>
    </row>
    <row r="9" spans="1:18">
      <c r="A9" s="1727" t="s">
        <v>2027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07" t="s">
        <v>2051</v>
      </c>
      <c r="B1" s="3307"/>
      <c r="C1" s="3307"/>
      <c r="D1" s="3307"/>
    </row>
    <row r="2" spans="1:4" ht="47.25" customHeight="1">
      <c r="A2" s="3308" t="str">
        <f>"1.权利限制："&amp;项目基本情况!L24&amp;"未设定租赁等其他他项权利。"</f>
        <v>1.权利限制：根据估价对象《不动产权证书》复印件、，截至估价期日，估价对象已设定抵押。未设定租赁等其他他项权利。</v>
      </c>
      <c r="B2" s="3308"/>
      <c r="C2" s="3308"/>
      <c r="D2" s="3308"/>
    </row>
    <row r="3" spans="1:4" ht="48" customHeight="1">
      <c r="A3" s="33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06" t="s">
        <v>2052</v>
      </c>
      <c r="B5" s="3306"/>
      <c r="C5" s="3306"/>
      <c r="D5" s="3306"/>
    </row>
    <row r="6" spans="1:4">
      <c r="A6" s="3307" t="s">
        <v>2030</v>
      </c>
      <c r="B6" s="3307"/>
      <c r="C6" s="3307"/>
      <c r="D6" s="3307"/>
    </row>
    <row r="7" spans="1:4" ht="33" customHeight="1">
      <c r="A7" s="3307" t="s">
        <v>2553</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06" t="s">
        <v>2054</v>
      </c>
      <c r="B12" s="3306"/>
      <c r="C12" s="3306"/>
      <c r="D12" s="3306"/>
    </row>
    <row r="13" spans="1:4">
      <c r="A13" s="3310" t="s">
        <v>2702</v>
      </c>
      <c r="B13" s="3310"/>
      <c r="C13" s="3310"/>
      <c r="D13" s="3310"/>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2658</v>
      </c>
      <c r="B17" s="3307"/>
      <c r="C17" s="3307"/>
      <c r="D17" s="3307"/>
    </row>
    <row r="18" spans="1:4">
      <c r="A18" s="3307" t="s">
        <v>2650</v>
      </c>
      <c r="B18" s="3307"/>
      <c r="C18" s="3307"/>
      <c r="D18" s="3307"/>
    </row>
    <row r="19" spans="1:4">
      <c r="A19" s="2583" t="s">
        <v>2651</v>
      </c>
      <c r="B19" s="2583" t="s">
        <v>2652</v>
      </c>
      <c r="C19" s="2583" t="s">
        <v>2653</v>
      </c>
      <c r="D19" s="2583" t="s">
        <v>2654</v>
      </c>
    </row>
    <row r="20" spans="1:4">
      <c r="A20" s="2583" t="str">
        <f>项目基本情况!B4</f>
        <v>吴薇</v>
      </c>
      <c r="B20" s="2583">
        <f ca="1">项目基本情况!C4</f>
        <v>2002110125</v>
      </c>
      <c r="C20" s="2585"/>
      <c r="D20" s="1714" t="s">
        <v>2659</v>
      </c>
    </row>
    <row r="21" spans="1:4">
      <c r="A21" s="2583" t="str">
        <f>项目基本情况!D4</f>
        <v>崔锴</v>
      </c>
      <c r="B21" s="2583">
        <f ca="1">项目基本情况!E4</f>
        <v>2010110070</v>
      </c>
      <c r="C21" s="2585"/>
      <c r="D21" s="1714" t="s">
        <v>2660</v>
      </c>
    </row>
    <row r="23" spans="1:4">
      <c r="A23" s="3307" t="s">
        <v>2655</v>
      </c>
      <c r="B23" s="3307"/>
      <c r="C23" s="3307"/>
      <c r="D23" s="3307"/>
    </row>
    <row r="24" spans="1:4">
      <c r="A24" s="2583" t="s">
        <v>2651</v>
      </c>
      <c r="B24" s="2583" t="s">
        <v>2656</v>
      </c>
      <c r="C24" s="2583" t="s">
        <v>2653</v>
      </c>
      <c r="D24" s="2583" t="s">
        <v>2654</v>
      </c>
    </row>
    <row r="25" spans="1:4">
      <c r="A25" s="2586" t="s">
        <v>2657</v>
      </c>
      <c r="B25" s="2583" t="s">
        <v>943</v>
      </c>
      <c r="C25" s="2585"/>
      <c r="D25" s="1714" t="s">
        <v>2660</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8" t="s">
        <v>53</v>
      </c>
      <c r="B15" s="3319" t="s">
        <v>838</v>
      </c>
      <c r="C15" s="3315"/>
    </row>
    <row r="16" spans="1:7" ht="14.25">
      <c r="A16" s="3318"/>
      <c r="B16" s="3316" t="s">
        <v>54</v>
      </c>
      <c r="C16" s="1154" t="s">
        <v>53</v>
      </c>
    </row>
    <row r="17" spans="1:3" ht="14.25">
      <c r="A17" s="3318"/>
      <c r="B17" s="3316"/>
      <c r="C17" s="1154" t="s">
        <v>55</v>
      </c>
    </row>
    <row r="18" spans="1:3" ht="14.25">
      <c r="A18" s="3318"/>
      <c r="B18" s="3316"/>
      <c r="C18" s="1154" t="s">
        <v>56</v>
      </c>
    </row>
    <row r="19" spans="1:3" ht="14.25">
      <c r="A19" s="3318"/>
      <c r="B19" s="3314" t="s">
        <v>57</v>
      </c>
      <c r="C19" s="3315"/>
    </row>
    <row r="20" spans="1:3" ht="14.25">
      <c r="A20" s="1155" t="s">
        <v>58</v>
      </c>
      <c r="B20" s="1156"/>
      <c r="C20" s="1157"/>
    </row>
    <row r="21" spans="1:3" ht="14.25">
      <c r="A21" s="3317" t="s">
        <v>59</v>
      </c>
      <c r="B21" s="3314" t="s">
        <v>60</v>
      </c>
      <c r="C21" s="3315"/>
    </row>
    <row r="22" spans="1:3" ht="14.25">
      <c r="A22" s="3317"/>
      <c r="B22" s="3314" t="s">
        <v>61</v>
      </c>
      <c r="C22" s="3315"/>
    </row>
    <row r="23" spans="1:3" ht="14.25">
      <c r="A23" s="3317"/>
      <c r="B23" s="3314" t="s">
        <v>62</v>
      </c>
      <c r="C23" s="3315"/>
    </row>
    <row r="24" spans="1:3" ht="14.25">
      <c r="A24" s="3317"/>
      <c r="B24" s="3320" t="s">
        <v>63</v>
      </c>
      <c r="C24" s="1158" t="s">
        <v>829</v>
      </c>
    </row>
    <row r="25" spans="1:3" ht="14.25">
      <c r="A25" s="3317"/>
      <c r="B25" s="3321"/>
      <c r="C25" s="1158" t="s">
        <v>830</v>
      </c>
    </row>
    <row r="26" spans="1:3" ht="14.25">
      <c r="A26" s="3317"/>
      <c r="B26" s="3321"/>
      <c r="C26" s="1158" t="s">
        <v>831</v>
      </c>
    </row>
    <row r="27" spans="1:3" ht="14.25">
      <c r="A27" s="3317"/>
      <c r="B27" s="3321"/>
      <c r="C27" s="1158" t="s">
        <v>832</v>
      </c>
    </row>
    <row r="28" spans="1:3" ht="14.25">
      <c r="A28" s="3317"/>
      <c r="B28" s="3321"/>
      <c r="C28" s="1158" t="s">
        <v>833</v>
      </c>
    </row>
    <row r="29" spans="1:3" ht="14.25">
      <c r="A29" s="3317"/>
      <c r="B29" s="3321"/>
      <c r="C29" s="1158" t="s">
        <v>834</v>
      </c>
    </row>
    <row r="30" spans="1:3" ht="14.25">
      <c r="A30" s="3317"/>
      <c r="B30" s="3321"/>
      <c r="C30" s="1158" t="s">
        <v>835</v>
      </c>
    </row>
    <row r="31" spans="1:3" ht="14.25">
      <c r="A31" s="3317"/>
      <c r="B31" s="3321"/>
      <c r="C31" s="1158" t="s">
        <v>836</v>
      </c>
    </row>
    <row r="32" spans="1:3" ht="14.25">
      <c r="A32" s="3317"/>
      <c r="B32" s="3321"/>
      <c r="C32" s="1158" t="s">
        <v>1637</v>
      </c>
    </row>
    <row r="33" spans="1:3" ht="14.25">
      <c r="A33" s="3317"/>
      <c r="B33" s="3311" t="s">
        <v>1643</v>
      </c>
      <c r="C33" s="1158" t="s">
        <v>1638</v>
      </c>
    </row>
    <row r="34" spans="1:3" ht="14.25">
      <c r="A34" s="3317"/>
      <c r="B34" s="3312"/>
      <c r="C34" s="1163" t="s">
        <v>1639</v>
      </c>
    </row>
    <row r="35" spans="1:3" ht="14.25">
      <c r="A35" s="3317"/>
      <c r="B35" s="3312"/>
      <c r="C35" s="1164" t="s">
        <v>1640</v>
      </c>
    </row>
    <row r="36" spans="1:3" ht="14.25">
      <c r="A36" s="3317"/>
      <c r="B36" s="3312"/>
      <c r="C36" s="1164" t="s">
        <v>1641</v>
      </c>
    </row>
    <row r="37" spans="1:3" ht="14.25">
      <c r="A37" s="3317"/>
      <c r="B37" s="3313"/>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2907"/>
      <c r="B1" s="2907"/>
      <c r="C1" s="2907"/>
      <c r="D1" s="2907"/>
      <c r="E1" s="2907"/>
      <c r="F1" s="2907"/>
      <c r="G1" s="2907"/>
    </row>
    <row r="2" spans="1:7" ht="20.25" customHeight="1">
      <c r="A2" s="2908" t="s">
        <v>1898</v>
      </c>
      <c r="B2" s="2909">
        <f ca="1">TODAY()</f>
        <v>44272</v>
      </c>
      <c r="C2" s="2910" t="s">
        <v>1899</v>
      </c>
      <c r="D2" s="2910"/>
      <c r="E2" s="2907"/>
      <c r="F2" s="2907"/>
      <c r="G2" s="2907"/>
    </row>
    <row r="3" spans="1:7" ht="20.25" customHeight="1">
      <c r="A3" s="2931" t="s">
        <v>1900</v>
      </c>
      <c r="B3" s="2912" t="s">
        <v>1901</v>
      </c>
      <c r="C3" s="2913" t="s">
        <v>1902</v>
      </c>
      <c r="D3" s="2932" t="s">
        <v>1903</v>
      </c>
      <c r="E3" s="2912" t="s">
        <v>1904</v>
      </c>
      <c r="F3" s="2912" t="s">
        <v>1902</v>
      </c>
      <c r="G3" s="2907"/>
    </row>
    <row r="4" spans="1:7" ht="20.25" customHeight="1">
      <c r="A4" s="2912" t="s">
        <v>1905</v>
      </c>
      <c r="B4" s="2912">
        <f ca="1">IF(C4&lt;B2,"已过期",1119970066)</f>
        <v>1119970066</v>
      </c>
      <c r="C4" s="2915">
        <v>44876</v>
      </c>
      <c r="D4" s="2923" t="s">
        <v>1905</v>
      </c>
      <c r="E4" s="2912">
        <f ca="1">IF(F4&lt;B2,"已过期",96010014)</f>
        <v>96010014</v>
      </c>
      <c r="F4" s="2914">
        <v>47118</v>
      </c>
      <c r="G4" s="2907"/>
    </row>
    <row r="5" spans="1:7" ht="20.25" customHeight="1">
      <c r="A5" s="2912" t="s">
        <v>1906</v>
      </c>
      <c r="B5" s="2912">
        <f ca="1">IF(C5&lt;B2,"已过期",1119970111)</f>
        <v>1119970111</v>
      </c>
      <c r="C5" s="2915">
        <v>44876</v>
      </c>
      <c r="D5" s="2923" t="s">
        <v>1906</v>
      </c>
      <c r="E5" s="2912">
        <f ca="1">IF(F5&lt;B2,"已过期",94010078)</f>
        <v>94010078</v>
      </c>
      <c r="F5" s="2914">
        <v>46387</v>
      </c>
      <c r="G5" s="2907"/>
    </row>
    <row r="6" spans="1:7" ht="20.25" customHeight="1">
      <c r="A6" s="2912" t="s">
        <v>1907</v>
      </c>
      <c r="B6" s="2912">
        <f ca="1">IF(C6&lt;B2,"已过期",1120050019)</f>
        <v>1120050019</v>
      </c>
      <c r="C6" s="2915">
        <v>44395</v>
      </c>
      <c r="D6" s="2923" t="s">
        <v>1907</v>
      </c>
      <c r="E6" s="2912">
        <f ca="1">IF(F6&lt;B2,"已过期",2002110030)</f>
        <v>2002110030</v>
      </c>
      <c r="F6" s="2914">
        <v>46387</v>
      </c>
      <c r="G6" s="2907"/>
    </row>
    <row r="7" spans="1:7" ht="20.25" customHeight="1">
      <c r="A7" s="2912" t="s">
        <v>1908</v>
      </c>
      <c r="B7" s="2912">
        <f ca="1">IF(C7&lt;B2,"已过期",1120000080)</f>
        <v>1120000080</v>
      </c>
      <c r="C7" s="2915">
        <v>44876</v>
      </c>
      <c r="D7" s="2923" t="s">
        <v>1908</v>
      </c>
      <c r="E7" s="2912">
        <f ca="1">IF(F7&lt;B2,"已过期",2000110082)</f>
        <v>2000110082</v>
      </c>
      <c r="F7" s="2914">
        <v>46387</v>
      </c>
      <c r="G7" s="2907"/>
    </row>
    <row r="8" spans="1:7" ht="20.25" customHeight="1">
      <c r="A8" s="2912" t="s">
        <v>1909</v>
      </c>
      <c r="B8" s="2912">
        <f ca="1">IF(C8&lt;B2,"已过期",1419970001)</f>
        <v>1419970001</v>
      </c>
      <c r="C8" s="2915">
        <v>44899</v>
      </c>
      <c r="D8" s="2923" t="s">
        <v>1909</v>
      </c>
      <c r="E8" s="2912">
        <f ca="1">IF(F8&lt;B2,"已过期",2002110125)</f>
        <v>2002110125</v>
      </c>
      <c r="F8" s="2914">
        <v>47118</v>
      </c>
      <c r="G8" s="2907"/>
    </row>
    <row r="9" spans="1:7" ht="20.25" customHeight="1">
      <c r="A9" s="2912" t="s">
        <v>1910</v>
      </c>
      <c r="B9" s="2912">
        <f ca="1">IF(C9&lt;B2,"已过期",1120060040)</f>
        <v>1120060040</v>
      </c>
      <c r="C9" s="2915">
        <v>44554</v>
      </c>
      <c r="D9" s="2923" t="s">
        <v>1910</v>
      </c>
      <c r="E9" s="2912">
        <f ca="1">IF(F9&lt;B2,"已过期",2004110096)</f>
        <v>2004110096</v>
      </c>
      <c r="F9" s="2914">
        <v>47118</v>
      </c>
      <c r="G9" s="2907"/>
    </row>
    <row r="10" spans="1:7" ht="20.25" customHeight="1">
      <c r="A10" s="2912" t="s">
        <v>1911</v>
      </c>
      <c r="B10" s="2912">
        <f ca="1">IF(C10&lt;B2,"已过期",1120100036)</f>
        <v>1120100036</v>
      </c>
      <c r="C10" s="2915">
        <v>44675</v>
      </c>
      <c r="D10" s="2923" t="s">
        <v>1911</v>
      </c>
      <c r="E10" s="2912">
        <f ca="1">IF(F10&lt;B2,"已过期",2010110070)</f>
        <v>2010110070</v>
      </c>
      <c r="F10" s="2914">
        <v>47907</v>
      </c>
      <c r="G10" s="2907"/>
    </row>
    <row r="11" spans="1:7" ht="20.25" customHeight="1">
      <c r="A11" s="2912" t="s">
        <v>1912</v>
      </c>
      <c r="B11" s="2912">
        <f ca="1">IF(C11&lt;B2,"已过期",1120070131)</f>
        <v>1120070131</v>
      </c>
      <c r="C11" s="2915">
        <v>44849</v>
      </c>
      <c r="D11" s="2923" t="s">
        <v>1912</v>
      </c>
      <c r="E11" s="2912">
        <f ca="1">IF(F11&lt;B2,"已过期",2014110011)</f>
        <v>2014110011</v>
      </c>
      <c r="F11" s="2914">
        <v>49302</v>
      </c>
      <c r="G11" s="2907"/>
    </row>
    <row r="12" spans="1:7" ht="20.25" customHeight="1">
      <c r="A12" s="2912" t="s">
        <v>2912</v>
      </c>
      <c r="B12" s="2912">
        <f ca="1">IF(C12&lt;B2,"已过期",1120040230)</f>
        <v>1120040230</v>
      </c>
      <c r="C12" s="2915">
        <v>44864</v>
      </c>
      <c r="D12" s="2923" t="s">
        <v>2913</v>
      </c>
      <c r="E12" s="2912">
        <f ca="1">IF(F12&lt;B2,"已过期",98030020)</f>
        <v>98030020</v>
      </c>
      <c r="F12" s="2914">
        <v>47118</v>
      </c>
      <c r="G12" s="2907"/>
    </row>
    <row r="13" spans="1:7" ht="20.25" customHeight="1">
      <c r="A13" s="2912"/>
      <c r="B13" s="2912"/>
      <c r="C13" s="2915"/>
      <c r="D13" s="2923" t="s">
        <v>1913</v>
      </c>
      <c r="E13" s="2912">
        <f ca="1">IF(F13&lt;B2,"已过期",2011110090)</f>
        <v>2011110090</v>
      </c>
      <c r="F13" s="2914">
        <v>48302</v>
      </c>
      <c r="G13" s="2907"/>
    </row>
    <row r="14" spans="1:7" ht="20.25" customHeight="1">
      <c r="A14" s="2912" t="s">
        <v>1914</v>
      </c>
      <c r="B14" s="2912">
        <f ca="1">IF(C14&lt;B2,"已过期",1120020033)</f>
        <v>1120020033</v>
      </c>
      <c r="C14" s="2915">
        <v>44339</v>
      </c>
      <c r="D14" s="2923" t="s">
        <v>1914</v>
      </c>
      <c r="E14" s="2912">
        <f ca="1">IF(F14&lt;B2,"已过期",2000110137)</f>
        <v>2000110137</v>
      </c>
      <c r="F14" s="2914">
        <v>46387</v>
      </c>
      <c r="G14" s="2907"/>
    </row>
    <row r="15" spans="1:7" ht="20.25" customHeight="1">
      <c r="A15" s="2912" t="s">
        <v>2927</v>
      </c>
      <c r="B15" s="2912">
        <f ca="1">IF(C14&lt;B2,"已过期",1119980106)</f>
        <v>1119980106</v>
      </c>
      <c r="C15" s="2915">
        <v>44969</v>
      </c>
      <c r="D15" s="2923"/>
      <c r="E15" s="2912"/>
      <c r="F15" s="2912"/>
      <c r="G15" s="2907"/>
    </row>
    <row r="16" spans="1:7" s="2828" customFormat="1" ht="20.25" customHeight="1">
      <c r="A16" s="2911" t="s">
        <v>2039</v>
      </c>
      <c r="B16" s="2911" t="s">
        <v>2039</v>
      </c>
      <c r="C16" s="2915"/>
      <c r="D16" s="2924" t="s">
        <v>2039</v>
      </c>
      <c r="E16" s="2912" t="s">
        <v>2039</v>
      </c>
      <c r="F16" s="2914"/>
      <c r="G16" s="2916"/>
    </row>
    <row r="17" spans="1:7" ht="20.25" customHeight="1">
      <c r="A17" s="3325" t="s">
        <v>1915</v>
      </c>
      <c r="B17" s="3326"/>
      <c r="C17" s="3326"/>
      <c r="D17" s="3326"/>
      <c r="E17" s="3326"/>
      <c r="F17" s="3326"/>
      <c r="G17" s="2916"/>
    </row>
    <row r="18" spans="1:7" ht="20.25" customHeight="1">
      <c r="A18" s="3322" t="s">
        <v>1916</v>
      </c>
      <c r="B18" s="3322"/>
      <c r="C18" s="3323"/>
      <c r="D18" s="3324" t="s">
        <v>1917</v>
      </c>
      <c r="E18" s="3322"/>
      <c r="F18" s="3322"/>
      <c r="G18" s="2916"/>
    </row>
    <row r="19" spans="1:7" s="2826" customFormat="1" ht="20.25" customHeight="1">
      <c r="A19" s="2917" t="s">
        <v>1918</v>
      </c>
      <c r="B19" s="2918" t="s">
        <v>1919</v>
      </c>
      <c r="C19" s="2925" t="s">
        <v>1920</v>
      </c>
      <c r="D19" s="2923" t="s">
        <v>1918</v>
      </c>
      <c r="E19" s="2918" t="s">
        <v>1919</v>
      </c>
      <c r="F19" s="2918" t="s">
        <v>1920</v>
      </c>
      <c r="G19" s="2908"/>
    </row>
    <row r="20" spans="1:7" s="2826" customFormat="1" ht="20.25" customHeight="1">
      <c r="A20" s="2919" t="s">
        <v>1921</v>
      </c>
      <c r="B20" s="2919" t="s">
        <v>1922</v>
      </c>
      <c r="C20" s="2926">
        <v>44820</v>
      </c>
      <c r="D20" s="2928" t="s">
        <v>1923</v>
      </c>
      <c r="E20" s="2919" t="s">
        <v>1924</v>
      </c>
      <c r="F20" s="2920">
        <v>44377</v>
      </c>
      <c r="G20" s="2908"/>
    </row>
    <row r="21" spans="1:7" s="2826" customFormat="1" ht="20.25" customHeight="1">
      <c r="A21" s="2919"/>
      <c r="B21" s="2919"/>
      <c r="C21" s="2927"/>
      <c r="D21" s="2928" t="s">
        <v>1925</v>
      </c>
      <c r="E21" s="2919" t="s">
        <v>2926</v>
      </c>
      <c r="F21" s="2920">
        <v>44012</v>
      </c>
      <c r="G21" s="2908"/>
    </row>
    <row r="22" spans="1:7" ht="20.25" customHeight="1">
      <c r="A22" s="2907"/>
      <c r="B22" s="2907"/>
      <c r="C22" s="2921"/>
      <c r="D22" s="2929"/>
      <c r="E22" s="2930"/>
      <c r="F22" s="2922" t="s">
        <v>2940</v>
      </c>
      <c r="G22" s="290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Normal="100" workbookViewId="0">
      <selection activeCell="AB23" sqref="A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2524</v>
      </c>
      <c r="R1" s="2430" t="s">
        <v>2518</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8"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2892</v>
      </c>
      <c r="C18" s="1491"/>
    </row>
    <row r="19" spans="1:3">
      <c r="A19" s="8" t="s">
        <v>120</v>
      </c>
      <c r="B19" s="2789" t="s">
        <v>2895</v>
      </c>
      <c r="C19" s="1491"/>
    </row>
    <row r="20" spans="1:3">
      <c r="A20" s="8" t="s">
        <v>121</v>
      </c>
      <c r="B20" s="2789" t="s">
        <v>2941</v>
      </c>
      <c r="C20" s="1491"/>
    </row>
    <row r="21" spans="1:3">
      <c r="A21" s="8" t="s">
        <v>122</v>
      </c>
      <c r="B21" s="8" t="s">
        <v>3139</v>
      </c>
      <c r="C21" s="1491"/>
    </row>
    <row r="22" spans="1:3">
      <c r="A22" s="8" t="s">
        <v>123</v>
      </c>
      <c r="B22" s="8" t="s">
        <v>3140</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金谷创展置业有限责任公司拟使用北京市平谷区金海湖镇PG06-0100-6020、6021、6024地块3宗住宅、地下仓储、地下车库用地及PG06-0100-6019地块1宗商业、地下车库用地出让国有建设用地使用权作为抵押担保物，向建设银行总行北京分行城建支行办理贷款手续。建设银行总行北京分行城建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27"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c r="D53" s="1684"/>
      <c r="E53" s="1684"/>
    </row>
    <row r="54" spans="1:5">
      <c r="A54" s="3327"/>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27"/>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27"/>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27"/>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2035</v>
      </c>
      <c r="B58" s="1683"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A地块</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B地块</vt:lpstr>
      <vt:lpstr>价值汇总表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2021-03-17T10:28:34Z</dcterms:modified>
</cp:coreProperties>
</file>