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86135\Desktop\工作-康正\2022-1-0317延庆土地\"/>
    </mc:Choice>
  </mc:AlternateContent>
  <bookViews>
    <workbookView xWindow="0" yWindow="0" windowWidth="14880" windowHeight="11160"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指标" sheetId="71"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拆分结果" sheetId="72"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收益法-酒店模型" sheetId="68"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不动产收益法" sheetId="15" r:id="rId40"/>
    <sheet name="资料" sheetId="69" r:id="rId41"/>
    <sheet name="土地案例" sheetId="70"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9">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workbook>
</file>

<file path=xl/calcChain.xml><?xml version="1.0" encoding="utf-8"?>
<calcChain xmlns="http://schemas.openxmlformats.org/spreadsheetml/2006/main">
  <c r="C28" i="9" l="1"/>
  <c r="D119" i="39" l="1"/>
  <c r="E119" i="39" s="1"/>
  <c r="F119" i="39" s="1"/>
  <c r="K13" i="3"/>
  <c r="AN13" i="3"/>
  <c r="O6" i="72" l="1"/>
  <c r="O4" i="72"/>
  <c r="N7" i="72"/>
  <c r="N6" i="72"/>
  <c r="N8" i="72" s="1"/>
  <c r="N5" i="72"/>
  <c r="N4" i="72"/>
  <c r="B28" i="9"/>
  <c r="D28" i="9" s="1"/>
  <c r="U7" i="72" s="1"/>
  <c r="B27" i="9"/>
  <c r="B30" i="9" s="1"/>
  <c r="G52" i="71"/>
  <c r="O7" i="72" s="1"/>
  <c r="G51" i="71"/>
  <c r="G50" i="71"/>
  <c r="O5" i="72" s="1"/>
  <c r="G49" i="71"/>
  <c r="O60" i="39"/>
  <c r="O59" i="39"/>
  <c r="O58" i="39"/>
  <c r="O57" i="39"/>
  <c r="N59" i="39"/>
  <c r="N60" i="39"/>
  <c r="N58" i="39"/>
  <c r="N57" i="39"/>
  <c r="O8" i="72" l="1"/>
  <c r="S25" i="68"/>
  <c r="L12" i="68"/>
  <c r="L11" i="68"/>
  <c r="L10" i="68"/>
  <c r="O22" i="12" l="1"/>
  <c r="O17" i="12"/>
  <c r="T19" i="68" l="1"/>
  <c r="U13" i="68"/>
  <c r="W11" i="68"/>
  <c r="U12" i="68"/>
  <c r="W12" i="68" s="1"/>
  <c r="P11" i="68"/>
  <c r="P12" i="68" s="1"/>
  <c r="F51" i="71"/>
  <c r="F52" i="71"/>
  <c r="F50" i="71"/>
  <c r="W13" i="68" l="1"/>
  <c r="V13" i="68" s="1"/>
  <c r="D34" i="68"/>
  <c r="E34" i="68" s="1"/>
  <c r="G6" i="68"/>
  <c r="D36" i="68"/>
  <c r="C30" i="9" l="1"/>
  <c r="I13" i="3" l="1"/>
  <c r="O58" i="68" l="1"/>
  <c r="O53" i="68"/>
  <c r="O52" i="68"/>
  <c r="O51" i="68"/>
  <c r="S49" i="68"/>
  <c r="R49" i="68"/>
  <c r="Q49" i="68"/>
  <c r="G10" i="68" s="1"/>
  <c r="P49" i="68"/>
  <c r="R48" i="68"/>
  <c r="Q48" i="68"/>
  <c r="P48" i="68"/>
  <c r="O60" i="68" l="1"/>
  <c r="S53" i="68" s="1"/>
  <c r="R53" i="68" l="1"/>
  <c r="P52" i="68"/>
  <c r="P51" i="68"/>
  <c r="R58" i="68"/>
  <c r="S51" i="68"/>
  <c r="Q52" i="68"/>
  <c r="R52" i="68"/>
  <c r="P58" i="68"/>
  <c r="S58" i="68"/>
  <c r="R51" i="68"/>
  <c r="Q51" i="68"/>
  <c r="Q58" i="68"/>
  <c r="Q53" i="68"/>
  <c r="P53" i="68"/>
  <c r="S52" i="68"/>
  <c r="N10" i="68"/>
  <c r="M10" i="68"/>
  <c r="F10" i="4"/>
  <c r="C7" i="39" s="1"/>
  <c r="U53" i="68" l="1"/>
  <c r="S60" i="68"/>
  <c r="U51" i="68"/>
  <c r="U58" i="68"/>
  <c r="R60" i="68"/>
  <c r="Q60" i="68"/>
  <c r="U52" i="68"/>
  <c r="U60" i="68" s="1"/>
  <c r="U6" i="1" s="1"/>
  <c r="P60" i="68"/>
  <c r="G9" i="68" s="1"/>
  <c r="L9" i="71"/>
  <c r="K97" i="71"/>
  <c r="D33" i="1" s="1"/>
  <c r="M20" i="1"/>
  <c r="M21" i="1"/>
  <c r="M22" i="1" l="1"/>
  <c r="G76" i="69"/>
  <c r="A3" i="3" s="1"/>
  <c r="I48" i="39" l="1"/>
  <c r="G48" i="39"/>
  <c r="E48" i="39"/>
  <c r="I40" i="39"/>
  <c r="G40" i="39"/>
  <c r="E40" i="39"/>
  <c r="G126" i="39" l="1"/>
  <c r="F126" i="39"/>
  <c r="E126" i="39"/>
  <c r="D126" i="39"/>
  <c r="C126" i="39"/>
  <c r="G124" i="39"/>
  <c r="F124" i="39"/>
  <c r="E124" i="39"/>
  <c r="D124" i="39"/>
  <c r="C124" i="39"/>
  <c r="I13" i="39"/>
  <c r="G13" i="39"/>
  <c r="E13" i="39"/>
  <c r="N14" i="1"/>
  <c r="L14" i="1"/>
  <c r="B5" i="4" l="1"/>
  <c r="C11" i="4" s="1"/>
  <c r="D3" i="4"/>
  <c r="K14" i="71"/>
  <c r="K7" i="71"/>
  <c r="D72" i="39"/>
  <c r="E72" i="39" s="1"/>
  <c r="F72" i="39" s="1"/>
  <c r="G72" i="39" s="1"/>
  <c r="H72" i="39" s="1"/>
  <c r="I72" i="39" s="1"/>
  <c r="J72" i="39" s="1"/>
  <c r="I9" i="39"/>
  <c r="G9" i="39"/>
  <c r="E9" i="39"/>
  <c r="I7" i="39"/>
  <c r="G7" i="39"/>
  <c r="E7" i="39"/>
  <c r="B7" i="4" l="1"/>
  <c r="I73" i="69"/>
  <c r="I74" i="69" s="1"/>
  <c r="F17" i="4" s="1"/>
  <c r="H17" i="4" s="1"/>
  <c r="H73" i="69"/>
  <c r="H74" i="69" s="1"/>
  <c r="E17" i="4" s="1"/>
  <c r="F73" i="69"/>
  <c r="F74" i="69" s="1"/>
  <c r="B12" i="4" s="1"/>
  <c r="E73" i="69"/>
  <c r="E74" i="69" s="1"/>
  <c r="E75" i="69" s="1"/>
  <c r="C73" i="69"/>
  <c r="C74" i="69" s="1"/>
  <c r="C75" i="69" s="1"/>
  <c r="H75" i="69" l="1"/>
  <c r="F75" i="69"/>
  <c r="I75" i="69"/>
  <c r="C62" i="69"/>
  <c r="D62" i="69" s="1"/>
  <c r="A65" i="69"/>
  <c r="A64" i="69"/>
  <c r="B63" i="69"/>
  <c r="A63" i="69"/>
  <c r="B27" i="69"/>
  <c r="B47" i="69" s="1"/>
  <c r="B67" i="69" s="1"/>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R34" i="68"/>
  <c r="R33" i="68"/>
  <c r="C30" i="68"/>
  <c r="R27" i="68"/>
  <c r="M24" i="68"/>
  <c r="R23" i="68"/>
  <c r="R22" i="68"/>
  <c r="R21" i="68"/>
  <c r="N19" i="68"/>
  <c r="R18" i="68"/>
  <c r="R17" i="68"/>
  <c r="R16" i="68"/>
  <c r="M14" i="68"/>
  <c r="N14" i="68" s="1"/>
  <c r="R13" i="68"/>
  <c r="R12" i="68"/>
  <c r="R11" i="68"/>
  <c r="R10" i="68"/>
  <c r="R9" i="68"/>
  <c r="R8" i="68"/>
  <c r="R7" i="68"/>
  <c r="R4" i="68"/>
  <c r="R3" i="68"/>
  <c r="R14" i="68" l="1"/>
  <c r="R24" i="68"/>
  <c r="R19" i="68"/>
  <c r="R35" i="68"/>
  <c r="V34" i="68" s="1"/>
  <c r="F26" i="43"/>
  <c r="R25" i="68" l="1"/>
  <c r="R5" i="68"/>
  <c r="D6" i="68" s="1"/>
  <c r="AH10" i="59"/>
  <c r="AG10" i="59"/>
  <c r="AE10" i="59"/>
  <c r="AF10" i="59" s="1"/>
  <c r="AD10" i="59"/>
  <c r="Q10" i="59"/>
  <c r="P10" i="59"/>
  <c r="O10" i="59"/>
  <c r="N10" i="59"/>
  <c r="C23" i="68" l="1"/>
  <c r="D10" i="68"/>
  <c r="D18" i="68"/>
  <c r="D16" i="68"/>
  <c r="D15" i="68"/>
  <c r="D9" i="68"/>
  <c r="D17" i="68"/>
  <c r="V5" i="68"/>
  <c r="AH11" i="59"/>
  <c r="AG11" i="59"/>
  <c r="AE11" i="59"/>
  <c r="AF11" i="59" s="1"/>
  <c r="AD11" i="59"/>
  <c r="Q11" i="59"/>
  <c r="P11" i="59"/>
  <c r="O11" i="59"/>
  <c r="N11" i="59"/>
  <c r="D23" i="68" l="1"/>
  <c r="C29" i="68"/>
  <c r="E20" i="46"/>
  <c r="D29" i="68" l="1"/>
  <c r="E23" i="68"/>
  <c r="AH12" i="59"/>
  <c r="AG12" i="59"/>
  <c r="AE12" i="59"/>
  <c r="AF12" i="59" s="1"/>
  <c r="AD12" i="59"/>
  <c r="Q12" i="59"/>
  <c r="P12" i="59"/>
  <c r="O12" i="59"/>
  <c r="N12" i="59"/>
  <c r="E29" i="68" l="1"/>
  <c r="AH13" i="59"/>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E25" i="59"/>
  <c r="U25" i="59" s="1"/>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B41" i="63" s="1"/>
  <c r="A23" i="51"/>
  <c r="B17" i="63" s="1"/>
  <c r="Y12" i="46"/>
  <c r="AA9" i="46"/>
  <c r="AB9" i="46"/>
  <c r="AB10" i="46" s="1"/>
  <c r="AC9" i="46"/>
  <c r="AC10" i="46" s="1"/>
  <c r="AD9" i="46"/>
  <c r="AD10" i="46" s="1"/>
  <c r="AE9" i="46"/>
  <c r="AE12" i="46" s="1"/>
  <c r="AF9" i="46"/>
  <c r="AF10" i="46" s="1"/>
  <c r="AG9" i="46"/>
  <c r="AG10" i="46" s="1"/>
  <c r="AH9" i="46"/>
  <c r="AH10" i="46"/>
  <c r="AI9" i="46"/>
  <c r="AI10" i="46" s="1"/>
  <c r="AJ9" i="46"/>
  <c r="AJ10" i="46" s="1"/>
  <c r="Z9" i="46"/>
  <c r="Y10" i="46"/>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64"/>
  <c r="A26" i="51"/>
  <c r="B19" i="63" s="1"/>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29" i="59"/>
  <c r="F29" i="59" s="1"/>
  <c r="P29" i="59"/>
  <c r="O29" i="59"/>
  <c r="C29" i="59" s="1"/>
  <c r="N29" i="59"/>
  <c r="B29" i="59" s="1"/>
  <c r="D90" i="59"/>
  <c r="F89" i="59"/>
  <c r="F88" i="59" s="1"/>
  <c r="F87" i="59" s="1"/>
  <c r="E89" i="59"/>
  <c r="E88" i="59" s="1"/>
  <c r="E87" i="59" s="1"/>
  <c r="C89" i="59"/>
  <c r="C88" i="59" s="1"/>
  <c r="B89" i="59"/>
  <c r="B88" i="59"/>
  <c r="B87" i="59" s="1"/>
  <c r="D86" i="59"/>
  <c r="F85" i="59"/>
  <c r="F84" i="59" s="1"/>
  <c r="F83" i="59" s="1"/>
  <c r="E85" i="59"/>
  <c r="E84" i="59" s="1"/>
  <c r="E83" i="59" s="1"/>
  <c r="C85" i="59"/>
  <c r="D85" i="59" s="1"/>
  <c r="B85" i="59"/>
  <c r="B84" i="59" s="1"/>
  <c r="B83" i="59" s="1"/>
  <c r="D82" i="59"/>
  <c r="Q81" i="59"/>
  <c r="P81" i="59"/>
  <c r="O81" i="59"/>
  <c r="N81" i="59"/>
  <c r="F81" i="59"/>
  <c r="F80" i="59" s="1"/>
  <c r="F79" i="59" s="1"/>
  <c r="E81" i="59"/>
  <c r="E80" i="59" s="1"/>
  <c r="E79" i="59" s="1"/>
  <c r="C81" i="59"/>
  <c r="T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B77" i="59"/>
  <c r="B76" i="59" s="1"/>
  <c r="B75" i="59" s="1"/>
  <c r="Q76" i="59"/>
  <c r="P76" i="59"/>
  <c r="O76" i="59"/>
  <c r="N76" i="59"/>
  <c r="Q75" i="59"/>
  <c r="P75" i="59"/>
  <c r="O75" i="59"/>
  <c r="N75" i="59"/>
  <c r="Q74" i="59"/>
  <c r="P74" i="59"/>
  <c r="O74" i="59"/>
  <c r="N74" i="59"/>
  <c r="D74" i="59"/>
  <c r="Q73" i="59"/>
  <c r="P73" i="59"/>
  <c r="O73" i="59"/>
  <c r="N73" i="59"/>
  <c r="F73" i="59"/>
  <c r="F72" i="59" s="1"/>
  <c r="F71" i="59" s="1"/>
  <c r="E73" i="59"/>
  <c r="U73" i="59" s="1"/>
  <c r="C73" i="59"/>
  <c r="T73" i="59"/>
  <c r="B73" i="59"/>
  <c r="B72" i="59" s="1"/>
  <c r="B71" i="59" s="1"/>
  <c r="Q72" i="59"/>
  <c r="P72" i="59"/>
  <c r="O72" i="59"/>
  <c r="N72" i="59"/>
  <c r="Q71" i="59"/>
  <c r="P71" i="59"/>
  <c r="O71" i="59"/>
  <c r="N71" i="59"/>
  <c r="Q70" i="59"/>
  <c r="P70" i="59"/>
  <c r="O70" i="59"/>
  <c r="N70" i="59"/>
  <c r="D70" i="59"/>
  <c r="F69" i="59"/>
  <c r="V69" i="59" s="1"/>
  <c r="E69" i="59"/>
  <c r="E68" i="59" s="1"/>
  <c r="C69" i="59"/>
  <c r="D69" i="59" s="1"/>
  <c r="B69" i="59"/>
  <c r="D66" i="59"/>
  <c r="Q65" i="59"/>
  <c r="P65" i="59"/>
  <c r="O65" i="59"/>
  <c r="N65" i="59"/>
  <c r="Q64" i="59"/>
  <c r="P64" i="59"/>
  <c r="O64" i="59"/>
  <c r="N64" i="59"/>
  <c r="Q63" i="59"/>
  <c r="P63" i="59"/>
  <c r="O63" i="59"/>
  <c r="N63" i="59"/>
  <c r="Q62" i="59"/>
  <c r="F63"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P54" i="59"/>
  <c r="E55" i="59" s="1"/>
  <c r="O54" i="59"/>
  <c r="C55" i="59" s="1"/>
  <c r="N54" i="59"/>
  <c r="B55" i="59" s="1"/>
  <c r="B56" i="59" s="1"/>
  <c r="D54" i="59"/>
  <c r="Q53" i="59"/>
  <c r="P53" i="59"/>
  <c r="O53" i="59"/>
  <c r="N53" i="59"/>
  <c r="Q52" i="59"/>
  <c r="P52" i="59"/>
  <c r="O52" i="59"/>
  <c r="N52" i="59"/>
  <c r="Q51" i="59"/>
  <c r="P51" i="59"/>
  <c r="O51" i="59"/>
  <c r="N51" i="59"/>
  <c r="Q50" i="59"/>
  <c r="F51" i="59" s="1"/>
  <c r="P50" i="59"/>
  <c r="E51" i="59"/>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O42" i="59"/>
  <c r="C43" i="59" s="1"/>
  <c r="N42" i="59"/>
  <c r="B43" i="59" s="1"/>
  <c r="D42" i="59"/>
  <c r="Q41" i="59"/>
  <c r="P41" i="59"/>
  <c r="O41" i="59"/>
  <c r="N41" i="59"/>
  <c r="Q40" i="59"/>
  <c r="AB40" i="59" s="1"/>
  <c r="P40" i="59"/>
  <c r="O40" i="59"/>
  <c r="N40" i="59"/>
  <c r="X40" i="59" s="1"/>
  <c r="Q39" i="59"/>
  <c r="P39" i="59"/>
  <c r="O39" i="59"/>
  <c r="N39" i="59"/>
  <c r="Q38" i="59"/>
  <c r="P38" i="59"/>
  <c r="E39" i="59" s="1"/>
  <c r="E40" i="59" s="1"/>
  <c r="E41" i="59" s="1"/>
  <c r="U41" i="59" s="1"/>
  <c r="O38" i="59"/>
  <c r="N38" i="59"/>
  <c r="B39" i="59" s="1"/>
  <c r="B40" i="59" s="1"/>
  <c r="B41" i="59" s="1"/>
  <c r="S41" i="59" s="1"/>
  <c r="D38" i="59"/>
  <c r="Q37" i="59"/>
  <c r="P37" i="59"/>
  <c r="AA37" i="59" s="1"/>
  <c r="O37" i="59"/>
  <c r="N37" i="59"/>
  <c r="Q36" i="59"/>
  <c r="P36" i="59"/>
  <c r="O36" i="59"/>
  <c r="N36" i="59"/>
  <c r="Q35" i="59"/>
  <c r="P35" i="59"/>
  <c r="O35" i="59"/>
  <c r="N35" i="59"/>
  <c r="Q34" i="59"/>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O30" i="59"/>
  <c r="C31" i="59"/>
  <c r="D31" i="59" s="1"/>
  <c r="N30" i="59"/>
  <c r="D30" i="59"/>
  <c r="E31" i="59"/>
  <c r="D35" i="59"/>
  <c r="P69" i="59"/>
  <c r="C72" i="59"/>
  <c r="D72" i="59" s="1"/>
  <c r="D73" i="59"/>
  <c r="C76" i="59"/>
  <c r="E76" i="59"/>
  <c r="E75" i="59" s="1"/>
  <c r="D81" i="59"/>
  <c r="C84" i="59"/>
  <c r="D84" i="59" s="1"/>
  <c r="U16" i="4"/>
  <c r="S16" i="4"/>
  <c r="T16" i="4" s="1"/>
  <c r="Q16" i="4"/>
  <c r="O16" i="4"/>
  <c r="M16" i="4"/>
  <c r="K16" i="4"/>
  <c r="C71" i="59"/>
  <c r="D71" i="59" s="1"/>
  <c r="O27" i="6"/>
  <c r="N27" i="6"/>
  <c r="P26" i="6"/>
  <c r="L26" i="6"/>
  <c r="P25" i="6"/>
  <c r="L25" i="6"/>
  <c r="P24" i="6"/>
  <c r="L24" i="6"/>
  <c r="P23" i="6"/>
  <c r="L23" i="6"/>
  <c r="P22" i="6"/>
  <c r="L22" i="6"/>
  <c r="P21" i="6"/>
  <c r="L21" i="6"/>
  <c r="P20" i="6"/>
  <c r="P19" i="6"/>
  <c r="Q18" i="36"/>
  <c r="Z18" i="36" s="1"/>
  <c r="C18" i="36"/>
  <c r="D66" i="36"/>
  <c r="E66" i="36" s="1"/>
  <c r="F18" i="36"/>
  <c r="S18" i="36" s="1"/>
  <c r="Q18" i="35"/>
  <c r="Z18" i="35" s="1"/>
  <c r="F18" i="35"/>
  <c r="AA18" i="35" s="1"/>
  <c r="C18" i="35"/>
  <c r="D68" i="35"/>
  <c r="E68" i="35" s="1"/>
  <c r="F68" i="35" s="1"/>
  <c r="G68" i="35" s="1"/>
  <c r="Q21" i="37"/>
  <c r="Z21" i="37" s="1"/>
  <c r="F21" i="37"/>
  <c r="AA21" i="37" s="1"/>
  <c r="C21" i="37"/>
  <c r="E77" i="37"/>
  <c r="F77" i="37" s="1"/>
  <c r="G77" i="37" s="1"/>
  <c r="D77" i="37"/>
  <c r="Q21" i="34"/>
  <c r="Z21" i="34" s="1"/>
  <c r="C21" i="34"/>
  <c r="D84" i="34"/>
  <c r="E84" i="34" s="1"/>
  <c r="F84" i="34" s="1"/>
  <c r="G84" i="34" s="1"/>
  <c r="F21" i="34"/>
  <c r="S21" i="34" s="1"/>
  <c r="Q21" i="33"/>
  <c r="Z21" i="33" s="1"/>
  <c r="C21" i="33"/>
  <c r="D83" i="33"/>
  <c r="E83" i="33" s="1"/>
  <c r="F83" i="33" s="1"/>
  <c r="G83" i="33" s="1"/>
  <c r="Z21" i="21"/>
  <c r="Q21" i="21"/>
  <c r="D83" i="21"/>
  <c r="E83" i="21" s="1"/>
  <c r="F83" i="21" s="1"/>
  <c r="G83" i="21" s="1"/>
  <c r="F21" i="21"/>
  <c r="C21" i="21"/>
  <c r="Q27" i="40"/>
  <c r="Z27" i="40" s="1"/>
  <c r="D95" i="40"/>
  <c r="E95" i="40" s="1"/>
  <c r="F95" i="40" s="1"/>
  <c r="F27" i="40"/>
  <c r="AA27" i="40" s="1"/>
  <c r="Q31" i="39"/>
  <c r="Z31" i="39" s="1"/>
  <c r="D104" i="39"/>
  <c r="E104" i="39" s="1"/>
  <c r="F104" i="39" s="1"/>
  <c r="G104" i="39" s="1"/>
  <c r="F31" i="39"/>
  <c r="AA31" i="39" s="1"/>
  <c r="G20" i="20"/>
  <c r="C27" i="40" s="1"/>
  <c r="C22" i="20"/>
  <c r="B65" i="46" s="1"/>
  <c r="B5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s="1"/>
  <c r="M84" i="46"/>
  <c r="N84" i="46" s="1"/>
  <c r="K84" i="46"/>
  <c r="J84" i="46" s="1"/>
  <c r="M83" i="46"/>
  <c r="N83" i="46"/>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c r="D53" i="46"/>
  <c r="M52" i="46"/>
  <c r="N52" i="46"/>
  <c r="K52" i="46"/>
  <c r="J52" i="46"/>
  <c r="D52" i="46"/>
  <c r="M51" i="46"/>
  <c r="N51" i="46"/>
  <c r="K51" i="46"/>
  <c r="J51" i="46" s="1"/>
  <c r="M50" i="46"/>
  <c r="N50" i="46" s="1"/>
  <c r="M49" i="46"/>
  <c r="N49" i="46" s="1"/>
  <c r="K49" i="46"/>
  <c r="J49" i="46" s="1"/>
  <c r="D49" i="46"/>
  <c r="M48" i="46"/>
  <c r="N48" i="46" s="1"/>
  <c r="K48" i="46"/>
  <c r="J48" i="46" s="1"/>
  <c r="D48" i="46"/>
  <c r="M47" i="46"/>
  <c r="N47" i="46"/>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L100" i="3" s="1"/>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L30" i="3" s="1"/>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A474" i="3" s="1"/>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S125" i="31" s="1"/>
  <c r="R126" i="31"/>
  <c r="S126" i="31" s="1"/>
  <c r="R127" i="31"/>
  <c r="R128" i="31"/>
  <c r="S128" i="31" s="1"/>
  <c r="R129" i="31"/>
  <c r="R130" i="31"/>
  <c r="S130" i="31"/>
  <c r="R131" i="31"/>
  <c r="R132" i="31"/>
  <c r="S132" i="31" s="1"/>
  <c r="R133" i="31"/>
  <c r="R134" i="31"/>
  <c r="S134" i="31" s="1"/>
  <c r="R135" i="31"/>
  <c r="R136" i="31"/>
  <c r="S136" i="31"/>
  <c r="R137" i="31"/>
  <c r="R138" i="31"/>
  <c r="S138" i="31" s="1"/>
  <c r="R139" i="31"/>
  <c r="S139" i="31" s="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S209" i="31" s="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S230" i="31" s="1"/>
  <c r="R231" i="31"/>
  <c r="R232" i="31"/>
  <c r="R233" i="31"/>
  <c r="R234" i="31"/>
  <c r="R235" i="31"/>
  <c r="R236" i="31"/>
  <c r="R237" i="31"/>
  <c r="R238" i="31"/>
  <c r="S238" i="31" s="1"/>
  <c r="R239" i="31"/>
  <c r="R240" i="31"/>
  <c r="R241" i="31"/>
  <c r="R242" i="31"/>
  <c r="R243" i="31"/>
  <c r="R244" i="31"/>
  <c r="R245" i="31"/>
  <c r="R246" i="31"/>
  <c r="S246" i="31" s="1"/>
  <c r="R247" i="31"/>
  <c r="R248" i="31"/>
  <c r="R249" i="31"/>
  <c r="R250" i="31"/>
  <c r="R251" i="31"/>
  <c r="R252" i="31"/>
  <c r="R253" i="31"/>
  <c r="R254" i="31"/>
  <c r="S254" i="31" s="1"/>
  <c r="R255" i="31"/>
  <c r="R256" i="31"/>
  <c r="R257" i="31"/>
  <c r="R258" i="31"/>
  <c r="R259" i="31"/>
  <c r="R260" i="31"/>
  <c r="R261" i="31"/>
  <c r="R262" i="31"/>
  <c r="S262" i="31" s="1"/>
  <c r="R263" i="31"/>
  <c r="R264" i="31"/>
  <c r="R265" i="31"/>
  <c r="R266" i="31"/>
  <c r="R267" i="31"/>
  <c r="R268" i="31"/>
  <c r="R269" i="31"/>
  <c r="R270" i="31"/>
  <c r="S270" i="31" s="1"/>
  <c r="R271" i="31"/>
  <c r="R272" i="31"/>
  <c r="R273" i="31"/>
  <c r="R274" i="31"/>
  <c r="R275" i="31"/>
  <c r="R276" i="31"/>
  <c r="R277" i="31"/>
  <c r="R278" i="31"/>
  <c r="S278" i="31" s="1"/>
  <c r="R279" i="31"/>
  <c r="R280" i="31"/>
  <c r="R281" i="31"/>
  <c r="R282" i="31"/>
  <c r="R283" i="31"/>
  <c r="R284" i="31"/>
  <c r="R285" i="31"/>
  <c r="R286" i="31"/>
  <c r="S286" i="31" s="1"/>
  <c r="R287" i="31"/>
  <c r="R288" i="31"/>
  <c r="R289" i="31"/>
  <c r="R290" i="31"/>
  <c r="R291" i="31"/>
  <c r="R292" i="31"/>
  <c r="R293" i="31"/>
  <c r="R294" i="31"/>
  <c r="S294" i="31" s="1"/>
  <c r="R295" i="31"/>
  <c r="R296" i="31"/>
  <c r="R297" i="31"/>
  <c r="R298" i="31"/>
  <c r="R299" i="31"/>
  <c r="R300" i="31"/>
  <c r="R301" i="31"/>
  <c r="R302" i="31"/>
  <c r="S302" i="31" s="1"/>
  <c r="R303" i="31"/>
  <c r="R304" i="31"/>
  <c r="R305" i="31"/>
  <c r="R306" i="31"/>
  <c r="R307" i="31"/>
  <c r="R308" i="31"/>
  <c r="R309" i="31"/>
  <c r="R310" i="31"/>
  <c r="S310" i="31" s="1"/>
  <c r="R311" i="31"/>
  <c r="R312" i="31"/>
  <c r="R313" i="31"/>
  <c r="R314" i="31"/>
  <c r="R315" i="31"/>
  <c r="R316" i="31"/>
  <c r="R317" i="31"/>
  <c r="R318" i="31"/>
  <c r="S318" i="31" s="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S429" i="31" s="1"/>
  <c r="R430" i="31"/>
  <c r="S430" i="31" s="1"/>
  <c r="R431" i="31"/>
  <c r="R432" i="31"/>
  <c r="S432" i="31" s="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S449" i="31" s="1"/>
  <c r="R450" i="31"/>
  <c r="S450" i="31" s="1"/>
  <c r="R451" i="31"/>
  <c r="R452" i="31"/>
  <c r="S452" i="31" s="1"/>
  <c r="R453" i="31"/>
  <c r="R454" i="31"/>
  <c r="S454" i="31" s="1"/>
  <c r="R455" i="31"/>
  <c r="R456" i="31"/>
  <c r="S456" i="31" s="1"/>
  <c r="R457" i="31"/>
  <c r="S457" i="31" s="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32" i="6"/>
  <c r="E20" i="6"/>
  <c r="E21" i="6"/>
  <c r="K8" i="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7" i="31"/>
  <c r="S316" i="31"/>
  <c r="S315" i="31"/>
  <c r="S314" i="31"/>
  <c r="S313" i="31"/>
  <c r="S312" i="31"/>
  <c r="S311" i="31"/>
  <c r="S309" i="31"/>
  <c r="S308" i="31"/>
  <c r="S307" i="31"/>
  <c r="S306" i="31"/>
  <c r="S305" i="31"/>
  <c r="S304" i="31"/>
  <c r="S303" i="31"/>
  <c r="S301" i="31"/>
  <c r="S300" i="31"/>
  <c r="S299" i="31"/>
  <c r="S298" i="31"/>
  <c r="S297" i="31"/>
  <c r="S296" i="31"/>
  <c r="S295" i="31"/>
  <c r="S293" i="31"/>
  <c r="S292" i="31"/>
  <c r="S291" i="31"/>
  <c r="S290" i="31"/>
  <c r="S289" i="31"/>
  <c r="S288" i="31"/>
  <c r="S287" i="31"/>
  <c r="S285" i="31"/>
  <c r="S284" i="31"/>
  <c r="S283" i="31"/>
  <c r="S282" i="31"/>
  <c r="S281" i="31"/>
  <c r="S280" i="31"/>
  <c r="S279" i="31"/>
  <c r="S277" i="31"/>
  <c r="S276" i="31"/>
  <c r="S275" i="31"/>
  <c r="S274" i="31"/>
  <c r="S273" i="31"/>
  <c r="S272" i="31"/>
  <c r="S271" i="31"/>
  <c r="S269" i="31"/>
  <c r="S268" i="31"/>
  <c r="S267" i="31"/>
  <c r="S266" i="31"/>
  <c r="S265" i="31"/>
  <c r="S264" i="31"/>
  <c r="S263" i="31"/>
  <c r="S261" i="31"/>
  <c r="S260" i="31"/>
  <c r="S259" i="31"/>
  <c r="S258" i="31"/>
  <c r="S257" i="31"/>
  <c r="S256" i="31"/>
  <c r="S255" i="31"/>
  <c r="S253" i="31"/>
  <c r="S252" i="31"/>
  <c r="S251" i="31"/>
  <c r="S250" i="31"/>
  <c r="S249" i="31"/>
  <c r="S248" i="31"/>
  <c r="S247" i="31"/>
  <c r="S245" i="31"/>
  <c r="S244" i="31"/>
  <c r="S243" i="31"/>
  <c r="S242" i="31"/>
  <c r="S241" i="31"/>
  <c r="S240" i="31"/>
  <c r="S239" i="31"/>
  <c r="S237" i="31"/>
  <c r="S236" i="31"/>
  <c r="S235" i="31"/>
  <c r="S234" i="31"/>
  <c r="S233" i="31"/>
  <c r="S232" i="31"/>
  <c r="S231" i="31"/>
  <c r="S229" i="31"/>
  <c r="S228" i="31"/>
  <c r="S227" i="31"/>
  <c r="S226" i="31"/>
  <c r="S225" i="31"/>
  <c r="S224" i="31"/>
  <c r="S223" i="31"/>
  <c r="S427" i="31"/>
  <c r="S425" i="31"/>
  <c r="S221" i="31"/>
  <c r="S219" i="31"/>
  <c r="S217" i="31"/>
  <c r="S215" i="31"/>
  <c r="S213" i="31"/>
  <c r="S211" i="31"/>
  <c r="S207" i="31"/>
  <c r="S205" i="31"/>
  <c r="S203" i="31"/>
  <c r="S201" i="31"/>
  <c r="S199" i="31"/>
  <c r="S197" i="31"/>
  <c r="S195" i="31"/>
  <c r="S193" i="31"/>
  <c r="S191" i="31"/>
  <c r="S189"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7" i="31"/>
  <c r="S135" i="31"/>
  <c r="S133" i="31"/>
  <c r="S131" i="31"/>
  <c r="S129" i="31"/>
  <c r="S127"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22" i="31" s="1"/>
  <c r="B20" i="31" s="1"/>
  <c r="S117" i="31"/>
  <c r="S115" i="31"/>
  <c r="S113" i="31"/>
  <c r="S467" i="31"/>
  <c r="S465" i="31"/>
  <c r="S463" i="31"/>
  <c r="S461" i="31"/>
  <c r="S459"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507" i="31"/>
  <c r="S509" i="31"/>
  <c r="S511" i="31"/>
  <c r="S513" i="31"/>
  <c r="B52" i="1"/>
  <c r="F34" i="15" s="1"/>
  <c r="I48" i="37"/>
  <c r="J48" i="37" s="1"/>
  <c r="G48" i="37"/>
  <c r="H48" i="37"/>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A505" i="3" s="1"/>
  <c r="BG505" i="3"/>
  <c r="BH505" i="3"/>
  <c r="BI505" i="3"/>
  <c r="BJ505" i="3"/>
  <c r="BK505" i="3"/>
  <c r="BM505" i="3"/>
  <c r="BN505" i="3"/>
  <c r="BO505" i="3"/>
  <c r="BL505" i="3" s="1"/>
  <c r="AZ505" i="3" s="1"/>
  <c r="BP505" i="3"/>
  <c r="BQ505" i="3"/>
  <c r="BR505" i="3"/>
  <c r="BS505" i="3"/>
  <c r="BT505" i="3"/>
  <c r="H506" i="3"/>
  <c r="BB506" i="3"/>
  <c r="BC506" i="3"/>
  <c r="BA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L507" i="3" s="1"/>
  <c r="BR507" i="3"/>
  <c r="BS507" i="3"/>
  <c r="BT507" i="3"/>
  <c r="H508" i="3"/>
  <c r="AC508" i="3"/>
  <c r="BB508" i="3"/>
  <c r="BC508" i="3"/>
  <c r="BD508" i="3"/>
  <c r="BA508" i="3" s="1"/>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A509" i="3" s="1"/>
  <c r="BJ509" i="3"/>
  <c r="BK509" i="3"/>
  <c r="BM509" i="3"/>
  <c r="BN509" i="3"/>
  <c r="BO509" i="3"/>
  <c r="BP509" i="3"/>
  <c r="BQ509" i="3"/>
  <c r="BR509" i="3"/>
  <c r="BL509" i="3" s="1"/>
  <c r="AZ509" i="3" s="1"/>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L511" i="3" s="1"/>
  <c r="BT511" i="3"/>
  <c r="H512" i="3"/>
  <c r="G512" i="3" s="1"/>
  <c r="AC512" i="3"/>
  <c r="BB512" i="3"/>
  <c r="BC512" i="3"/>
  <c r="BD512" i="3"/>
  <c r="BE512" i="3"/>
  <c r="BA512" i="3" s="1"/>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L513" i="3" s="1"/>
  <c r="BT513" i="3"/>
  <c r="H514" i="3"/>
  <c r="AC514" i="3"/>
  <c r="BB514" i="3"/>
  <c r="BC514" i="3"/>
  <c r="BD514" i="3"/>
  <c r="BE514" i="3"/>
  <c r="BF514" i="3"/>
  <c r="BA514" i="3" s="1"/>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A516" i="3" s="1"/>
  <c r="BH516" i="3"/>
  <c r="BI516" i="3"/>
  <c r="BJ516" i="3"/>
  <c r="BK516" i="3"/>
  <c r="BM516" i="3"/>
  <c r="BN516" i="3"/>
  <c r="BO516" i="3"/>
  <c r="BP516" i="3"/>
  <c r="BR516" i="3"/>
  <c r="BS516" i="3"/>
  <c r="BT516" i="3"/>
  <c r="H517" i="3"/>
  <c r="AC517" i="3"/>
  <c r="BB517" i="3"/>
  <c r="BC517" i="3"/>
  <c r="BD517" i="3"/>
  <c r="BA517" i="3" s="1"/>
  <c r="BE517" i="3"/>
  <c r="BF517" i="3"/>
  <c r="BG517" i="3"/>
  <c r="BH517" i="3"/>
  <c r="BI517" i="3"/>
  <c r="BJ517" i="3"/>
  <c r="BK517" i="3"/>
  <c r="BM517" i="3"/>
  <c r="BL517" i="3" s="1"/>
  <c r="BN517" i="3"/>
  <c r="BO517" i="3"/>
  <c r="BP517" i="3"/>
  <c r="BQ517" i="3"/>
  <c r="BR517" i="3"/>
  <c r="BS517" i="3"/>
  <c r="BT517" i="3"/>
  <c r="H518" i="3"/>
  <c r="AC518" i="3"/>
  <c r="BB518" i="3"/>
  <c r="BC518" i="3"/>
  <c r="BD518" i="3"/>
  <c r="BE518" i="3"/>
  <c r="BF518" i="3"/>
  <c r="BG518" i="3"/>
  <c r="BH518" i="3"/>
  <c r="BA518" i="3" s="1"/>
  <c r="BI518" i="3"/>
  <c r="BJ518" i="3"/>
  <c r="BK518" i="3"/>
  <c r="BM518" i="3"/>
  <c r="BN518" i="3"/>
  <c r="BO518" i="3"/>
  <c r="BP518" i="3"/>
  <c r="BR518" i="3"/>
  <c r="BS518" i="3"/>
  <c r="BT518" i="3"/>
  <c r="H519" i="3"/>
  <c r="AC519" i="3"/>
  <c r="BB519" i="3"/>
  <c r="BC519" i="3"/>
  <c r="BD519" i="3"/>
  <c r="BE519" i="3"/>
  <c r="BA519" i="3" s="1"/>
  <c r="BF519" i="3"/>
  <c r="BG519" i="3"/>
  <c r="BH519" i="3"/>
  <c r="BI519" i="3"/>
  <c r="BJ519" i="3"/>
  <c r="BK519" i="3"/>
  <c r="BM519" i="3"/>
  <c r="BN519" i="3"/>
  <c r="BL519" i="3" s="1"/>
  <c r="BO519" i="3"/>
  <c r="BP519" i="3"/>
  <c r="BQ519" i="3"/>
  <c r="BR519" i="3"/>
  <c r="BS519" i="3"/>
  <c r="BT519" i="3"/>
  <c r="H520" i="3"/>
  <c r="AC520" i="3"/>
  <c r="G520" i="3" s="1"/>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L521" i="3" s="1"/>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A523" i="3" s="1"/>
  <c r="BH523" i="3"/>
  <c r="BI523" i="3"/>
  <c r="BJ523" i="3"/>
  <c r="BK523" i="3"/>
  <c r="BM523" i="3"/>
  <c r="BN523" i="3"/>
  <c r="BO523" i="3"/>
  <c r="BP523" i="3"/>
  <c r="BL523" i="3" s="1"/>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A525" i="3" s="1"/>
  <c r="BI525" i="3"/>
  <c r="BJ525" i="3"/>
  <c r="BK525" i="3"/>
  <c r="BM525" i="3"/>
  <c r="BN525" i="3"/>
  <c r="BO525" i="3"/>
  <c r="BP525" i="3"/>
  <c r="BQ525" i="3"/>
  <c r="BR525" i="3"/>
  <c r="BS525" i="3"/>
  <c r="BT525" i="3"/>
  <c r="H526" i="3"/>
  <c r="AC526" i="3"/>
  <c r="BB526" i="3"/>
  <c r="BC526" i="3"/>
  <c r="BD526" i="3"/>
  <c r="BA526" i="3" s="1"/>
  <c r="BE526" i="3"/>
  <c r="BF526" i="3"/>
  <c r="BG526" i="3"/>
  <c r="BH526" i="3"/>
  <c r="BI526" i="3"/>
  <c r="BJ526" i="3"/>
  <c r="BK526" i="3"/>
  <c r="BM526" i="3"/>
  <c r="BN526" i="3"/>
  <c r="BO526" i="3"/>
  <c r="BP526" i="3"/>
  <c r="BR526" i="3"/>
  <c r="BS526" i="3"/>
  <c r="BT526" i="3"/>
  <c r="H527" i="3"/>
  <c r="AC527" i="3"/>
  <c r="G527" i="3" s="1"/>
  <c r="BB527" i="3"/>
  <c r="BA527" i="3" s="1"/>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A530" i="3" s="1"/>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BL531" i="3" s="1"/>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A533" i="3" s="1"/>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A534" i="3" s="1"/>
  <c r="BI534" i="3"/>
  <c r="BJ534" i="3"/>
  <c r="BK534" i="3"/>
  <c r="BM534" i="3"/>
  <c r="BN534" i="3"/>
  <c r="BO534" i="3"/>
  <c r="BP534" i="3"/>
  <c r="BR534" i="3"/>
  <c r="BS534" i="3"/>
  <c r="BT534" i="3"/>
  <c r="H535" i="3"/>
  <c r="AC535" i="3"/>
  <c r="BB535" i="3"/>
  <c r="BC535" i="3"/>
  <c r="BD535" i="3"/>
  <c r="BE535" i="3"/>
  <c r="BA535" i="3" s="1"/>
  <c r="BF535" i="3"/>
  <c r="BG535" i="3"/>
  <c r="BH535" i="3"/>
  <c r="BI535" i="3"/>
  <c r="BJ535" i="3"/>
  <c r="BK535" i="3"/>
  <c r="BM535" i="3"/>
  <c r="BN535" i="3"/>
  <c r="BL535" i="3" s="1"/>
  <c r="BO535" i="3"/>
  <c r="BP535" i="3"/>
  <c r="BQ535" i="3"/>
  <c r="BR535" i="3"/>
  <c r="BS535" i="3"/>
  <c r="BT535" i="3"/>
  <c r="H536" i="3"/>
  <c r="G536" i="3"/>
  <c r="AC536" i="3"/>
  <c r="BB536" i="3"/>
  <c r="BC536" i="3"/>
  <c r="BD536" i="3"/>
  <c r="BE536" i="3"/>
  <c r="BF536" i="3"/>
  <c r="BG536" i="3"/>
  <c r="BH536" i="3"/>
  <c r="BA536" i="3" s="1"/>
  <c r="BI536" i="3"/>
  <c r="BJ536" i="3"/>
  <c r="BK536" i="3"/>
  <c r="BM536" i="3"/>
  <c r="BN536" i="3"/>
  <c r="BO536" i="3"/>
  <c r="BP536" i="3"/>
  <c r="BR536" i="3"/>
  <c r="BS536" i="3"/>
  <c r="BT536" i="3"/>
  <c r="H537" i="3"/>
  <c r="AC537" i="3"/>
  <c r="BB537" i="3"/>
  <c r="BC537" i="3"/>
  <c r="BD537" i="3"/>
  <c r="BE537" i="3"/>
  <c r="BA537" i="3" s="1"/>
  <c r="BF537" i="3"/>
  <c r="BG537" i="3"/>
  <c r="BH537" i="3"/>
  <c r="BI537" i="3"/>
  <c r="BJ537" i="3"/>
  <c r="BK537" i="3"/>
  <c r="BM537" i="3"/>
  <c r="BN537" i="3"/>
  <c r="BL537" i="3" s="1"/>
  <c r="BO537" i="3"/>
  <c r="BP537" i="3"/>
  <c r="BQ537" i="3"/>
  <c r="BR537" i="3"/>
  <c r="BS537" i="3"/>
  <c r="BT537" i="3"/>
  <c r="H538" i="3"/>
  <c r="AC538" i="3"/>
  <c r="G538" i="3" s="1"/>
  <c r="BB538" i="3"/>
  <c r="BC538" i="3"/>
  <c r="BD538" i="3"/>
  <c r="BE538" i="3"/>
  <c r="BF538" i="3"/>
  <c r="BG538" i="3"/>
  <c r="BH538" i="3"/>
  <c r="BI538" i="3"/>
  <c r="BA538" i="3" s="1"/>
  <c r="BJ538" i="3"/>
  <c r="BK538" i="3"/>
  <c r="BM538" i="3"/>
  <c r="BN538" i="3"/>
  <c r="BO538" i="3"/>
  <c r="BP538" i="3"/>
  <c r="BR538" i="3"/>
  <c r="BS538" i="3"/>
  <c r="BT538" i="3"/>
  <c r="H539" i="3"/>
  <c r="AC539" i="3"/>
  <c r="BB539" i="3"/>
  <c r="BC539" i="3"/>
  <c r="BD539" i="3"/>
  <c r="BE539" i="3"/>
  <c r="BF539" i="3"/>
  <c r="BA539" i="3" s="1"/>
  <c r="BG539" i="3"/>
  <c r="BH539" i="3"/>
  <c r="BI539" i="3"/>
  <c r="BJ539" i="3"/>
  <c r="BK539" i="3"/>
  <c r="BM539" i="3"/>
  <c r="BN539" i="3"/>
  <c r="BO539" i="3"/>
  <c r="BL539" i="3" s="1"/>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A541" i="3" s="1"/>
  <c r="BH541" i="3"/>
  <c r="BI541" i="3"/>
  <c r="BJ541" i="3"/>
  <c r="BK541" i="3"/>
  <c r="BM541" i="3"/>
  <c r="BN541" i="3"/>
  <c r="BO541" i="3"/>
  <c r="BP541" i="3"/>
  <c r="BL541" i="3" s="1"/>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BB543" i="3"/>
  <c r="BA543" i="3" s="1"/>
  <c r="AZ543" i="3" s="1"/>
  <c r="BC543" i="3"/>
  <c r="BD543" i="3"/>
  <c r="BE543" i="3"/>
  <c r="BF543" i="3"/>
  <c r="BG543" i="3"/>
  <c r="BH543" i="3"/>
  <c r="BI543" i="3"/>
  <c r="BJ543" i="3"/>
  <c r="BK543" i="3"/>
  <c r="BM543" i="3"/>
  <c r="BN543" i="3"/>
  <c r="BO543" i="3"/>
  <c r="BP543" i="3"/>
  <c r="BQ543" i="3"/>
  <c r="BR543" i="3"/>
  <c r="BL543" i="3" s="1"/>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L545" i="3" s="1"/>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A549" i="3" s="1"/>
  <c r="BE549" i="3"/>
  <c r="BF549" i="3"/>
  <c r="BG549" i="3"/>
  <c r="BH549" i="3"/>
  <c r="BI549" i="3"/>
  <c r="BJ549" i="3"/>
  <c r="BK549" i="3"/>
  <c r="BM549" i="3"/>
  <c r="BL549" i="3" s="1"/>
  <c r="AZ549" i="3" s="1"/>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A551" i="3" s="1"/>
  <c r="BF551" i="3"/>
  <c r="BG551" i="3"/>
  <c r="BH551" i="3"/>
  <c r="BI551" i="3"/>
  <c r="BJ551" i="3"/>
  <c r="BK551" i="3"/>
  <c r="BM551" i="3"/>
  <c r="BN551" i="3"/>
  <c r="BL551" i="3" s="1"/>
  <c r="AZ551" i="3" s="1"/>
  <c r="BO551" i="3"/>
  <c r="BP551" i="3"/>
  <c r="BQ551" i="3"/>
  <c r="BR551" i="3"/>
  <c r="BS551" i="3"/>
  <c r="BT551" i="3"/>
  <c r="H552" i="3"/>
  <c r="AC552" i="3"/>
  <c r="BB552" i="3"/>
  <c r="BC552" i="3"/>
  <c r="BD552" i="3"/>
  <c r="BE552" i="3"/>
  <c r="BF552" i="3"/>
  <c r="BG552" i="3"/>
  <c r="BH552" i="3"/>
  <c r="BI552" i="3"/>
  <c r="BA552" i="3" s="1"/>
  <c r="BJ552" i="3"/>
  <c r="BK552" i="3"/>
  <c r="BM552" i="3"/>
  <c r="BN552" i="3"/>
  <c r="BO552" i="3"/>
  <c r="BP552" i="3"/>
  <c r="BR552" i="3"/>
  <c r="BS552" i="3"/>
  <c r="BT552" i="3"/>
  <c r="H553" i="3"/>
  <c r="AC553" i="3"/>
  <c r="G553" i="3" s="1"/>
  <c r="BB553" i="3"/>
  <c r="BC553" i="3"/>
  <c r="BD553" i="3"/>
  <c r="BE553" i="3"/>
  <c r="BF553" i="3"/>
  <c r="BA553" i="3" s="1"/>
  <c r="BG553" i="3"/>
  <c r="BH553" i="3"/>
  <c r="BI553" i="3"/>
  <c r="BJ553" i="3"/>
  <c r="BK553" i="3"/>
  <c r="BM553" i="3"/>
  <c r="BN553" i="3"/>
  <c r="BO553" i="3"/>
  <c r="BL553" i="3" s="1"/>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A555" i="3" s="1"/>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A557" i="3" s="1"/>
  <c r="BI557" i="3"/>
  <c r="BJ557" i="3"/>
  <c r="BK557" i="3"/>
  <c r="BM557" i="3"/>
  <c r="BN557" i="3"/>
  <c r="BO557" i="3"/>
  <c r="BP557" i="3"/>
  <c r="BQ557" i="3"/>
  <c r="BL557" i="3" s="1"/>
  <c r="BR557" i="3"/>
  <c r="BS557" i="3"/>
  <c r="BT557" i="3"/>
  <c r="H558" i="3"/>
  <c r="AC558" i="3"/>
  <c r="BB558" i="3"/>
  <c r="BC558" i="3"/>
  <c r="BD558" i="3"/>
  <c r="BA558" i="3" s="1"/>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L559" i="3" s="1"/>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BL563" i="3" s="1"/>
  <c r="H564" i="3"/>
  <c r="AC564" i="3"/>
  <c r="BB564" i="3"/>
  <c r="BC564" i="3"/>
  <c r="BD564" i="3"/>
  <c r="BE564" i="3"/>
  <c r="BF564" i="3"/>
  <c r="BG564" i="3"/>
  <c r="BA564" i="3" s="1"/>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L565" i="3" s="1"/>
  <c r="AZ565" i="3" s="1"/>
  <c r="BN565" i="3"/>
  <c r="BO565" i="3"/>
  <c r="BP565" i="3"/>
  <c r="BQ565" i="3"/>
  <c r="BR565" i="3"/>
  <c r="BS565" i="3"/>
  <c r="BT565" i="3"/>
  <c r="H566" i="3"/>
  <c r="G566" i="3" s="1"/>
  <c r="AC566" i="3"/>
  <c r="BB566" i="3"/>
  <c r="BC566" i="3"/>
  <c r="BD566" i="3"/>
  <c r="BE566" i="3"/>
  <c r="BF566" i="3"/>
  <c r="BG566" i="3"/>
  <c r="BH566" i="3"/>
  <c r="BA566" i="3" s="1"/>
  <c r="BI566" i="3"/>
  <c r="BJ566" i="3"/>
  <c r="BK566" i="3"/>
  <c r="BM566" i="3"/>
  <c r="BN566" i="3"/>
  <c r="BO566" i="3"/>
  <c r="BP566" i="3"/>
  <c r="BR566" i="3"/>
  <c r="BL566" i="3" s="1"/>
  <c r="AZ566" i="3" s="1"/>
  <c r="BS566" i="3"/>
  <c r="BT566" i="3"/>
  <c r="H567" i="3"/>
  <c r="AC567" i="3"/>
  <c r="BB567" i="3"/>
  <c r="BC567" i="3"/>
  <c r="BD567" i="3"/>
  <c r="BE567" i="3"/>
  <c r="BA567" i="3" s="1"/>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A568" i="3" s="1"/>
  <c r="BI568" i="3"/>
  <c r="BJ568" i="3"/>
  <c r="BK568" i="3"/>
  <c r="BM568" i="3"/>
  <c r="BN568" i="3"/>
  <c r="BO568" i="3"/>
  <c r="BP568" i="3"/>
  <c r="BR568" i="3"/>
  <c r="BS568" i="3"/>
  <c r="BT568" i="3"/>
  <c r="H569" i="3"/>
  <c r="AC569" i="3"/>
  <c r="BB569" i="3"/>
  <c r="BC569" i="3"/>
  <c r="BD569" i="3"/>
  <c r="BE569" i="3"/>
  <c r="BA569" i="3" s="1"/>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F30" i="36"/>
  <c r="AA30" i="36" s="1"/>
  <c r="C26" i="35"/>
  <c r="C79" i="35" s="1"/>
  <c r="J31" i="35"/>
  <c r="AC31" i="35" s="1"/>
  <c r="H31" i="35"/>
  <c r="F31" i="35"/>
  <c r="D87" i="35"/>
  <c r="E87" i="35" s="1"/>
  <c r="F87" i="35"/>
  <c r="G87" i="35" s="1"/>
  <c r="H87" i="35" s="1"/>
  <c r="I87" i="35" s="1"/>
  <c r="J87" i="35" s="1"/>
  <c r="K87" i="35" s="1"/>
  <c r="L87" i="35" s="1"/>
  <c r="M87" i="35" s="1"/>
  <c r="H34" i="37"/>
  <c r="D101" i="37"/>
  <c r="F34" i="37"/>
  <c r="D99" i="37"/>
  <c r="E99" i="37" s="1"/>
  <c r="H42" i="34"/>
  <c r="J42" i="34"/>
  <c r="F42" i="34"/>
  <c r="J38" i="34"/>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c r="S515" i="31"/>
  <c r="S517" i="31"/>
  <c r="S519" i="31"/>
  <c r="S521" i="31"/>
  <c r="S523" i="31"/>
  <c r="F41" i="21"/>
  <c r="J41" i="21"/>
  <c r="AC41" i="21"/>
  <c r="H41" i="21"/>
  <c r="U41" i="21" s="1"/>
  <c r="D82" i="39"/>
  <c r="E82" i="39" s="1"/>
  <c r="F82" i="39" s="1"/>
  <c r="D77" i="40"/>
  <c r="E77" i="40" s="1"/>
  <c r="F13" i="40"/>
  <c r="S13" i="40"/>
  <c r="B121" i="40"/>
  <c r="F42" i="40" s="1"/>
  <c r="AA42" i="40" s="1"/>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F85" i="40" s="1"/>
  <c r="G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B115" i="39"/>
  <c r="F39" i="39" s="1"/>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AC45" i="39" s="1"/>
  <c r="D127" i="39"/>
  <c r="D123" i="39"/>
  <c r="B105" i="39"/>
  <c r="D98" i="39"/>
  <c r="E98" i="39" s="1"/>
  <c r="F98" i="39" s="1"/>
  <c r="G98" i="39" s="1"/>
  <c r="D96" i="39"/>
  <c r="D94" i="39"/>
  <c r="E94" i="39" s="1"/>
  <c r="F94" i="39" s="1"/>
  <c r="G94" i="39" s="1"/>
  <c r="D92" i="39"/>
  <c r="E92" i="39" s="1"/>
  <c r="D90" i="39"/>
  <c r="E90" i="39" s="1"/>
  <c r="F90" i="39" s="1"/>
  <c r="G90" i="39" s="1"/>
  <c r="B87" i="39"/>
  <c r="F16" i="39" s="1"/>
  <c r="AA16" i="39" s="1"/>
  <c r="B85" i="39"/>
  <c r="J15" i="39" s="1"/>
  <c r="AC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H39" i="37" s="1"/>
  <c r="AB39" i="37" s="1"/>
  <c r="B108" i="37"/>
  <c r="J38" i="37" s="1"/>
  <c r="AC38" i="37" s="1"/>
  <c r="C23" i="37"/>
  <c r="C19" i="37"/>
  <c r="C17" i="37"/>
  <c r="C15" i="37"/>
  <c r="B112" i="37"/>
  <c r="D107" i="37"/>
  <c r="E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c r="D75" i="37"/>
  <c r="E75" i="37" s="1"/>
  <c r="F75" i="37" s="1"/>
  <c r="G75" i="37" s="1"/>
  <c r="D73" i="37"/>
  <c r="E73" i="37" s="1"/>
  <c r="F73" i="37" s="1"/>
  <c r="G73" i="37" s="1"/>
  <c r="D71" i="37"/>
  <c r="E71" i="37" s="1"/>
  <c r="F71" i="37" s="1"/>
  <c r="G71" i="37" s="1"/>
  <c r="F15" i="37"/>
  <c r="AA15" i="37" s="1"/>
  <c r="B68" i="37"/>
  <c r="H14" i="37"/>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W30" i="37" s="1"/>
  <c r="H30" i="37"/>
  <c r="AB30" i="37"/>
  <c r="F30" i="37"/>
  <c r="Q29" i="37"/>
  <c r="Z29" i="37" s="1"/>
  <c r="H29" i="37"/>
  <c r="U29" i="37" s="1"/>
  <c r="Q28" i="37"/>
  <c r="Z28" i="37" s="1"/>
  <c r="Q27" i="37"/>
  <c r="Z27" i="37" s="1"/>
  <c r="Q26" i="37"/>
  <c r="Z26" i="37"/>
  <c r="J26" i="37"/>
  <c r="Q25" i="37"/>
  <c r="Z25" i="37" s="1"/>
  <c r="Q23" i="37"/>
  <c r="Z23" i="37" s="1"/>
  <c r="Q19" i="37"/>
  <c r="Z19" i="37" s="1"/>
  <c r="Q17" i="37"/>
  <c r="Z17" i="37" s="1"/>
  <c r="Q15" i="37"/>
  <c r="Z15" i="37" s="1"/>
  <c r="Q14" i="37"/>
  <c r="Z14" i="37" s="1"/>
  <c r="Q13" i="37"/>
  <c r="Z13" i="37" s="1"/>
  <c r="Q12" i="37"/>
  <c r="Z12" i="37"/>
  <c r="Q11" i="37"/>
  <c r="Z11" i="37" s="1"/>
  <c r="Q10" i="37"/>
  <c r="Z10" i="37" s="1"/>
  <c r="F10" i="37"/>
  <c r="Q9" i="37"/>
  <c r="Z9" i="37" s="1"/>
  <c r="J8" i="37"/>
  <c r="W8" i="37" s="1"/>
  <c r="H8" i="37"/>
  <c r="AB8" i="37"/>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c r="U34" i="36" s="1"/>
  <c r="D83" i="36"/>
  <c r="E83" i="36" s="1"/>
  <c r="F83" i="36" s="1"/>
  <c r="G83" i="36" s="1"/>
  <c r="H83" i="36" s="1"/>
  <c r="I83" i="36" s="1"/>
  <c r="J83" i="36" s="1"/>
  <c r="K83" i="36" s="1"/>
  <c r="L83" i="36" s="1"/>
  <c r="M83" i="36" s="1"/>
  <c r="D78" i="36"/>
  <c r="J26" i="36"/>
  <c r="W26" i="36" s="1"/>
  <c r="B75" i="36"/>
  <c r="J25" i="36" s="1"/>
  <c r="W25" i="36" s="1"/>
  <c r="B73" i="36"/>
  <c r="F24" i="36" s="1"/>
  <c r="B71" i="36"/>
  <c r="J23" i="36" s="1"/>
  <c r="D70" i="36"/>
  <c r="H22" i="36"/>
  <c r="D68" i="36"/>
  <c r="E68" i="36" s="1"/>
  <c r="D64" i="36"/>
  <c r="E64" i="36" s="1"/>
  <c r="F64" i="36" s="1"/>
  <c r="G64" i="36" s="1"/>
  <c r="J16" i="36"/>
  <c r="D62" i="36"/>
  <c r="E62" i="36" s="1"/>
  <c r="B59" i="36"/>
  <c r="H13" i="36" s="1"/>
  <c r="AB13" i="36" s="1"/>
  <c r="B57" i="36"/>
  <c r="B55" i="36"/>
  <c r="F54" i="36"/>
  <c r="G54" i="36" s="1"/>
  <c r="H54" i="36" s="1"/>
  <c r="I54" i="36" s="1"/>
  <c r="J10" i="36"/>
  <c r="W10" i="36" s="1"/>
  <c r="C51" i="36"/>
  <c r="P37" i="36"/>
  <c r="P36" i="36"/>
  <c r="V35" i="36"/>
  <c r="T35" i="36"/>
  <c r="R35" i="36"/>
  <c r="P35" i="36"/>
  <c r="Q34" i="36"/>
  <c r="Z34" i="36" s="1"/>
  <c r="Q33" i="36"/>
  <c r="Z33" i="36"/>
  <c r="Q32" i="36"/>
  <c r="Z32" i="36"/>
  <c r="Q31" i="36"/>
  <c r="Z31" i="36" s="1"/>
  <c r="Q30" i="36"/>
  <c r="Z30" i="36" s="1"/>
  <c r="Q29" i="36"/>
  <c r="Z29" i="36" s="1"/>
  <c r="Q28" i="36"/>
  <c r="Z28" i="36"/>
  <c r="J28" i="36"/>
  <c r="AC28" i="36" s="1"/>
  <c r="Q27" i="36"/>
  <c r="Z27" i="36" s="1"/>
  <c r="Q26" i="36"/>
  <c r="Z26" i="36" s="1"/>
  <c r="H26" i="36"/>
  <c r="AB26" i="36" s="1"/>
  <c r="Q25" i="36"/>
  <c r="Z25" i="36" s="1"/>
  <c r="Q24" i="36"/>
  <c r="Z24" i="36" s="1"/>
  <c r="Q23" i="36"/>
  <c r="Z23" i="36"/>
  <c r="AC23" i="36"/>
  <c r="H23" i="36"/>
  <c r="AB23" i="36" s="1"/>
  <c r="F23" i="36"/>
  <c r="AA23" i="36" s="1"/>
  <c r="Q22" i="36"/>
  <c r="Z22" i="36" s="1"/>
  <c r="J22" i="36"/>
  <c r="Q20" i="36"/>
  <c r="Z20" i="36" s="1"/>
  <c r="Q16" i="36"/>
  <c r="Z16" i="36" s="1"/>
  <c r="Q14" i="36"/>
  <c r="Z14" i="36"/>
  <c r="Q13" i="36"/>
  <c r="Z13" i="36" s="1"/>
  <c r="Q12" i="36"/>
  <c r="Z12" i="36" s="1"/>
  <c r="Q11" i="36"/>
  <c r="Z11" i="36" s="1"/>
  <c r="Q10" i="36"/>
  <c r="Z10" i="36" s="1"/>
  <c r="F10" i="36"/>
  <c r="AA10" i="36" s="1"/>
  <c r="Q9" i="36"/>
  <c r="Z9" i="36" s="1"/>
  <c r="J8" i="36"/>
  <c r="AC8" i="36" s="1"/>
  <c r="H8" i="36"/>
  <c r="U8" i="36"/>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B57" i="35"/>
  <c r="B61" i="35"/>
  <c r="J13" i="35" s="1"/>
  <c r="AC13" i="35" s="1"/>
  <c r="B59" i="35"/>
  <c r="B131" i="34"/>
  <c r="B129" i="34"/>
  <c r="B127" i="34"/>
  <c r="B99" i="34"/>
  <c r="B97" i="34"/>
  <c r="B95" i="34"/>
  <c r="B93" i="34"/>
  <c r="J29" i="34" s="1"/>
  <c r="AC29" i="34" s="1"/>
  <c r="B75" i="34"/>
  <c r="H14" i="34" s="1"/>
  <c r="B73" i="34"/>
  <c r="B71" i="34"/>
  <c r="B130" i="33"/>
  <c r="B128" i="33"/>
  <c r="H45" i="33" s="1"/>
  <c r="U45" i="33" s="1"/>
  <c r="B126" i="33"/>
  <c r="B98" i="33"/>
  <c r="F31" i="33" s="1"/>
  <c r="B96" i="33"/>
  <c r="B94" i="33"/>
  <c r="H29" i="33" s="1"/>
  <c r="B74" i="33"/>
  <c r="B72" i="33"/>
  <c r="B70" i="33"/>
  <c r="D96" i="35"/>
  <c r="E96" i="35" s="1"/>
  <c r="F96" i="35" s="1"/>
  <c r="G96" i="35" s="1"/>
  <c r="D94" i="35"/>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c r="H56" i="35" s="1"/>
  <c r="I56" i="35" s="1"/>
  <c r="C53" i="35"/>
  <c r="F9" i="35" s="1"/>
  <c r="AA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AA31" i="35"/>
  <c r="Q30" i="35"/>
  <c r="Z30" i="35" s="1"/>
  <c r="Q29" i="35"/>
  <c r="Z29" i="35" s="1"/>
  <c r="Q28" i="35"/>
  <c r="Z28" i="35" s="1"/>
  <c r="J28" i="35"/>
  <c r="H28" i="35"/>
  <c r="U28" i="35" s="1"/>
  <c r="F28" i="35"/>
  <c r="AA28" i="35" s="1"/>
  <c r="Q27" i="35"/>
  <c r="Z27" i="35" s="1"/>
  <c r="Q26" i="35"/>
  <c r="Z26" i="35" s="1"/>
  <c r="Q25" i="35"/>
  <c r="Z25" i="35" s="1"/>
  <c r="Q24" i="35"/>
  <c r="Z24" i="35"/>
  <c r="Q23" i="35"/>
  <c r="Z23" i="35" s="1"/>
  <c r="J23" i="35"/>
  <c r="AC23" i="35" s="1"/>
  <c r="Q22" i="35"/>
  <c r="Z22" i="35" s="1"/>
  <c r="Q20" i="35"/>
  <c r="Z20" i="35" s="1"/>
  <c r="Q16" i="35"/>
  <c r="Z16" i="35" s="1"/>
  <c r="Q14" i="35"/>
  <c r="Z14" i="35" s="1"/>
  <c r="Q13" i="35"/>
  <c r="Z13" i="35"/>
  <c r="Q12" i="35"/>
  <c r="Z12" i="35" s="1"/>
  <c r="Q11" i="35"/>
  <c r="Z11" i="35" s="1"/>
  <c r="Q10" i="35"/>
  <c r="Z10" i="35" s="1"/>
  <c r="Q9" i="35"/>
  <c r="Z9" i="35" s="1"/>
  <c r="J8" i="35"/>
  <c r="AC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B89" i="34"/>
  <c r="F27" i="34" s="1"/>
  <c r="D88" i="34"/>
  <c r="E88" i="34" s="1"/>
  <c r="F88" i="34" s="1"/>
  <c r="G88" i="34" s="1"/>
  <c r="H88" i="34" s="1"/>
  <c r="I88" i="34" s="1"/>
  <c r="J88" i="34" s="1"/>
  <c r="K88" i="34" s="1"/>
  <c r="L88" i="34" s="1"/>
  <c r="M88" i="34" s="1"/>
  <c r="D86" i="34"/>
  <c r="E86" i="34" s="1"/>
  <c r="D82" i="34"/>
  <c r="E82" i="34"/>
  <c r="F82" i="34"/>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c r="H44" i="34"/>
  <c r="AB44" i="34" s="1"/>
  <c r="Q43" i="34"/>
  <c r="Z43" i="34"/>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c r="Q31" i="34"/>
  <c r="Z31" i="34" s="1"/>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c r="Q36" i="33"/>
  <c r="Z36" i="33" s="1"/>
  <c r="Q35" i="33"/>
  <c r="Z35" i="33"/>
  <c r="H35" i="33"/>
  <c r="AB35" i="33" s="1"/>
  <c r="Q34" i="33"/>
  <c r="Z34" i="33" s="1"/>
  <c r="Q33" i="33"/>
  <c r="Z33" i="33" s="1"/>
  <c r="J33" i="33"/>
  <c r="H33" i="33"/>
  <c r="AB33" i="33" s="1"/>
  <c r="F33" i="33"/>
  <c r="S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c r="F12" i="33"/>
  <c r="S12" i="33" s="1"/>
  <c r="Q11" i="33"/>
  <c r="Z11" i="33" s="1"/>
  <c r="Q10" i="33"/>
  <c r="Z10" i="33" s="1"/>
  <c r="Q9" i="33"/>
  <c r="Z9" i="33" s="1"/>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s="1"/>
  <c r="C25" i="40"/>
  <c r="G16" i="20"/>
  <c r="B81" i="46" s="1"/>
  <c r="G15" i="20"/>
  <c r="C24" i="20"/>
  <c r="B72" i="46"/>
  <c r="C21" i="20"/>
  <c r="B73" i="46" s="1"/>
  <c r="C20" i="20"/>
  <c r="B76" i="46" s="1"/>
  <c r="C18" i="20"/>
  <c r="C23" i="39" s="1"/>
  <c r="C17" i="20"/>
  <c r="B58" i="46" s="1"/>
  <c r="C16" i="20"/>
  <c r="B47" i="46" s="1"/>
  <c r="C15" i="20"/>
  <c r="B69" i="46" s="1"/>
  <c r="E54" i="21"/>
  <c r="F54" i="2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B130" i="21"/>
  <c r="B128" i="21"/>
  <c r="B126" i="21"/>
  <c r="J44" i="21" s="1"/>
  <c r="B98" i="21"/>
  <c r="J31" i="21" s="1"/>
  <c r="B96" i="21"/>
  <c r="B94" i="21"/>
  <c r="B92" i="21"/>
  <c r="J28" i="21" s="1"/>
  <c r="B90" i="21"/>
  <c r="B74" i="21"/>
  <c r="B72" i="21"/>
  <c r="B70" i="21"/>
  <c r="F12" i="21" s="1"/>
  <c r="S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G19" i="6" s="1"/>
  <c r="J5" i="3"/>
  <c r="BE10" i="3"/>
  <c r="BD13" i="3"/>
  <c r="BE13" i="3"/>
  <c r="BF13" i="3"/>
  <c r="BG13" i="3"/>
  <c r="BH13" i="3"/>
  <c r="BI13" i="3"/>
  <c r="BJ13" i="3"/>
  <c r="BK13" i="3"/>
  <c r="BM13" i="3"/>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N5" i="3" s="1"/>
  <c r="BO571" i="3"/>
  <c r="BP571" i="3"/>
  <c r="BQ571" i="3"/>
  <c r="BR571" i="3"/>
  <c r="BS571" i="3"/>
  <c r="BT571" i="3"/>
  <c r="BB572" i="3"/>
  <c r="BC572" i="3"/>
  <c r="BD572" i="3"/>
  <c r="BE572" i="3"/>
  <c r="BF572" i="3"/>
  <c r="BG572" i="3"/>
  <c r="BH572" i="3"/>
  <c r="BI572" i="3"/>
  <c r="BJ572" i="3"/>
  <c r="BK572" i="3"/>
  <c r="BK5" i="3" s="1"/>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G572" i="3" s="1"/>
  <c r="F5" i="3"/>
  <c r="G27" i="6"/>
  <c r="F34" i="21"/>
  <c r="AA34" i="21" s="1"/>
  <c r="H34" i="21"/>
  <c r="F43" i="21"/>
  <c r="H38" i="21"/>
  <c r="AB38" i="21" s="1"/>
  <c r="H43" i="21"/>
  <c r="AB43" i="21" s="1"/>
  <c r="F32" i="21"/>
  <c r="F38" i="21"/>
  <c r="F36" i="21"/>
  <c r="S36" i="21" s="1"/>
  <c r="F39" i="21"/>
  <c r="J40" i="21"/>
  <c r="H35" i="21"/>
  <c r="AB35" i="21" s="1"/>
  <c r="J8" i="21"/>
  <c r="AC8" i="21"/>
  <c r="J9" i="21"/>
  <c r="H8" i="21"/>
  <c r="H9" i="21"/>
  <c r="AB9" i="21" s="1"/>
  <c r="H10" i="21"/>
  <c r="AB10" i="21" s="1"/>
  <c r="U10" i="21"/>
  <c r="H39" i="21"/>
  <c r="AB39" i="21" s="1"/>
  <c r="J34" i="21"/>
  <c r="W34" i="21" s="1"/>
  <c r="H36" i="21"/>
  <c r="U36" i="21"/>
  <c r="F35" i="21"/>
  <c r="AA35" i="21" s="1"/>
  <c r="J33" i="21"/>
  <c r="W33" i="21" s="1"/>
  <c r="H33" i="21"/>
  <c r="U33" i="21" s="1"/>
  <c r="F33" i="21"/>
  <c r="J10" i="21"/>
  <c r="AC10" i="21" s="1"/>
  <c r="H26" i="21"/>
  <c r="F19" i="21"/>
  <c r="S19" i="21" s="1"/>
  <c r="H19" i="21"/>
  <c r="J19" i="21"/>
  <c r="W19" i="21" s="1"/>
  <c r="H12" i="21"/>
  <c r="AB12" i="21" s="1"/>
  <c r="U12" i="21"/>
  <c r="J26" i="21"/>
  <c r="W26" i="21" s="1"/>
  <c r="F26" i="21"/>
  <c r="AA26" i="21" s="1"/>
  <c r="S41" i="21"/>
  <c r="AA41" i="21"/>
  <c r="W41" i="21"/>
  <c r="S10" i="39"/>
  <c r="U30" i="37"/>
  <c r="E103" i="37"/>
  <c r="F103" i="37" s="1"/>
  <c r="F29" i="36"/>
  <c r="AA29" i="36" s="1"/>
  <c r="F16" i="36"/>
  <c r="AA16" i="36" s="1"/>
  <c r="W23" i="36"/>
  <c r="U26" i="36"/>
  <c r="J33" i="36"/>
  <c r="U31" i="35"/>
  <c r="W24" i="35"/>
  <c r="S31" i="35"/>
  <c r="W31" i="35"/>
  <c r="F36" i="34"/>
  <c r="S34" i="34"/>
  <c r="H39" i="33"/>
  <c r="AB39" i="33" s="1"/>
  <c r="W38" i="33"/>
  <c r="S40" i="33"/>
  <c r="U38" i="33"/>
  <c r="S8" i="21"/>
  <c r="W8" i="21"/>
  <c r="AB27" i="35"/>
  <c r="W10" i="40"/>
  <c r="U11" i="40"/>
  <c r="U36" i="40"/>
  <c r="F11" i="21"/>
  <c r="S11" i="21" s="1"/>
  <c r="AB36" i="21"/>
  <c r="AC35" i="21"/>
  <c r="U36" i="39"/>
  <c r="H32" i="33"/>
  <c r="H11" i="21"/>
  <c r="U11" i="21" s="1"/>
  <c r="J11" i="21"/>
  <c r="W11" i="21"/>
  <c r="J27" i="36"/>
  <c r="W27" i="36" s="1"/>
  <c r="J34" i="36"/>
  <c r="J30" i="35"/>
  <c r="W30" i="35" s="1"/>
  <c r="F22" i="35"/>
  <c r="S22" i="35" s="1"/>
  <c r="AA22" i="35"/>
  <c r="H10" i="35"/>
  <c r="J29" i="36"/>
  <c r="AC29" i="36" s="1"/>
  <c r="F12" i="36"/>
  <c r="S12" i="36" s="1"/>
  <c r="F34" i="36"/>
  <c r="S10" i="36"/>
  <c r="AB8" i="36"/>
  <c r="H16" i="35"/>
  <c r="U16" i="35" s="1"/>
  <c r="H33" i="35"/>
  <c r="AB33" i="35" s="1"/>
  <c r="F35" i="37"/>
  <c r="E101" i="37"/>
  <c r="F101" i="37"/>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W8" i="34"/>
  <c r="S38" i="33"/>
  <c r="F36" i="33"/>
  <c r="S36" i="33" s="1"/>
  <c r="F19" i="33"/>
  <c r="J19" i="33"/>
  <c r="S10" i="21"/>
  <c r="W40" i="33"/>
  <c r="H29" i="35"/>
  <c r="AB29" i="35" s="1"/>
  <c r="S34" i="37"/>
  <c r="AA34" i="37"/>
  <c r="AB42" i="34"/>
  <c r="AB40" i="34"/>
  <c r="W36" i="34"/>
  <c r="J19" i="34"/>
  <c r="AC19" i="34" s="1"/>
  <c r="H37" i="33"/>
  <c r="AB37" i="33" s="1"/>
  <c r="S37" i="33"/>
  <c r="AC42" i="34"/>
  <c r="W42" i="34"/>
  <c r="AA42" i="34"/>
  <c r="S42" i="34"/>
  <c r="AC38" i="34"/>
  <c r="W38" i="34"/>
  <c r="J37" i="33"/>
  <c r="J42" i="21"/>
  <c r="AC42" i="21" s="1"/>
  <c r="J44" i="34"/>
  <c r="AC44" i="34" s="1"/>
  <c r="F44" i="34"/>
  <c r="S44" i="34" s="1"/>
  <c r="J10" i="35"/>
  <c r="W10" i="35"/>
  <c r="AL5" i="3"/>
  <c r="BQ13" i="3"/>
  <c r="H28" i="21"/>
  <c r="AB28" i="21" s="1"/>
  <c r="F28" i="21"/>
  <c r="H30" i="21"/>
  <c r="F30" i="21"/>
  <c r="S30" i="21" s="1"/>
  <c r="J30" i="21"/>
  <c r="W30" i="21" s="1"/>
  <c r="F44" i="21"/>
  <c r="AA44" i="21" s="1"/>
  <c r="F28" i="33"/>
  <c r="F33" i="35"/>
  <c r="S33" i="35" s="1"/>
  <c r="J33" i="35"/>
  <c r="W33" i="35" s="1"/>
  <c r="F30" i="35"/>
  <c r="AA30" i="35"/>
  <c r="E89" i="35"/>
  <c r="F89" i="35" s="1"/>
  <c r="G89" i="35" s="1"/>
  <c r="H89" i="35" s="1"/>
  <c r="I89" i="35" s="1"/>
  <c r="J89" i="35" s="1"/>
  <c r="K89" i="35" s="1"/>
  <c r="L89" i="35" s="1"/>
  <c r="M89" i="35" s="1"/>
  <c r="H10" i="36"/>
  <c r="F28" i="36"/>
  <c r="S28" i="36" s="1"/>
  <c r="F27" i="36"/>
  <c r="S27" i="36" s="1"/>
  <c r="H13" i="21"/>
  <c r="U13" i="21" s="1"/>
  <c r="J13" i="21"/>
  <c r="AC13" i="21" s="1"/>
  <c r="F13" i="21"/>
  <c r="AA13" i="21" s="1"/>
  <c r="H27" i="21"/>
  <c r="J27" i="21"/>
  <c r="W27" i="21" s="1"/>
  <c r="F27" i="21"/>
  <c r="AA27" i="21" s="1"/>
  <c r="AC31" i="21"/>
  <c r="J45" i="21"/>
  <c r="W45" i="21" s="1"/>
  <c r="F45" i="21"/>
  <c r="S45" i="21" s="1"/>
  <c r="H45" i="21"/>
  <c r="U45" i="21" s="1"/>
  <c r="J27" i="33"/>
  <c r="AC27" i="33" s="1"/>
  <c r="F27" i="33"/>
  <c r="S27" i="33" s="1"/>
  <c r="F13" i="33"/>
  <c r="S13" i="33" s="1"/>
  <c r="J31" i="33"/>
  <c r="AC31" i="33" s="1"/>
  <c r="H31" i="33"/>
  <c r="U31" i="33" s="1"/>
  <c r="J45" i="33"/>
  <c r="F45" i="33"/>
  <c r="S45" i="33" s="1"/>
  <c r="F11" i="35"/>
  <c r="S11" i="35" s="1"/>
  <c r="H28" i="36"/>
  <c r="U28" i="36" s="1"/>
  <c r="H32" i="36"/>
  <c r="AB32" i="36" s="1"/>
  <c r="J32" i="36"/>
  <c r="J11" i="36"/>
  <c r="W11" i="36" s="1"/>
  <c r="J13" i="36"/>
  <c r="F13" i="36"/>
  <c r="E89" i="37"/>
  <c r="F89" i="37" s="1"/>
  <c r="G89" i="37" s="1"/>
  <c r="H89" i="37" s="1"/>
  <c r="I89" i="37" s="1"/>
  <c r="J89" i="37"/>
  <c r="K89" i="37" s="1"/>
  <c r="L89" i="37" s="1"/>
  <c r="M89" i="37" s="1"/>
  <c r="J29" i="37"/>
  <c r="W29" i="37" s="1"/>
  <c r="F29" i="37"/>
  <c r="AA29" i="37" s="1"/>
  <c r="F107" i="37"/>
  <c r="G107" i="37" s="1"/>
  <c r="H107" i="37" s="1"/>
  <c r="I107" i="37" s="1"/>
  <c r="J107" i="37" s="1"/>
  <c r="K107" i="37" s="1"/>
  <c r="L107" i="37" s="1"/>
  <c r="M107" i="37" s="1"/>
  <c r="J37" i="37"/>
  <c r="AC37" i="37" s="1"/>
  <c r="H37" i="37"/>
  <c r="U37" i="37" s="1"/>
  <c r="H40" i="37"/>
  <c r="U40" i="37"/>
  <c r="J40" i="37"/>
  <c r="AC40" i="37" s="1"/>
  <c r="F40" i="37"/>
  <c r="AA40" i="37" s="1"/>
  <c r="H14" i="33"/>
  <c r="U14" i="33"/>
  <c r="F14" i="33"/>
  <c r="AA14" i="33" s="1"/>
  <c r="J14" i="33"/>
  <c r="AC14" i="33" s="1"/>
  <c r="H44" i="33"/>
  <c r="AB44" i="33" s="1"/>
  <c r="J44" i="33"/>
  <c r="AC44" i="33" s="1"/>
  <c r="F44" i="33"/>
  <c r="S44" i="33" s="1"/>
  <c r="J46" i="33"/>
  <c r="AC46" i="33" s="1"/>
  <c r="F46" i="33"/>
  <c r="H46" i="33"/>
  <c r="AB46" i="33" s="1"/>
  <c r="H13" i="34"/>
  <c r="U13" i="34" s="1"/>
  <c r="J13" i="34"/>
  <c r="W13" i="34" s="1"/>
  <c r="F13" i="34"/>
  <c r="AA13" i="34" s="1"/>
  <c r="J31" i="34"/>
  <c r="W31" i="34" s="1"/>
  <c r="H31" i="34"/>
  <c r="F31" i="34"/>
  <c r="H45" i="34"/>
  <c r="J45" i="34"/>
  <c r="W45" i="34" s="1"/>
  <c r="F45" i="34"/>
  <c r="AA45" i="34" s="1"/>
  <c r="H47" i="34"/>
  <c r="U47" i="34" s="1"/>
  <c r="F47" i="34"/>
  <c r="AA47" i="34" s="1"/>
  <c r="J47" i="34"/>
  <c r="AC47" i="34"/>
  <c r="F13" i="35"/>
  <c r="J35" i="35"/>
  <c r="AC35" i="35" s="1"/>
  <c r="F35" i="35"/>
  <c r="H35" i="35"/>
  <c r="U35" i="35" s="1"/>
  <c r="F25" i="36"/>
  <c r="AA25" i="36" s="1"/>
  <c r="H13" i="37"/>
  <c r="AB13" i="37" s="1"/>
  <c r="F13" i="37"/>
  <c r="S13" i="37" s="1"/>
  <c r="J13" i="37"/>
  <c r="AC13" i="37" s="1"/>
  <c r="F28" i="37"/>
  <c r="AA28" i="37" s="1"/>
  <c r="J28" i="37"/>
  <c r="AC28" i="37" s="1"/>
  <c r="H28" i="37"/>
  <c r="U28" i="37" s="1"/>
  <c r="F14" i="37"/>
  <c r="AA14" i="37" s="1"/>
  <c r="J14" i="37"/>
  <c r="AC14" i="37" s="1"/>
  <c r="J27" i="37"/>
  <c r="AB40" i="37"/>
  <c r="J36" i="37"/>
  <c r="AC36" i="37" s="1"/>
  <c r="AB28" i="36"/>
  <c r="U28" i="21"/>
  <c r="G529" i="3"/>
  <c r="G521" i="3"/>
  <c r="G517" i="3"/>
  <c r="G513" i="3"/>
  <c r="G508" i="3"/>
  <c r="G499" i="3"/>
  <c r="G493" i="3"/>
  <c r="G485" i="3"/>
  <c r="G17" i="3"/>
  <c r="G565" i="3"/>
  <c r="G561" i="3"/>
  <c r="G545" i="3"/>
  <c r="G539" i="3"/>
  <c r="BL569" i="3"/>
  <c r="BL561" i="3"/>
  <c r="BL501" i="3"/>
  <c r="G16" i="3"/>
  <c r="BL525" i="3"/>
  <c r="G518" i="3"/>
  <c r="G514" i="3"/>
  <c r="G510" i="3"/>
  <c r="BL503" i="3"/>
  <c r="G18" i="3"/>
  <c r="BA561" i="3"/>
  <c r="BA559" i="3"/>
  <c r="AZ559" i="3" s="1"/>
  <c r="BA531" i="3"/>
  <c r="AZ531" i="3" s="1"/>
  <c r="BA521" i="3"/>
  <c r="AZ521" i="3" s="1"/>
  <c r="BA501" i="3"/>
  <c r="BA493" i="3"/>
  <c r="BA19" i="3"/>
  <c r="BA562" i="3"/>
  <c r="BA560" i="3"/>
  <c r="BA532" i="3"/>
  <c r="BA528" i="3"/>
  <c r="BA502" i="3"/>
  <c r="BA498" i="3"/>
  <c r="BA20" i="3"/>
  <c r="G562" i="3"/>
  <c r="G560" i="3"/>
  <c r="G558" i="3"/>
  <c r="G556" i="3"/>
  <c r="G554" i="3"/>
  <c r="G546" i="3"/>
  <c r="AC542" i="3"/>
  <c r="G542" i="3" s="1"/>
  <c r="BQ542" i="3"/>
  <c r="BQ568" i="3"/>
  <c r="BQ566" i="3"/>
  <c r="BQ564" i="3"/>
  <c r="BL564" i="3" s="1"/>
  <c r="BQ562" i="3"/>
  <c r="BQ560" i="3"/>
  <c r="BQ558" i="3"/>
  <c r="BQ556" i="3"/>
  <c r="BL556" i="3" s="1"/>
  <c r="BQ554" i="3"/>
  <c r="BQ552" i="3"/>
  <c r="BQ550" i="3"/>
  <c r="BL550" i="3" s="1"/>
  <c r="BQ548" i="3"/>
  <c r="BQ546" i="3"/>
  <c r="BQ544" i="3"/>
  <c r="G544" i="3"/>
  <c r="G530" i="3"/>
  <c r="G526" i="3"/>
  <c r="G522" i="3"/>
  <c r="BQ540" i="3"/>
  <c r="BQ538" i="3"/>
  <c r="BQ536" i="3"/>
  <c r="BQ534" i="3"/>
  <c r="BQ532" i="3"/>
  <c r="BQ530" i="3"/>
  <c r="BQ528" i="3"/>
  <c r="BQ526" i="3"/>
  <c r="BL526" i="3" s="1"/>
  <c r="AZ526" i="3" s="1"/>
  <c r="BQ524" i="3"/>
  <c r="BQ522" i="3"/>
  <c r="BQ520" i="3"/>
  <c r="BQ518" i="3"/>
  <c r="BQ516" i="3"/>
  <c r="BQ514" i="3"/>
  <c r="BL514" i="3"/>
  <c r="BQ512" i="3"/>
  <c r="BQ510" i="3"/>
  <c r="BQ508" i="3"/>
  <c r="AC506" i="3"/>
  <c r="G506" i="3" s="1"/>
  <c r="BQ506" i="3"/>
  <c r="G502" i="3"/>
  <c r="G498" i="3"/>
  <c r="BQ504" i="3"/>
  <c r="BL504" i="3" s="1"/>
  <c r="BQ502" i="3"/>
  <c r="BL502" i="3" s="1"/>
  <c r="BQ500" i="3"/>
  <c r="BL500" i="3" s="1"/>
  <c r="BQ498" i="3"/>
  <c r="BQ496" i="3"/>
  <c r="BL496" i="3" s="1"/>
  <c r="AC494" i="3"/>
  <c r="BQ494" i="3"/>
  <c r="G492" i="3"/>
  <c r="G488" i="3"/>
  <c r="G484" i="3"/>
  <c r="G20" i="3"/>
  <c r="BQ492" i="3"/>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H17" i="37"/>
  <c r="U17" i="37" s="1"/>
  <c r="F23" i="37"/>
  <c r="F79" i="37"/>
  <c r="G79" i="37" s="1"/>
  <c r="F39" i="33"/>
  <c r="F42" i="33"/>
  <c r="AA42" i="33" s="1"/>
  <c r="F22" i="36"/>
  <c r="S22" i="36" s="1"/>
  <c r="H35" i="34"/>
  <c r="U35" i="34" s="1"/>
  <c r="F41" i="34"/>
  <c r="H41" i="34"/>
  <c r="J41" i="34"/>
  <c r="W41" i="34" s="1"/>
  <c r="F10" i="35"/>
  <c r="AA10" i="35" s="1"/>
  <c r="F24" i="35"/>
  <c r="AA24" i="35" s="1"/>
  <c r="H24" i="35"/>
  <c r="AB24" i="35" s="1"/>
  <c r="H23" i="37"/>
  <c r="AB23" i="37" s="1"/>
  <c r="J32" i="37"/>
  <c r="AC32" i="37" s="1"/>
  <c r="F36" i="37"/>
  <c r="F37" i="37"/>
  <c r="AC41" i="34"/>
  <c r="H42" i="33"/>
  <c r="U42" i="33" s="1"/>
  <c r="J43" i="33"/>
  <c r="AC43" i="33" s="1"/>
  <c r="J23" i="37"/>
  <c r="AC23" i="37" s="1"/>
  <c r="W23" i="37"/>
  <c r="F17" i="37"/>
  <c r="AA17" i="37" s="1"/>
  <c r="D3" i="21"/>
  <c r="U39" i="37"/>
  <c r="AC8" i="37"/>
  <c r="AC36" i="34"/>
  <c r="AA13" i="33"/>
  <c r="AA36" i="21"/>
  <c r="F43" i="33"/>
  <c r="AA43" i="33" s="1"/>
  <c r="AA9" i="21"/>
  <c r="F37" i="21"/>
  <c r="S37" i="21" s="1"/>
  <c r="J37" i="21"/>
  <c r="W37" i="21" s="1"/>
  <c r="H19" i="34"/>
  <c r="AB19" i="34" s="1"/>
  <c r="J10" i="37"/>
  <c r="W10" i="37" s="1"/>
  <c r="J9" i="37"/>
  <c r="H9" i="37"/>
  <c r="F9" i="37"/>
  <c r="S9" i="37" s="1"/>
  <c r="F11" i="37"/>
  <c r="S11" i="37" s="1"/>
  <c r="H15" i="37"/>
  <c r="AB15" i="37" s="1"/>
  <c r="U15" i="37"/>
  <c r="E94" i="37"/>
  <c r="F31" i="37"/>
  <c r="S31" i="37" s="1"/>
  <c r="F94" i="37"/>
  <c r="G94" i="37"/>
  <c r="H94" i="37" s="1"/>
  <c r="I94" i="37" s="1"/>
  <c r="J94" i="37" s="1"/>
  <c r="K94" i="37" s="1"/>
  <c r="L94" i="37" s="1"/>
  <c r="M94" i="37" s="1"/>
  <c r="H31" i="37"/>
  <c r="U31" i="37" s="1"/>
  <c r="J15" i="37"/>
  <c r="W15" i="37" s="1"/>
  <c r="AB10" i="37"/>
  <c r="J11" i="37"/>
  <c r="W11" i="37" s="1"/>
  <c r="E89" i="40"/>
  <c r="F89" i="40" s="1"/>
  <c r="G89" i="40" s="1"/>
  <c r="F21" i="40"/>
  <c r="S21" i="40" s="1"/>
  <c r="J21" i="40"/>
  <c r="W21" i="40" s="1"/>
  <c r="AC21" i="40"/>
  <c r="S27" i="31"/>
  <c r="G483" i="3"/>
  <c r="G515" i="3"/>
  <c r="G501" i="3"/>
  <c r="BA15" i="3"/>
  <c r="AZ15" i="3" s="1"/>
  <c r="BL17" i="3"/>
  <c r="BL15" i="3"/>
  <c r="BA14" i="3"/>
  <c r="J57" i="39"/>
  <c r="H13" i="40"/>
  <c r="U13" i="40" s="1"/>
  <c r="H12" i="48"/>
  <c r="I4" i="4"/>
  <c r="K141" i="21"/>
  <c r="K143" i="21"/>
  <c r="K144" i="21"/>
  <c r="I58" i="40"/>
  <c r="C58" i="40" s="1"/>
  <c r="I59" i="40"/>
  <c r="C59" i="40" s="1"/>
  <c r="G297" i="3"/>
  <c r="BL298" i="3"/>
  <c r="G299" i="3"/>
  <c r="BL300" i="3"/>
  <c r="BA302" i="3"/>
  <c r="BA303" i="3"/>
  <c r="BL303" i="3"/>
  <c r="G304" i="3"/>
  <c r="BA305" i="3"/>
  <c r="G321" i="3"/>
  <c r="BL322" i="3"/>
  <c r="G323" i="3"/>
  <c r="BL324" i="3"/>
  <c r="BA326" i="3"/>
  <c r="BA327" i="3"/>
  <c r="AZ327" i="3" s="1"/>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AZ363" i="3" s="1"/>
  <c r="G371" i="3"/>
  <c r="BL372" i="3"/>
  <c r="G373" i="3"/>
  <c r="BL374" i="3"/>
  <c r="AZ374" i="3" s="1"/>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AZ299" i="3" s="1"/>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AZ352" i="3" s="1"/>
  <c r="BA354" i="3"/>
  <c r="BA355" i="3"/>
  <c r="BL355" i="3"/>
  <c r="G356" i="3"/>
  <c r="BA358" i="3"/>
  <c r="BA359" i="3"/>
  <c r="BL359" i="3"/>
  <c r="AZ359" i="3" s="1"/>
  <c r="G360" i="3"/>
  <c r="G361" i="3"/>
  <c r="BL362" i="3"/>
  <c r="BA364" i="3"/>
  <c r="BA365" i="3"/>
  <c r="AZ365" i="3" s="1"/>
  <c r="BL365" i="3"/>
  <c r="G366" i="3"/>
  <c r="G369" i="3"/>
  <c r="BL370" i="3"/>
  <c r="AZ370" i="3" s="1"/>
  <c r="BA372" i="3"/>
  <c r="BA373" i="3"/>
  <c r="BL373" i="3"/>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BL329" i="3"/>
  <c r="G330" i="3"/>
  <c r="BA332" i="3"/>
  <c r="BL333" i="3"/>
  <c r="G334" i="3"/>
  <c r="BA336" i="3"/>
  <c r="BL337" i="3"/>
  <c r="G338" i="3"/>
  <c r="BA340" i="3"/>
  <c r="AZ340" i="3" s="1"/>
  <c r="BL341" i="3"/>
  <c r="G342" i="3"/>
  <c r="BA344" i="3"/>
  <c r="AZ344" i="3"/>
  <c r="BL345" i="3"/>
  <c r="G346" i="3"/>
  <c r="BA348" i="3"/>
  <c r="BL349" i="3"/>
  <c r="G350" i="3"/>
  <c r="BA352" i="3"/>
  <c r="BL353" i="3"/>
  <c r="G354" i="3"/>
  <c r="BA356" i="3"/>
  <c r="BL357" i="3"/>
  <c r="G358" i="3"/>
  <c r="BA362" i="3"/>
  <c r="AZ362" i="3" s="1"/>
  <c r="BL363" i="3"/>
  <c r="G364" i="3"/>
  <c r="BA366" i="3"/>
  <c r="BL367" i="3"/>
  <c r="G368" i="3"/>
  <c r="BA370" i="3"/>
  <c r="BL371" i="3"/>
  <c r="G372" i="3"/>
  <c r="BA374" i="3"/>
  <c r="BL375" i="3"/>
  <c r="G376" i="3"/>
  <c r="BA378" i="3"/>
  <c r="BL379" i="3"/>
  <c r="AZ379" i="3" s="1"/>
  <c r="G380" i="3"/>
  <c r="BA382" i="3"/>
  <c r="BL383" i="3"/>
  <c r="G384" i="3"/>
  <c r="AZ303" i="3"/>
  <c r="H7" i="48"/>
  <c r="F33" i="46"/>
  <c r="H16" i="48"/>
  <c r="H9" i="48"/>
  <c r="H8" i="48"/>
  <c r="C12" i="46"/>
  <c r="AB16" i="35"/>
  <c r="U43" i="21"/>
  <c r="AA13" i="40"/>
  <c r="F77" i="40"/>
  <c r="G77" i="40" s="1"/>
  <c r="H77" i="40"/>
  <c r="I77" i="40" s="1"/>
  <c r="J77" i="40" s="1"/>
  <c r="K77" i="40" s="1"/>
  <c r="L77" i="40" s="1"/>
  <c r="M77" i="40" s="1"/>
  <c r="R16" i="4"/>
  <c r="P16" i="4"/>
  <c r="D3" i="35"/>
  <c r="G4" i="4"/>
  <c r="S37" i="34"/>
  <c r="J16" i="35"/>
  <c r="W16" i="35" s="1"/>
  <c r="AC26" i="36"/>
  <c r="H11" i="37"/>
  <c r="S42" i="33"/>
  <c r="AB17" i="37"/>
  <c r="AA45" i="33"/>
  <c r="AC11" i="36"/>
  <c r="AC10" i="36"/>
  <c r="AB35" i="35"/>
  <c r="W44" i="33"/>
  <c r="AC29" i="37"/>
  <c r="W32" i="36"/>
  <c r="AC32" i="36"/>
  <c r="J33" i="34"/>
  <c r="AC33" i="34" s="1"/>
  <c r="AB36" i="34"/>
  <c r="J40" i="34"/>
  <c r="F16" i="35"/>
  <c r="AA16" i="35" s="1"/>
  <c r="W42" i="33"/>
  <c r="J35" i="34"/>
  <c r="W35" i="34"/>
  <c r="F107" i="34"/>
  <c r="G107" i="34" s="1"/>
  <c r="H107" i="34" s="1"/>
  <c r="I107" i="34" s="1"/>
  <c r="J107" i="34" s="1"/>
  <c r="K107" i="34" s="1"/>
  <c r="L107" i="34" s="1"/>
  <c r="M107" i="34" s="1"/>
  <c r="H16" i="36"/>
  <c r="AB16" i="36" s="1"/>
  <c r="G103" i="37"/>
  <c r="H103" i="37" s="1"/>
  <c r="I103" i="37" s="1"/>
  <c r="J103" i="37" s="1"/>
  <c r="K103" i="37" s="1"/>
  <c r="L103" i="37" s="1"/>
  <c r="M103" i="37" s="1"/>
  <c r="H35" i="37"/>
  <c r="AB35" i="37" s="1"/>
  <c r="S26" i="21"/>
  <c r="H32" i="21"/>
  <c r="U32" i="21" s="1"/>
  <c r="AB26" i="21"/>
  <c r="U26" i="21"/>
  <c r="J32" i="21"/>
  <c r="AC32" i="21" s="1"/>
  <c r="F17" i="21"/>
  <c r="S17" i="21" s="1"/>
  <c r="H17" i="21"/>
  <c r="AB17" i="21" s="1"/>
  <c r="J17" i="21"/>
  <c r="AC17" i="21" s="1"/>
  <c r="H37" i="21"/>
  <c r="U37" i="21" s="1"/>
  <c r="F40" i="21"/>
  <c r="S40" i="21" s="1"/>
  <c r="H40" i="21"/>
  <c r="AB40" i="21" s="1"/>
  <c r="AA8" i="33"/>
  <c r="S8" i="33"/>
  <c r="AC8" i="33"/>
  <c r="H66" i="33"/>
  <c r="I66" i="33" s="1"/>
  <c r="F10" i="33"/>
  <c r="AA10" i="33" s="1"/>
  <c r="F11" i="33"/>
  <c r="S11" i="33"/>
  <c r="J15" i="33"/>
  <c r="W15" i="33" s="1"/>
  <c r="H19" i="33"/>
  <c r="AB19" i="33" s="1"/>
  <c r="F32" i="33"/>
  <c r="AA32" i="33" s="1"/>
  <c r="J32" i="33"/>
  <c r="AC32" i="33"/>
  <c r="F35" i="33"/>
  <c r="AA35" i="33" s="1"/>
  <c r="F11" i="34"/>
  <c r="S11" i="34" s="1"/>
  <c r="H17" i="34"/>
  <c r="AB17" i="34" s="1"/>
  <c r="J13" i="33"/>
  <c r="W13" i="33"/>
  <c r="H13" i="33"/>
  <c r="U13" i="33" s="1"/>
  <c r="J12" i="34"/>
  <c r="W12" i="34" s="1"/>
  <c r="H12" i="34"/>
  <c r="AB12" i="34" s="1"/>
  <c r="F12" i="34"/>
  <c r="S12" i="34" s="1"/>
  <c r="H30" i="34"/>
  <c r="F30" i="34"/>
  <c r="S30" i="34" s="1"/>
  <c r="J30" i="34"/>
  <c r="W30" i="34" s="1"/>
  <c r="H32" i="34"/>
  <c r="AB32" i="34" s="1"/>
  <c r="F32" i="34"/>
  <c r="AA32" i="34" s="1"/>
  <c r="J32" i="34"/>
  <c r="W32" i="34" s="1"/>
  <c r="H46" i="34"/>
  <c r="AB46" i="34"/>
  <c r="F46" i="34"/>
  <c r="J46" i="34"/>
  <c r="AC46" i="34" s="1"/>
  <c r="H11" i="35"/>
  <c r="U11" i="35" s="1"/>
  <c r="J11" i="35"/>
  <c r="AC11" i="35" s="1"/>
  <c r="H32" i="37"/>
  <c r="AB32" i="37" s="1"/>
  <c r="H19" i="39"/>
  <c r="AB19" i="39" s="1"/>
  <c r="J19" i="39"/>
  <c r="W19" i="39" s="1"/>
  <c r="F43" i="39"/>
  <c r="S43" i="39" s="1"/>
  <c r="F99" i="37"/>
  <c r="S45" i="34"/>
  <c r="W27" i="33"/>
  <c r="AC45" i="21"/>
  <c r="AA44" i="34"/>
  <c r="U29" i="35"/>
  <c r="U43" i="34"/>
  <c r="AB43" i="34"/>
  <c r="AC34" i="37"/>
  <c r="S35" i="37"/>
  <c r="AA35" i="37"/>
  <c r="AA32" i="21"/>
  <c r="S32" i="21"/>
  <c r="U38" i="21"/>
  <c r="F42" i="21"/>
  <c r="AA42" i="21" s="1"/>
  <c r="AB40" i="33"/>
  <c r="U40" i="33"/>
  <c r="E90" i="34"/>
  <c r="AB8" i="35"/>
  <c r="U8" i="35"/>
  <c r="S9" i="35"/>
  <c r="J14" i="35"/>
  <c r="F14" i="35"/>
  <c r="H14" i="35"/>
  <c r="U14" i="35" s="1"/>
  <c r="E94" i="35"/>
  <c r="F94" i="35" s="1"/>
  <c r="G94" i="35" s="1"/>
  <c r="H94" i="35" s="1"/>
  <c r="I94" i="35" s="1"/>
  <c r="J94" i="35" s="1"/>
  <c r="K94" i="35" s="1"/>
  <c r="L94" i="35" s="1"/>
  <c r="M94" i="35" s="1"/>
  <c r="J32" i="35"/>
  <c r="AC32" i="35" s="1"/>
  <c r="H11" i="36"/>
  <c r="U11" i="36" s="1"/>
  <c r="AB11" i="36"/>
  <c r="F11" i="36"/>
  <c r="S11" i="36" s="1"/>
  <c r="W16" i="36"/>
  <c r="AC16" i="36"/>
  <c r="E78" i="36"/>
  <c r="F78" i="36" s="1"/>
  <c r="G78" i="36" s="1"/>
  <c r="H78" i="36" s="1"/>
  <c r="I78" i="36" s="1"/>
  <c r="J78" i="36" s="1"/>
  <c r="K78" i="36" s="1"/>
  <c r="L78" i="36" s="1"/>
  <c r="M78" i="36" s="1"/>
  <c r="F26" i="36"/>
  <c r="S26" i="36" s="1"/>
  <c r="AB34" i="36"/>
  <c r="H33" i="36"/>
  <c r="U33" i="36" s="1"/>
  <c r="F33" i="36"/>
  <c r="AA33" i="36"/>
  <c r="H27" i="36"/>
  <c r="AB27" i="36" s="1"/>
  <c r="AC26" i="37"/>
  <c r="W26" i="37"/>
  <c r="AB29" i="37"/>
  <c r="AA30" i="37"/>
  <c r="S30" i="37"/>
  <c r="AC30"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J46" i="39"/>
  <c r="F29" i="39"/>
  <c r="AA29" i="39" s="1"/>
  <c r="E102" i="39"/>
  <c r="F102" i="39" s="1"/>
  <c r="G102" i="39" s="1"/>
  <c r="H29" i="39"/>
  <c r="U29" i="39" s="1"/>
  <c r="F34" i="39"/>
  <c r="AA34" i="39" s="1"/>
  <c r="H34" i="39"/>
  <c r="AB34" i="39" s="1"/>
  <c r="J34" i="39"/>
  <c r="AC34" i="39" s="1"/>
  <c r="H39" i="39"/>
  <c r="AB39" i="39" s="1"/>
  <c r="J39" i="39"/>
  <c r="J29" i="35"/>
  <c r="AC29" i="35" s="1"/>
  <c r="F29" i="35"/>
  <c r="W30" i="36"/>
  <c r="AC30" i="36"/>
  <c r="F37" i="39"/>
  <c r="H37" i="39"/>
  <c r="U37" i="39" s="1"/>
  <c r="J37" i="39"/>
  <c r="W37" i="39" s="1"/>
  <c r="BL568" i="3"/>
  <c r="AZ568" i="3" s="1"/>
  <c r="BA563" i="3"/>
  <c r="AZ563" i="3" s="1"/>
  <c r="BL554" i="3"/>
  <c r="BA548" i="3"/>
  <c r="BL547" i="3"/>
  <c r="BL536" i="3"/>
  <c r="AZ536" i="3" s="1"/>
  <c r="BL529" i="3"/>
  <c r="BA529" i="3"/>
  <c r="AZ529" i="3" s="1"/>
  <c r="BL522" i="3"/>
  <c r="AZ522" i="3" s="1"/>
  <c r="BA522" i="3"/>
  <c r="BL515" i="3"/>
  <c r="BA515" i="3"/>
  <c r="BA511" i="3"/>
  <c r="BA510" i="3"/>
  <c r="BA507" i="3"/>
  <c r="BL506" i="3"/>
  <c r="BA504" i="3"/>
  <c r="BA503" i="3"/>
  <c r="AZ503" i="3" s="1"/>
  <c r="BA500" i="3"/>
  <c r="AZ500" i="3" s="1"/>
  <c r="BL499" i="3"/>
  <c r="BA499" i="3"/>
  <c r="BL498" i="3"/>
  <c r="BL497" i="3"/>
  <c r="BA497" i="3"/>
  <c r="BA495" i="3"/>
  <c r="G494" i="3"/>
  <c r="BA490" i="3"/>
  <c r="BL489" i="3"/>
  <c r="BL486" i="3"/>
  <c r="BA482" i="3"/>
  <c r="BL481" i="3"/>
  <c r="BA481" i="3"/>
  <c r="BL19" i="3"/>
  <c r="AZ19" i="3"/>
  <c r="BA18" i="3"/>
  <c r="F36" i="44"/>
  <c r="H38" i="34"/>
  <c r="U38" i="34" s="1"/>
  <c r="H30" i="40"/>
  <c r="G99" i="40"/>
  <c r="H99" i="40" s="1"/>
  <c r="I99" i="40" s="1"/>
  <c r="J99" i="40" s="1"/>
  <c r="K99" i="40" s="1"/>
  <c r="L99" i="40" s="1"/>
  <c r="M99" i="40" s="1"/>
  <c r="J30" i="40"/>
  <c r="AC30" i="40"/>
  <c r="F38" i="40"/>
  <c r="S38" i="40" s="1"/>
  <c r="AA38" i="40"/>
  <c r="S35" i="21"/>
  <c r="U8" i="21"/>
  <c r="AB8" i="21"/>
  <c r="AC36" i="21"/>
  <c r="AB8" i="33"/>
  <c r="U8" i="33"/>
  <c r="E106" i="33"/>
  <c r="F106" i="33" s="1"/>
  <c r="G106" i="33" s="1"/>
  <c r="H106" i="33" s="1"/>
  <c r="I106" i="33" s="1"/>
  <c r="J106" i="33" s="1"/>
  <c r="K106" i="33" s="1"/>
  <c r="L106" i="33" s="1"/>
  <c r="M106" i="33" s="1"/>
  <c r="H34" i="33"/>
  <c r="U34" i="33" s="1"/>
  <c r="F34" i="33"/>
  <c r="S34" i="33"/>
  <c r="E121" i="33"/>
  <c r="F41" i="33"/>
  <c r="S41" i="33" s="1"/>
  <c r="AC34" i="34"/>
  <c r="W34" i="34"/>
  <c r="AA39" i="34"/>
  <c r="S39" i="34"/>
  <c r="E78" i="34"/>
  <c r="F78" i="34" s="1"/>
  <c r="G78" i="34" s="1"/>
  <c r="F15" i="34"/>
  <c r="S15" i="34" s="1"/>
  <c r="AC28" i="35"/>
  <c r="W28" i="35"/>
  <c r="J20" i="35"/>
  <c r="E72" i="35"/>
  <c r="F72" i="35" s="1"/>
  <c r="G72" i="35" s="1"/>
  <c r="H22" i="35"/>
  <c r="U22" i="35" s="1"/>
  <c r="H23" i="35"/>
  <c r="AB23" i="35" s="1"/>
  <c r="F23" i="35"/>
  <c r="AA23" i="35" s="1"/>
  <c r="S8" i="37"/>
  <c r="AA8" i="37"/>
  <c r="F14" i="39"/>
  <c r="AA14" i="39" s="1"/>
  <c r="H14" i="39"/>
  <c r="AB14" i="39" s="1"/>
  <c r="J14" i="39"/>
  <c r="W14" i="39" s="1"/>
  <c r="E96" i="39"/>
  <c r="F96" i="39" s="1"/>
  <c r="G96" i="39" s="1"/>
  <c r="F27" i="39"/>
  <c r="AA27" i="39" s="1"/>
  <c r="H27" i="39"/>
  <c r="AB27" i="39" s="1"/>
  <c r="J27" i="39"/>
  <c r="AC27" i="39" s="1"/>
  <c r="F15" i="40"/>
  <c r="AA15" i="40" s="1"/>
  <c r="J15" i="40"/>
  <c r="AC15" i="40" s="1"/>
  <c r="H15" i="40"/>
  <c r="AB15" i="40" s="1"/>
  <c r="E91" i="40"/>
  <c r="F91" i="40" s="1"/>
  <c r="G91" i="40" s="1"/>
  <c r="H23" i="40"/>
  <c r="U23" i="40" s="1"/>
  <c r="H41" i="40"/>
  <c r="AB41" i="40"/>
  <c r="F41" i="40"/>
  <c r="J41" i="40"/>
  <c r="H36" i="33"/>
  <c r="AB36" i="33"/>
  <c r="H37" i="34"/>
  <c r="U37" i="34" s="1"/>
  <c r="F15" i="39"/>
  <c r="AA15" i="39" s="1"/>
  <c r="H15" i="39"/>
  <c r="U15" i="39" s="1"/>
  <c r="H25" i="39"/>
  <c r="U25" i="39" s="1"/>
  <c r="J25" i="39"/>
  <c r="AC25" i="39" s="1"/>
  <c r="F25" i="39"/>
  <c r="AA25" i="39" s="1"/>
  <c r="H45" i="39"/>
  <c r="U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AC38" i="39" s="1"/>
  <c r="H38" i="39"/>
  <c r="U38" i="39" s="1"/>
  <c r="J16" i="40"/>
  <c r="J14" i="40"/>
  <c r="W14" i="40" s="1"/>
  <c r="H42" i="40"/>
  <c r="AB42" i="40" s="1"/>
  <c r="H34" i="40"/>
  <c r="U34" i="40" s="1"/>
  <c r="B41" i="1"/>
  <c r="F72" i="9" s="1"/>
  <c r="J42" i="40"/>
  <c r="AC42" i="40" s="1"/>
  <c r="J40" i="40"/>
  <c r="AC40" i="40" s="1"/>
  <c r="J34" i="40"/>
  <c r="H16" i="40"/>
  <c r="U16" i="40" s="1"/>
  <c r="AB16" i="40"/>
  <c r="H14" i="40"/>
  <c r="U14" i="40" s="1"/>
  <c r="F32" i="40"/>
  <c r="AA32" i="40" s="1"/>
  <c r="M1" i="46"/>
  <c r="M6" i="46"/>
  <c r="M10" i="46"/>
  <c r="N2" i="46"/>
  <c r="N5" i="46"/>
  <c r="F58" i="46"/>
  <c r="H61" i="46" s="1"/>
  <c r="N7" i="46"/>
  <c r="M7" i="46"/>
  <c r="M11" i="46"/>
  <c r="N3" i="46"/>
  <c r="N6" i="46"/>
  <c r="N10" i="46"/>
  <c r="F69" i="46"/>
  <c r="H71" i="46" s="1"/>
  <c r="J13" i="40"/>
  <c r="W13" i="40" s="1"/>
  <c r="AB14" i="40"/>
  <c r="AB37" i="34"/>
  <c r="U41" i="40"/>
  <c r="J23" i="40"/>
  <c r="F23" i="40"/>
  <c r="U23" i="35"/>
  <c r="H20" i="35"/>
  <c r="F20" i="35"/>
  <c r="S20" i="35" s="1"/>
  <c r="H15" i="34"/>
  <c r="U15" i="34" s="1"/>
  <c r="AB15" i="34"/>
  <c r="J15" i="34"/>
  <c r="W15" i="34" s="1"/>
  <c r="H41" i="33"/>
  <c r="U41" i="33" s="1"/>
  <c r="F121" i="33"/>
  <c r="G121" i="33" s="1"/>
  <c r="H121" i="33" s="1"/>
  <c r="I121" i="33" s="1"/>
  <c r="J121" i="33" s="1"/>
  <c r="K121" i="33" s="1"/>
  <c r="L121" i="33" s="1"/>
  <c r="M121" i="33" s="1"/>
  <c r="F30" i="40"/>
  <c r="AA30" i="40" s="1"/>
  <c r="AB38" i="34"/>
  <c r="AB37" i="39"/>
  <c r="J29" i="39"/>
  <c r="AC29" i="39" s="1"/>
  <c r="AB33" i="36"/>
  <c r="AA11" i="36"/>
  <c r="AA14" i="35"/>
  <c r="S14" i="35"/>
  <c r="G99" i="37"/>
  <c r="F33" i="37"/>
  <c r="S33" i="37" s="1"/>
  <c r="U46" i="34"/>
  <c r="AC30" i="34"/>
  <c r="AC13" i="33"/>
  <c r="U17" i="34"/>
  <c r="AA11" i="34"/>
  <c r="W32" i="33"/>
  <c r="H15" i="33"/>
  <c r="AB15" i="33" s="1"/>
  <c r="AA11" i="33"/>
  <c r="AA40" i="21"/>
  <c r="U17" i="21"/>
  <c r="U42" i="40"/>
  <c r="W32" i="40"/>
  <c r="H25" i="40"/>
  <c r="AB25" i="40" s="1"/>
  <c r="F93" i="40"/>
  <c r="G93" i="40"/>
  <c r="J37" i="34"/>
  <c r="AC37" i="34" s="1"/>
  <c r="J36" i="33"/>
  <c r="AC36" i="33" s="1"/>
  <c r="AB23" i="40"/>
  <c r="AA15" i="34"/>
  <c r="AA41" i="33"/>
  <c r="AA34" i="33"/>
  <c r="J34" i="33"/>
  <c r="AC34" i="33" s="1"/>
  <c r="W29" i="35"/>
  <c r="AA39" i="39"/>
  <c r="S39" i="39"/>
  <c r="F90" i="34"/>
  <c r="G90" i="34"/>
  <c r="H90" i="34" s="1"/>
  <c r="I90" i="34" s="1"/>
  <c r="J90" i="34" s="1"/>
  <c r="K90" i="34" s="1"/>
  <c r="L90" i="34" s="1"/>
  <c r="M90" i="34" s="1"/>
  <c r="F32" i="37"/>
  <c r="AA32" i="37" s="1"/>
  <c r="S32" i="37"/>
  <c r="U32" i="34"/>
  <c r="U12" i="34"/>
  <c r="AB13" i="33"/>
  <c r="F17" i="34"/>
  <c r="AA17" i="34" s="1"/>
  <c r="J17" i="34"/>
  <c r="W17" i="34" s="1"/>
  <c r="H11" i="34"/>
  <c r="J35" i="33"/>
  <c r="W35" i="33" s="1"/>
  <c r="S32" i="33"/>
  <c r="AC15" i="33"/>
  <c r="H11" i="33"/>
  <c r="AB11" i="33" s="1"/>
  <c r="U11" i="33"/>
  <c r="H10" i="33"/>
  <c r="U10" i="33" s="1"/>
  <c r="J10" i="33"/>
  <c r="AC10" i="33"/>
  <c r="U40" i="21"/>
  <c r="AC16" i="35"/>
  <c r="AC13" i="40"/>
  <c r="J11" i="34"/>
  <c r="AC11" i="34" s="1"/>
  <c r="S17" i="34"/>
  <c r="F25" i="40"/>
  <c r="AA25" i="40" s="1"/>
  <c r="J11" i="33"/>
  <c r="W11" i="33" s="1"/>
  <c r="H33" i="37"/>
  <c r="AB33" i="37"/>
  <c r="U20" i="35"/>
  <c r="AB20" i="35"/>
  <c r="AP11" i="1"/>
  <c r="B11" i="1"/>
  <c r="E11" i="1" s="1"/>
  <c r="K11" i="1"/>
  <c r="M11" i="1" s="1"/>
  <c r="B9" i="1"/>
  <c r="E9" i="1"/>
  <c r="K9" i="1"/>
  <c r="M9" i="1" s="1"/>
  <c r="B7" i="1"/>
  <c r="E7" i="1" s="1"/>
  <c r="K7" i="1"/>
  <c r="M7" i="1" s="1"/>
  <c r="F6" i="1"/>
  <c r="G11" i="1"/>
  <c r="M22" i="44"/>
  <c r="M20" i="44"/>
  <c r="S23" i="36"/>
  <c r="S8" i="36"/>
  <c r="AA26" i="36"/>
  <c r="AA28" i="36"/>
  <c r="H20" i="36"/>
  <c r="F68" i="36"/>
  <c r="G68" i="36" s="1"/>
  <c r="J20" i="36"/>
  <c r="AC20" i="36" s="1"/>
  <c r="F20" i="36"/>
  <c r="S20" i="36" s="1"/>
  <c r="F62" i="36"/>
  <c r="G62" i="36" s="1"/>
  <c r="J14" i="36"/>
  <c r="AC14" i="36" s="1"/>
  <c r="H14" i="36"/>
  <c r="F14" i="36"/>
  <c r="AA14" i="36" s="1"/>
  <c r="W20" i="36"/>
  <c r="U32" i="36"/>
  <c r="S33" i="36"/>
  <c r="AA27" i="36"/>
  <c r="S16" i="36"/>
  <c r="S29" i="36"/>
  <c r="AC33" i="35"/>
  <c r="S8" i="35"/>
  <c r="U33" i="35"/>
  <c r="AA20" i="35"/>
  <c r="S23" i="35"/>
  <c r="S16" i="35"/>
  <c r="AB14" i="35"/>
  <c r="AC10" i="35"/>
  <c r="AC18" i="35"/>
  <c r="W18" i="35"/>
  <c r="U18" i="35"/>
  <c r="AB18" i="35"/>
  <c r="S30" i="35"/>
  <c r="AB30" i="35"/>
  <c r="S27" i="35"/>
  <c r="J26" i="35"/>
  <c r="W26" i="35" s="1"/>
  <c r="F26" i="35"/>
  <c r="H26" i="35"/>
  <c r="U26" i="35" s="1"/>
  <c r="AA9" i="37"/>
  <c r="S17" i="37"/>
  <c r="W28" i="37"/>
  <c r="AB37" i="37"/>
  <c r="AA31" i="37"/>
  <c r="AA33" i="37"/>
  <c r="U32" i="37"/>
  <c r="J33" i="37"/>
  <c r="W33" i="37" s="1"/>
  <c r="H99" i="37"/>
  <c r="I99" i="37" s="1"/>
  <c r="J99" i="37" s="1"/>
  <c r="K99" i="37" s="1"/>
  <c r="L99" i="37" s="1"/>
  <c r="M99" i="37" s="1"/>
  <c r="S29" i="37"/>
  <c r="J19" i="37"/>
  <c r="AC19" i="37" s="1"/>
  <c r="F19" i="37"/>
  <c r="AA19" i="37" s="1"/>
  <c r="H19" i="37"/>
  <c r="J17" i="37"/>
  <c r="W17" i="37" s="1"/>
  <c r="S15" i="37"/>
  <c r="AC10" i="37"/>
  <c r="AC21" i="37"/>
  <c r="W21" i="37"/>
  <c r="AC11" i="37"/>
  <c r="W32" i="37"/>
  <c r="U35" i="37"/>
  <c r="U8" i="37"/>
  <c r="AB21" i="37"/>
  <c r="U21" i="37"/>
  <c r="S40" i="37"/>
  <c r="AA11" i="37"/>
  <c r="W46" i="34"/>
  <c r="AC45" i="34"/>
  <c r="AA40" i="34"/>
  <c r="W33" i="34"/>
  <c r="AB33" i="34"/>
  <c r="AA12" i="34"/>
  <c r="AC35" i="34"/>
  <c r="AA30" i="34"/>
  <c r="AC32" i="34"/>
  <c r="AA33" i="34"/>
  <c r="U44" i="34"/>
  <c r="U34" i="34"/>
  <c r="J25" i="34"/>
  <c r="H25" i="34"/>
  <c r="U25" i="34" s="1"/>
  <c r="F25" i="34"/>
  <c r="J23" i="34"/>
  <c r="W23" i="34" s="1"/>
  <c r="F86" i="34"/>
  <c r="G86" i="34" s="1"/>
  <c r="F23" i="34"/>
  <c r="H23" i="34"/>
  <c r="AB23" i="34" s="1"/>
  <c r="W10" i="34"/>
  <c r="U10" i="34"/>
  <c r="W37" i="34"/>
  <c r="W44" i="34"/>
  <c r="W19" i="34"/>
  <c r="AC21" i="34"/>
  <c r="W21" i="34"/>
  <c r="AB21" i="34"/>
  <c r="U21" i="34"/>
  <c r="U19" i="34"/>
  <c r="S13" i="34"/>
  <c r="S10" i="34"/>
  <c r="U39" i="33"/>
  <c r="U37" i="33"/>
  <c r="S35" i="33"/>
  <c r="AC12" i="33"/>
  <c r="AB41" i="33"/>
  <c r="U36" i="33"/>
  <c r="AC35" i="33"/>
  <c r="W31" i="33"/>
  <c r="W43" i="33"/>
  <c r="U46" i="33"/>
  <c r="U35" i="33"/>
  <c r="AB34" i="33"/>
  <c r="H25" i="33"/>
  <c r="J25" i="33"/>
  <c r="F87" i="33"/>
  <c r="G87" i="33" s="1"/>
  <c r="H87" i="33" s="1"/>
  <c r="I87" i="33" s="1"/>
  <c r="J87" i="33" s="1"/>
  <c r="K87" i="33" s="1"/>
  <c r="L87" i="33" s="1"/>
  <c r="M87" i="33" s="1"/>
  <c r="F25" i="33"/>
  <c r="AA25" i="33" s="1"/>
  <c r="F85" i="33"/>
  <c r="G85" i="33" s="1"/>
  <c r="J23" i="33"/>
  <c r="W23" i="33" s="1"/>
  <c r="F23" i="33"/>
  <c r="AA23" i="33" s="1"/>
  <c r="H23" i="33"/>
  <c r="AB23" i="33" s="1"/>
  <c r="U19" i="33"/>
  <c r="F17" i="33"/>
  <c r="H17" i="33"/>
  <c r="U17" i="33" s="1"/>
  <c r="J17" i="33"/>
  <c r="W17" i="33" s="1"/>
  <c r="S10" i="33"/>
  <c r="S14" i="33"/>
  <c r="W10" i="33"/>
  <c r="AC21" i="33"/>
  <c r="W21" i="33"/>
  <c r="W14" i="33"/>
  <c r="AB21" i="33"/>
  <c r="U21" i="33"/>
  <c r="AA21" i="33"/>
  <c r="S21" i="33"/>
  <c r="S44" i="21"/>
  <c r="AC34" i="21"/>
  <c r="W32" i="21"/>
  <c r="U35" i="21"/>
  <c r="AA37" i="21"/>
  <c r="S42" i="21"/>
  <c r="AB32" i="21"/>
  <c r="AC26" i="21"/>
  <c r="J23" i="21"/>
  <c r="W23" i="21" s="1"/>
  <c r="F23" i="21"/>
  <c r="H23" i="21"/>
  <c r="AA17" i="21"/>
  <c r="F15" i="21"/>
  <c r="S15" i="21" s="1"/>
  <c r="F77" i="21"/>
  <c r="G77" i="21" s="1"/>
  <c r="J15" i="21"/>
  <c r="H15" i="21"/>
  <c r="AB15" i="21" s="1"/>
  <c r="AC11" i="21"/>
  <c r="AB11" i="21"/>
  <c r="W13" i="21"/>
  <c r="AA11" i="21"/>
  <c r="AC21" i="21"/>
  <c r="W21" i="21"/>
  <c r="AC19" i="21"/>
  <c r="W10" i="21"/>
  <c r="AC38" i="21"/>
  <c r="AB21" i="21"/>
  <c r="U21" i="21"/>
  <c r="AA30" i="21"/>
  <c r="W33" i="40"/>
  <c r="S35" i="40"/>
  <c r="U15" i="40"/>
  <c r="S14" i="40"/>
  <c r="S15" i="40"/>
  <c r="AB13" i="40"/>
  <c r="S16" i="40"/>
  <c r="W11" i="40"/>
  <c r="AA21" i="40"/>
  <c r="U21" i="40"/>
  <c r="W25" i="40"/>
  <c r="W42" i="40"/>
  <c r="U35" i="40"/>
  <c r="F37" i="40"/>
  <c r="J37" i="40"/>
  <c r="AC37" i="40" s="1"/>
  <c r="H37" i="40"/>
  <c r="U37" i="40" s="1"/>
  <c r="G112" i="40"/>
  <c r="H112" i="40"/>
  <c r="I112" i="40" s="1"/>
  <c r="J112" i="40" s="1"/>
  <c r="K112" i="40" s="1"/>
  <c r="L112" i="40" s="1"/>
  <c r="M112" i="40" s="1"/>
  <c r="F39" i="40"/>
  <c r="AA39" i="40" s="1"/>
  <c r="H39" i="40"/>
  <c r="AB39" i="40" s="1"/>
  <c r="J39" i="40"/>
  <c r="W39" i="40" s="1"/>
  <c r="W38" i="40"/>
  <c r="F29" i="40"/>
  <c r="S29" i="40" s="1"/>
  <c r="H29" i="40"/>
  <c r="AB29" i="40" s="1"/>
  <c r="J29" i="40"/>
  <c r="W29" i="40" s="1"/>
  <c r="S25" i="40"/>
  <c r="F87" i="40"/>
  <c r="G87" i="40" s="1"/>
  <c r="F19" i="40"/>
  <c r="S19" i="40" s="1"/>
  <c r="H19" i="40"/>
  <c r="J19" i="40"/>
  <c r="W19" i="40" s="1"/>
  <c r="W17" i="40"/>
  <c r="F17" i="40"/>
  <c r="AA17" i="40" s="1"/>
  <c r="H17" i="40"/>
  <c r="U17" i="40" s="1"/>
  <c r="U10" i="40"/>
  <c r="U27" i="40"/>
  <c r="AB27" i="40"/>
  <c r="S11" i="39"/>
  <c r="U11" i="39"/>
  <c r="U31" i="39"/>
  <c r="AB31" i="39"/>
  <c r="S38" i="39"/>
  <c r="M20" i="15"/>
  <c r="D96" i="9"/>
  <c r="M18" i="15"/>
  <c r="A18" i="64"/>
  <c r="B74" i="63" s="1"/>
  <c r="C53" i="10"/>
  <c r="A25" i="64" s="1"/>
  <c r="A18" i="51"/>
  <c r="B14" i="63" s="1"/>
  <c r="BA16" i="3"/>
  <c r="BA17" i="3"/>
  <c r="AZ17" i="3" s="1"/>
  <c r="F3" i="35"/>
  <c r="K1" i="12"/>
  <c r="G3" i="46"/>
  <c r="D101" i="46" s="1"/>
  <c r="D105" i="46" s="1"/>
  <c r="BL18" i="3"/>
  <c r="AZ18" i="3" s="1"/>
  <c r="BR5" i="3"/>
  <c r="BL16" i="3"/>
  <c r="G28" i="12"/>
  <c r="D24" i="44"/>
  <c r="D26" i="44"/>
  <c r="N8" i="46"/>
  <c r="N4" i="46"/>
  <c r="N1" i="46"/>
  <c r="F47" i="46"/>
  <c r="H52"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AA12" i="36"/>
  <c r="W11" i="35"/>
  <c r="AA11" i="35"/>
  <c r="S14" i="37"/>
  <c r="U13" i="37"/>
  <c r="S13" i="21"/>
  <c r="G8" i="1"/>
  <c r="I20" i="46"/>
  <c r="L5" i="54"/>
  <c r="B39" i="63" s="1"/>
  <c r="K5" i="54"/>
  <c r="B38" i="63" s="1"/>
  <c r="T41" i="4"/>
  <c r="A17" i="51" s="1"/>
  <c r="B13" i="63" s="1"/>
  <c r="B46" i="50"/>
  <c r="B4" i="63" s="1"/>
  <c r="H86" i="46"/>
  <c r="H82" i="46"/>
  <c r="H10" i="48"/>
  <c r="H87" i="46"/>
  <c r="H85" i="46"/>
  <c r="H83" i="46"/>
  <c r="K10" i="1"/>
  <c r="M10" i="1" s="1"/>
  <c r="S11" i="1"/>
  <c r="R11" i="1"/>
  <c r="S13" i="1"/>
  <c r="R13" i="1"/>
  <c r="B10" i="1"/>
  <c r="E10" i="1" s="1"/>
  <c r="S10" i="1"/>
  <c r="B8" i="1"/>
  <c r="E8" i="1" s="1"/>
  <c r="B12" i="1"/>
  <c r="E12" i="1"/>
  <c r="S12" i="1"/>
  <c r="F66" i="36"/>
  <c r="G66" i="36" s="1"/>
  <c r="H18" i="36"/>
  <c r="AB18" i="36" s="1"/>
  <c r="U16" i="36"/>
  <c r="S25" i="36"/>
  <c r="U23" i="36"/>
  <c r="AC27" i="36"/>
  <c r="W28" i="36"/>
  <c r="AA32" i="36"/>
  <c r="U13" i="36"/>
  <c r="AA22" i="36"/>
  <c r="W29" i="36"/>
  <c r="W8" i="36"/>
  <c r="AC30" i="35"/>
  <c r="U24" i="35"/>
  <c r="W32" i="35"/>
  <c r="S24" i="35"/>
  <c r="AA33" i="35"/>
  <c r="U32" i="35"/>
  <c r="W22" i="35"/>
  <c r="W34" i="35"/>
  <c r="S32" i="35"/>
  <c r="W35" i="37"/>
  <c r="U33" i="37"/>
  <c r="AC15" i="37"/>
  <c r="W38" i="37"/>
  <c r="W36" i="37"/>
  <c r="U26" i="37"/>
  <c r="AB28" i="37"/>
  <c r="S28" i="37"/>
  <c r="W13" i="37"/>
  <c r="AB35" i="34"/>
  <c r="W47" i="34"/>
  <c r="AB47" i="34"/>
  <c r="AB13" i="34"/>
  <c r="AC13" i="34"/>
  <c r="S47" i="34"/>
  <c r="S19" i="34"/>
  <c r="S43" i="33"/>
  <c r="AB42" i="33"/>
  <c r="AB14" i="33"/>
  <c r="AB12" i="33"/>
  <c r="S15" i="33"/>
  <c r="AB25" i="21"/>
  <c r="AB45" i="21"/>
  <c r="W25" i="21"/>
  <c r="AA25" i="21"/>
  <c r="AC37" i="21"/>
  <c r="W31" i="21"/>
  <c r="S27" i="21"/>
  <c r="AA15" i="21"/>
  <c r="AC27" i="21"/>
  <c r="G95" i="40"/>
  <c r="J27" i="40"/>
  <c r="W27" i="40" s="1"/>
  <c r="W30" i="40"/>
  <c r="S34" i="40"/>
  <c r="U38" i="40"/>
  <c r="S42" i="40"/>
  <c r="J31" i="39"/>
  <c r="W31" i="39" s="1"/>
  <c r="W36" i="39"/>
  <c r="AC37" i="39"/>
  <c r="W45" i="39"/>
  <c r="W10" i="39"/>
  <c r="S32" i="40"/>
  <c r="C27" i="39"/>
  <c r="C19" i="40"/>
  <c r="C17" i="39"/>
  <c r="C19" i="39"/>
  <c r="C21" i="39"/>
  <c r="C23" i="40"/>
  <c r="B51" i="46"/>
  <c r="B55" i="46"/>
  <c r="B59" i="46"/>
  <c r="B62" i="46"/>
  <c r="B66" i="46"/>
  <c r="B53" i="46"/>
  <c r="B64" i="46"/>
  <c r="D24" i="15"/>
  <c r="W14" i="36"/>
  <c r="U14" i="36"/>
  <c r="AB14" i="36"/>
  <c r="AA26" i="35"/>
  <c r="S26" i="35"/>
  <c r="AC26" i="35"/>
  <c r="S19" i="37"/>
  <c r="W19" i="37"/>
  <c r="AB19" i="37"/>
  <c r="U19" i="37"/>
  <c r="AC17" i="37"/>
  <c r="W25" i="34"/>
  <c r="AC25" i="34"/>
  <c r="U23" i="34"/>
  <c r="AA23" i="34"/>
  <c r="S23" i="34"/>
  <c r="S25" i="33"/>
  <c r="S23" i="33"/>
  <c r="AA17" i="33"/>
  <c r="S17" i="33"/>
  <c r="AA23" i="21"/>
  <c r="S23" i="21"/>
  <c r="U15" i="21"/>
  <c r="W15" i="21"/>
  <c r="AC15" i="21"/>
  <c r="AB37" i="40"/>
  <c r="AA37" i="40"/>
  <c r="S37" i="40"/>
  <c r="U29" i="40"/>
  <c r="AA29" i="40"/>
  <c r="AT6" i="3"/>
  <c r="J18" i="36"/>
  <c r="AC18" i="36" s="1"/>
  <c r="AE8" i="1"/>
  <c r="AE7" i="1"/>
  <c r="AG6" i="1"/>
  <c r="L20" i="6"/>
  <c r="L19" i="6"/>
  <c r="S7" i="1"/>
  <c r="S8" i="1"/>
  <c r="S9" i="1"/>
  <c r="R9" i="1"/>
  <c r="R7" i="1"/>
  <c r="R8" i="1"/>
  <c r="C45" i="9"/>
  <c r="H14" i="66" s="1"/>
  <c r="B7" i="66" s="1"/>
  <c r="C46" i="9"/>
  <c r="K33" i="9" s="1"/>
  <c r="H58" i="46"/>
  <c r="J17" i="46"/>
  <c r="C17" i="46"/>
  <c r="F34" i="46"/>
  <c r="F38" i="46"/>
  <c r="F37" i="46"/>
  <c r="H113" i="46"/>
  <c r="F24" i="59"/>
  <c r="F23" i="59"/>
  <c r="F22" i="59" s="1"/>
  <c r="F21" i="59" s="1"/>
  <c r="Y23" i="59"/>
  <c r="Z23" i="59" s="1"/>
  <c r="AA23" i="59"/>
  <c r="AB23" i="59"/>
  <c r="Y22" i="59"/>
  <c r="Z22" i="59"/>
  <c r="Y21" i="59"/>
  <c r="Z21" i="59" s="1"/>
  <c r="Y20" i="59"/>
  <c r="Z20" i="59" s="1"/>
  <c r="AB22" i="59"/>
  <c r="AB21" i="59"/>
  <c r="AB20" i="59"/>
  <c r="AA25" i="59"/>
  <c r="X23" i="59"/>
  <c r="X21" i="59"/>
  <c r="X20" i="59"/>
  <c r="AA21" i="59"/>
  <c r="AA20" i="59"/>
  <c r="H1" i="65"/>
  <c r="X7" i="46"/>
  <c r="E17" i="46"/>
  <c r="N17" i="46"/>
  <c r="O17" i="46"/>
  <c r="M17" i="46"/>
  <c r="L17" i="46"/>
  <c r="H70" i="46"/>
  <c r="H73" i="46"/>
  <c r="F35" i="46"/>
  <c r="I17" i="46"/>
  <c r="H63" i="46"/>
  <c r="H64" i="46"/>
  <c r="H66" i="46"/>
  <c r="D100" i="46"/>
  <c r="H62" i="46"/>
  <c r="AF12" i="46"/>
  <c r="K100" i="46"/>
  <c r="AB12" i="46"/>
  <c r="AJ12" i="46"/>
  <c r="H60" i="46"/>
  <c r="H59" i="46"/>
  <c r="H74" i="46"/>
  <c r="H65" i="46"/>
  <c r="H75" i="46"/>
  <c r="H72" i="46"/>
  <c r="H69" i="46"/>
  <c r="H77" i="46"/>
  <c r="H76" i="46"/>
  <c r="AD12" i="46"/>
  <c r="AH12" i="46"/>
  <c r="G20" i="46"/>
  <c r="E41" i="46" s="1"/>
  <c r="C41" i="46" s="1"/>
  <c r="I4" i="65"/>
  <c r="N6" i="65"/>
  <c r="B14" i="67"/>
  <c r="F9" i="67"/>
  <c r="F11" i="67"/>
  <c r="F8" i="67"/>
  <c r="N7" i="65"/>
  <c r="J5" i="65"/>
  <c r="B12" i="67"/>
  <c r="E11" i="67"/>
  <c r="J3" i="65"/>
  <c r="E14" i="67"/>
  <c r="E13" i="67"/>
  <c r="N5" i="65"/>
  <c r="E8" i="67"/>
  <c r="B13" i="67"/>
  <c r="B8" i="67"/>
  <c r="F10" i="67"/>
  <c r="E9" i="67"/>
  <c r="F14" i="67"/>
  <c r="B11" i="67"/>
  <c r="N3" i="65"/>
  <c r="N4" i="65"/>
  <c r="B9" i="67"/>
  <c r="J6" i="65"/>
  <c r="I6" i="65"/>
  <c r="I5" i="65"/>
  <c r="F12" i="67"/>
  <c r="E12" i="67"/>
  <c r="B10" i="67"/>
  <c r="F13" i="67"/>
  <c r="E10" i="67"/>
  <c r="AA9" i="33" l="1"/>
  <c r="S9" i="33"/>
  <c r="AC23" i="34"/>
  <c r="S23" i="40"/>
  <c r="AA23" i="40"/>
  <c r="S14" i="36"/>
  <c r="AB37" i="21"/>
  <c r="AB33" i="21"/>
  <c r="AB31" i="34"/>
  <c r="U31" i="34"/>
  <c r="AC28" i="21"/>
  <c r="W28" i="21"/>
  <c r="E121" i="39"/>
  <c r="J41" i="39"/>
  <c r="AC41" i="39" s="1"/>
  <c r="W17" i="21"/>
  <c r="U11" i="34"/>
  <c r="AB11" i="34"/>
  <c r="AZ511" i="3"/>
  <c r="AA46" i="34"/>
  <c r="S46" i="34"/>
  <c r="AB30" i="34"/>
  <c r="U30" i="34"/>
  <c r="AB28" i="35"/>
  <c r="AZ320" i="3"/>
  <c r="W37" i="33"/>
  <c r="AC37" i="33"/>
  <c r="W33" i="36"/>
  <c r="AC33" i="36"/>
  <c r="J29" i="21"/>
  <c r="H29" i="21"/>
  <c r="F29" i="21"/>
  <c r="AC33" i="33"/>
  <c r="W33" i="33"/>
  <c r="F92" i="39"/>
  <c r="G92" i="39" s="1"/>
  <c r="F19" i="39"/>
  <c r="S19" i="39" s="1"/>
  <c r="F46" i="39"/>
  <c r="H46" i="39"/>
  <c r="AB46" i="39" s="1"/>
  <c r="AA41" i="40"/>
  <c r="S41" i="40"/>
  <c r="W18" i="36"/>
  <c r="AZ515" i="3"/>
  <c r="AZ126" i="3"/>
  <c r="AA37" i="37"/>
  <c r="S37" i="37"/>
  <c r="U41" i="34"/>
  <c r="AB41" i="34"/>
  <c r="W27" i="37"/>
  <c r="AC27" i="37"/>
  <c r="S13" i="36"/>
  <c r="AA13" i="36"/>
  <c r="W45" i="33"/>
  <c r="AC45" i="33"/>
  <c r="S27" i="34"/>
  <c r="AA27" i="34"/>
  <c r="AB29" i="33"/>
  <c r="U29" i="33"/>
  <c r="AB14" i="34"/>
  <c r="U14" i="34"/>
  <c r="F27" i="37"/>
  <c r="H27" i="37"/>
  <c r="U27" i="37" s="1"/>
  <c r="U9" i="37"/>
  <c r="AB9" i="37"/>
  <c r="AA33" i="21"/>
  <c r="S33" i="21"/>
  <c r="AC31" i="37"/>
  <c r="W31" i="37"/>
  <c r="AC33" i="37"/>
  <c r="U19" i="40"/>
  <c r="AB19" i="40"/>
  <c r="U23" i="21"/>
  <c r="AB23" i="21"/>
  <c r="W25" i="33"/>
  <c r="AC25" i="33"/>
  <c r="AC20" i="35"/>
  <c r="W20" i="35"/>
  <c r="AB11" i="37"/>
  <c r="U11" i="37"/>
  <c r="S36" i="37"/>
  <c r="AA36" i="37"/>
  <c r="S41" i="34"/>
  <c r="AA41" i="34"/>
  <c r="AC19" i="33"/>
  <c r="W19" i="33"/>
  <c r="AB32" i="33"/>
  <c r="U32" i="33"/>
  <c r="AA36" i="34"/>
  <c r="S36" i="34"/>
  <c r="F28" i="34"/>
  <c r="S28" i="34" s="1"/>
  <c r="J28" i="34"/>
  <c r="AC28" i="34" s="1"/>
  <c r="H28" i="34"/>
  <c r="AA35" i="34"/>
  <c r="S35" i="34"/>
  <c r="F30" i="33"/>
  <c r="S30" i="33" s="1"/>
  <c r="H30" i="33"/>
  <c r="J30" i="33"/>
  <c r="U34" i="21"/>
  <c r="AB34" i="21"/>
  <c r="U23" i="33"/>
  <c r="AB25" i="33"/>
  <c r="U25" i="33"/>
  <c r="AA25" i="34"/>
  <c r="S25" i="34"/>
  <c r="U20" i="36"/>
  <c r="AB20" i="36"/>
  <c r="AC14" i="35"/>
  <c r="W14" i="35"/>
  <c r="AC12" i="34"/>
  <c r="AZ532" i="3"/>
  <c r="AB10" i="36"/>
  <c r="U10" i="36"/>
  <c r="S19" i="33"/>
  <c r="AA19" i="33"/>
  <c r="S43" i="21"/>
  <c r="AA43" i="21"/>
  <c r="AC39" i="21"/>
  <c r="W39" i="21"/>
  <c r="AC44" i="21"/>
  <c r="W44" i="21"/>
  <c r="W40" i="21"/>
  <c r="AC40" i="21"/>
  <c r="AZ508" i="3"/>
  <c r="U31" i="36"/>
  <c r="AC39" i="39"/>
  <c r="W39" i="39"/>
  <c r="W46" i="39"/>
  <c r="AC46" i="39"/>
  <c r="W9" i="37"/>
  <c r="AC9" i="37"/>
  <c r="AA46" i="33"/>
  <c r="S46" i="33"/>
  <c r="AB27" i="21"/>
  <c r="U27" i="21"/>
  <c r="AA39" i="21"/>
  <c r="S39" i="21"/>
  <c r="AB22" i="36"/>
  <c r="U22" i="36"/>
  <c r="AZ567" i="3"/>
  <c r="AZ564" i="3"/>
  <c r="BL562" i="3"/>
  <c r="AZ562" i="3" s="1"/>
  <c r="AZ557" i="3"/>
  <c r="BA556" i="3"/>
  <c r="AZ555" i="3"/>
  <c r="BA554" i="3"/>
  <c r="AZ554" i="3" s="1"/>
  <c r="AZ553" i="3"/>
  <c r="BL548" i="3"/>
  <c r="BA547" i="3"/>
  <c r="AZ547" i="3" s="1"/>
  <c r="BA545" i="3"/>
  <c r="AZ545" i="3" s="1"/>
  <c r="BA540" i="3"/>
  <c r="AZ537" i="3"/>
  <c r="AZ535" i="3"/>
  <c r="AZ534" i="3"/>
  <c r="AZ533" i="3"/>
  <c r="BL528" i="3"/>
  <c r="AZ528" i="3" s="1"/>
  <c r="AZ525" i="3"/>
  <c r="BA524" i="3"/>
  <c r="AZ519" i="3"/>
  <c r="AZ514" i="3"/>
  <c r="BA513" i="3"/>
  <c r="BL512" i="3"/>
  <c r="AZ512" i="3"/>
  <c r="AA10" i="37"/>
  <c r="S10" i="37"/>
  <c r="U33" i="40"/>
  <c r="AB30" i="40"/>
  <c r="U30" i="40"/>
  <c r="AZ504" i="3"/>
  <c r="S13" i="35"/>
  <c r="AA13" i="35"/>
  <c r="S31" i="34"/>
  <c r="AA31" i="34"/>
  <c r="S34" i="36"/>
  <c r="AA34" i="36"/>
  <c r="B80" i="46"/>
  <c r="C17" i="40"/>
  <c r="AC39" i="34"/>
  <c r="W39" i="34"/>
  <c r="W22" i="36"/>
  <c r="AC22" i="36"/>
  <c r="F40" i="40"/>
  <c r="H40" i="40"/>
  <c r="AB34" i="37"/>
  <c r="U34" i="37"/>
  <c r="U30" i="36"/>
  <c r="AB30" i="36"/>
  <c r="AZ569" i="3"/>
  <c r="AZ498" i="3"/>
  <c r="H27" i="34"/>
  <c r="F14" i="34"/>
  <c r="AZ329" i="3"/>
  <c r="W23" i="35"/>
  <c r="BL518" i="3"/>
  <c r="AZ518" i="3" s="1"/>
  <c r="BL534" i="3"/>
  <c r="BL542" i="3"/>
  <c r="AZ542" i="3" s="1"/>
  <c r="AZ493" i="3"/>
  <c r="J29" i="33"/>
  <c r="W8" i="35"/>
  <c r="BL326" i="3"/>
  <c r="AZ326" i="3" s="1"/>
  <c r="F45" i="39"/>
  <c r="AZ490" i="3"/>
  <c r="J14" i="34"/>
  <c r="W14" i="34" s="1"/>
  <c r="BL520" i="3"/>
  <c r="AC30" i="21"/>
  <c r="AB41" i="21"/>
  <c r="BA496" i="3"/>
  <c r="BL495" i="3"/>
  <c r="AZ495" i="3" s="1"/>
  <c r="BL494" i="3"/>
  <c r="BA494" i="3"/>
  <c r="AZ494" i="3" s="1"/>
  <c r="BL493" i="3"/>
  <c r="BE5" i="3"/>
  <c r="BL491" i="3"/>
  <c r="BA491" i="3"/>
  <c r="BL490" i="3"/>
  <c r="BA489" i="3"/>
  <c r="BL487" i="3"/>
  <c r="BA487" i="3"/>
  <c r="BA56" i="3"/>
  <c r="AC39" i="40"/>
  <c r="U39" i="40"/>
  <c r="AB26" i="35"/>
  <c r="AA20" i="36"/>
  <c r="W37" i="40"/>
  <c r="AB45" i="39"/>
  <c r="AC23" i="21"/>
  <c r="W39" i="33"/>
  <c r="U27" i="36"/>
  <c r="S43" i="34"/>
  <c r="AZ499" i="3"/>
  <c r="AB39" i="34"/>
  <c r="AZ355" i="3"/>
  <c r="AZ304" i="3"/>
  <c r="AZ377" i="3"/>
  <c r="BL508" i="3"/>
  <c r="BL538" i="3"/>
  <c r="AZ538" i="3" s="1"/>
  <c r="BL560" i="3"/>
  <c r="AZ560" i="3" s="1"/>
  <c r="AC27" i="35"/>
  <c r="G551" i="3"/>
  <c r="G535" i="3"/>
  <c r="G505" i="3"/>
  <c r="G408" i="3"/>
  <c r="AB17" i="33"/>
  <c r="S8" i="34"/>
  <c r="AZ16" i="3"/>
  <c r="U25" i="40"/>
  <c r="S28" i="35"/>
  <c r="S30" i="36"/>
  <c r="AZ356" i="3"/>
  <c r="AZ325" i="3"/>
  <c r="AZ354" i="3"/>
  <c r="AZ322" i="3"/>
  <c r="U23" i="37"/>
  <c r="BL510" i="3"/>
  <c r="AZ510" i="3" s="1"/>
  <c r="BL524" i="3"/>
  <c r="AZ524" i="3" s="1"/>
  <c r="BL540" i="3"/>
  <c r="BL546" i="3"/>
  <c r="H26" i="33"/>
  <c r="AC26" i="33"/>
  <c r="J27" i="34"/>
  <c r="H34" i="35"/>
  <c r="BL527" i="3"/>
  <c r="AZ527" i="3" s="1"/>
  <c r="G162" i="3"/>
  <c r="G525" i="3"/>
  <c r="BL413" i="3"/>
  <c r="BA217" i="3"/>
  <c r="BL116" i="3"/>
  <c r="W38" i="39"/>
  <c r="U36" i="35"/>
  <c r="AA31" i="36"/>
  <c r="F29" i="33"/>
  <c r="AZ328" i="3"/>
  <c r="BL530" i="3"/>
  <c r="AZ530" i="3" s="1"/>
  <c r="AA27" i="33"/>
  <c r="H44" i="21"/>
  <c r="S38" i="34"/>
  <c r="U33" i="33"/>
  <c r="J12" i="21"/>
  <c r="BS5" i="3"/>
  <c r="BB5" i="3"/>
  <c r="E8" i="6" s="1"/>
  <c r="E53" i="40" s="1"/>
  <c r="BL571" i="3"/>
  <c r="AZ571" i="3" s="1"/>
  <c r="BA571" i="3"/>
  <c r="BL570" i="3"/>
  <c r="BO5" i="3"/>
  <c r="G559" i="3"/>
  <c r="G552" i="3"/>
  <c r="BA367" i="3"/>
  <c r="AZ367" i="3" s="1"/>
  <c r="AZ297" i="3"/>
  <c r="AZ358" i="3"/>
  <c r="AZ347" i="3"/>
  <c r="AZ338" i="3"/>
  <c r="F36" i="35"/>
  <c r="BL516" i="3"/>
  <c r="AZ516" i="3" s="1"/>
  <c r="BL532" i="3"/>
  <c r="AB45" i="33"/>
  <c r="U9" i="21"/>
  <c r="F26" i="33"/>
  <c r="G150" i="3"/>
  <c r="BA396" i="3"/>
  <c r="G399" i="3"/>
  <c r="BA405" i="3"/>
  <c r="BL407" i="3"/>
  <c r="BL408" i="3"/>
  <c r="G409" i="3"/>
  <c r="G420" i="3"/>
  <c r="G448" i="3"/>
  <c r="BL456" i="3"/>
  <c r="BA462" i="3"/>
  <c r="G475" i="3"/>
  <c r="G476" i="3"/>
  <c r="BA480" i="3"/>
  <c r="G307" i="3"/>
  <c r="G349" i="3"/>
  <c r="BL386" i="3"/>
  <c r="BA388" i="3"/>
  <c r="BA207" i="3"/>
  <c r="BA208" i="3"/>
  <c r="AZ208" i="3" s="1"/>
  <c r="BL209" i="3"/>
  <c r="G211" i="3"/>
  <c r="BL238" i="3"/>
  <c r="G240" i="3"/>
  <c r="G241" i="3"/>
  <c r="G248" i="3"/>
  <c r="G258" i="3"/>
  <c r="BL277" i="3"/>
  <c r="G283" i="3"/>
  <c r="BA294" i="3"/>
  <c r="BL296" i="3"/>
  <c r="BL141" i="3"/>
  <c r="G142" i="3"/>
  <c r="G143" i="3"/>
  <c r="BL190" i="3"/>
  <c r="G191" i="3"/>
  <c r="G199" i="3"/>
  <c r="G54" i="3"/>
  <c r="G73" i="3"/>
  <c r="BA74" i="3"/>
  <c r="G81" i="3"/>
  <c r="G99" i="3"/>
  <c r="BL106" i="3"/>
  <c r="AA31" i="59"/>
  <c r="BA393" i="3"/>
  <c r="BA394" i="3"/>
  <c r="BA395" i="3"/>
  <c r="AZ395" i="3" s="1"/>
  <c r="G407" i="3"/>
  <c r="G418" i="3"/>
  <c r="BL430" i="3"/>
  <c r="BA432" i="3"/>
  <c r="G455" i="3"/>
  <c r="BA461" i="3"/>
  <c r="G464" i="3"/>
  <c r="BL475" i="3"/>
  <c r="BA479" i="3"/>
  <c r="BA321" i="3"/>
  <c r="AZ321" i="3" s="1"/>
  <c r="G365" i="3"/>
  <c r="BA236" i="3"/>
  <c r="G256" i="3"/>
  <c r="G274" i="3"/>
  <c r="G282" i="3"/>
  <c r="BL293" i="3"/>
  <c r="G149" i="3"/>
  <c r="BA181" i="3"/>
  <c r="AZ181" i="3" s="1"/>
  <c r="BA186" i="3"/>
  <c r="G34" i="3"/>
  <c r="G44" i="3"/>
  <c r="G53" i="3"/>
  <c r="BL89" i="3"/>
  <c r="G90" i="3"/>
  <c r="BL103" i="3"/>
  <c r="C36" i="59"/>
  <c r="F44" i="59"/>
  <c r="F45" i="59" s="1"/>
  <c r="V45" i="59" s="1"/>
  <c r="E48" i="59"/>
  <c r="E49" i="59" s="1"/>
  <c r="U49" i="59" s="1"/>
  <c r="C24" i="59"/>
  <c r="G563" i="3"/>
  <c r="G19" i="3"/>
  <c r="K145" i="21"/>
  <c r="BA390" i="3"/>
  <c r="AZ390" i="3" s="1"/>
  <c r="BL390" i="3"/>
  <c r="G392" i="3"/>
  <c r="BA411" i="3"/>
  <c r="G416" i="3"/>
  <c r="BA416" i="3"/>
  <c r="BA421" i="3"/>
  <c r="BA423" i="3"/>
  <c r="G425" i="3"/>
  <c r="BA425" i="3"/>
  <c r="G433" i="3"/>
  <c r="BL442" i="3"/>
  <c r="BL443" i="3"/>
  <c r="G445" i="3"/>
  <c r="BA445" i="3"/>
  <c r="BA450" i="3"/>
  <c r="BA453" i="3"/>
  <c r="G472" i="3"/>
  <c r="BL472" i="3"/>
  <c r="G480" i="3"/>
  <c r="G320" i="3"/>
  <c r="G383" i="3"/>
  <c r="BA385" i="3"/>
  <c r="G207" i="3"/>
  <c r="G216" i="3"/>
  <c r="G217" i="3"/>
  <c r="G218" i="3"/>
  <c r="G228" i="3"/>
  <c r="G245" i="3"/>
  <c r="G246" i="3"/>
  <c r="BA252" i="3"/>
  <c r="G272" i="3"/>
  <c r="G280" i="3"/>
  <c r="BA124" i="3"/>
  <c r="BL126" i="3"/>
  <c r="G137" i="3"/>
  <c r="G147" i="3"/>
  <c r="G158" i="3"/>
  <c r="BL167" i="3"/>
  <c r="G168" i="3"/>
  <c r="G178" i="3"/>
  <c r="G188" i="3"/>
  <c r="G196" i="3"/>
  <c r="G204" i="3"/>
  <c r="BA25" i="3"/>
  <c r="BA28" i="3"/>
  <c r="G41" i="3"/>
  <c r="G52" i="3"/>
  <c r="G61" i="3"/>
  <c r="BL97" i="3"/>
  <c r="C68" i="59"/>
  <c r="S77" i="59"/>
  <c r="AC12" i="46"/>
  <c r="BA550" i="3"/>
  <c r="G549" i="3"/>
  <c r="G547" i="3"/>
  <c r="BA546" i="3"/>
  <c r="AZ546" i="3" s="1"/>
  <c r="G531" i="3"/>
  <c r="G524" i="3"/>
  <c r="G511" i="3"/>
  <c r="G504" i="3"/>
  <c r="BA420" i="3"/>
  <c r="BL432" i="3"/>
  <c r="BL439" i="3"/>
  <c r="BA469" i="3"/>
  <c r="BA471" i="3"/>
  <c r="BA476" i="3"/>
  <c r="BL302" i="3"/>
  <c r="AZ302" i="3" s="1"/>
  <c r="BA369" i="3"/>
  <c r="BA249" i="3"/>
  <c r="BL24" i="3"/>
  <c r="BL54" i="3"/>
  <c r="BL85" i="3"/>
  <c r="AB39" i="59"/>
  <c r="E64" i="59"/>
  <c r="E65" i="59" s="1"/>
  <c r="U65" i="59" s="1"/>
  <c r="BA399" i="3"/>
  <c r="BA400" i="3"/>
  <c r="BL401" i="3"/>
  <c r="BA430" i="3"/>
  <c r="AZ430" i="3" s="1"/>
  <c r="G432" i="3"/>
  <c r="BL436" i="3"/>
  <c r="BL452" i="3"/>
  <c r="BL460" i="3"/>
  <c r="BA325" i="3"/>
  <c r="BA333" i="3"/>
  <c r="AZ333" i="3" s="1"/>
  <c r="BA368" i="3"/>
  <c r="G206" i="3"/>
  <c r="BA220" i="3"/>
  <c r="G244" i="3"/>
  <c r="BA267" i="3"/>
  <c r="BL268" i="3"/>
  <c r="BL270" i="3"/>
  <c r="BA271" i="3"/>
  <c r="BL160" i="3"/>
  <c r="BL165" i="3"/>
  <c r="AZ165" i="3" s="1"/>
  <c r="BA21" i="3"/>
  <c r="BL82" i="3"/>
  <c r="B80" i="59"/>
  <c r="B79" i="59" s="1"/>
  <c r="G533" i="3"/>
  <c r="G401" i="3"/>
  <c r="G411" i="3"/>
  <c r="G430" i="3"/>
  <c r="G438" i="3"/>
  <c r="G450" i="3"/>
  <c r="BA451" i="3"/>
  <c r="AZ451" i="3" s="1"/>
  <c r="G459" i="3"/>
  <c r="G460" i="3"/>
  <c r="BA466" i="3"/>
  <c r="G469" i="3"/>
  <c r="G477" i="3"/>
  <c r="G301" i="3"/>
  <c r="G309" i="3"/>
  <c r="G317" i="3"/>
  <c r="G205" i="3"/>
  <c r="G213" i="3"/>
  <c r="G214" i="3"/>
  <c r="BL221" i="3"/>
  <c r="G224" i="3"/>
  <c r="G250" i="3"/>
  <c r="G259" i="3"/>
  <c r="G260" i="3"/>
  <c r="BA262" i="3"/>
  <c r="G277" i="3"/>
  <c r="G294" i="3"/>
  <c r="BA156" i="3"/>
  <c r="BA160" i="3"/>
  <c r="AZ160" i="3" s="1"/>
  <c r="G183" i="3"/>
  <c r="BL204" i="3"/>
  <c r="G27" i="3"/>
  <c r="BA34" i="3"/>
  <c r="G37" i="3"/>
  <c r="G38" i="3"/>
  <c r="BL42" i="3"/>
  <c r="G58" i="3"/>
  <c r="BA80" i="3"/>
  <c r="G84" i="3"/>
  <c r="G112" i="3"/>
  <c r="K12" i="1"/>
  <c r="M12" i="1" s="1"/>
  <c r="B13" i="1"/>
  <c r="E13" i="1" s="1"/>
  <c r="E36" i="59"/>
  <c r="E37" i="59" s="1"/>
  <c r="U37" i="59" s="1"/>
  <c r="F52" i="59"/>
  <c r="F53" i="59" s="1"/>
  <c r="V53" i="59" s="1"/>
  <c r="B60" i="59"/>
  <c r="D25" i="59"/>
  <c r="BL485" i="3"/>
  <c r="BA485" i="3"/>
  <c r="BL483" i="3"/>
  <c r="AZ483" i="3" s="1"/>
  <c r="BA483" i="3"/>
  <c r="BA397" i="3"/>
  <c r="BA398" i="3"/>
  <c r="AZ398" i="3" s="1"/>
  <c r="BA465" i="3"/>
  <c r="BA297" i="3"/>
  <c r="BA218" i="3"/>
  <c r="BA219" i="3"/>
  <c r="G276" i="3"/>
  <c r="BA278" i="3"/>
  <c r="BL283" i="3"/>
  <c r="BL285" i="3"/>
  <c r="BA117" i="3"/>
  <c r="BL120" i="3"/>
  <c r="BA144" i="3"/>
  <c r="BA148" i="3"/>
  <c r="BL152" i="3"/>
  <c r="BL79" i="3"/>
  <c r="BA89" i="3"/>
  <c r="AZ89" i="3" s="1"/>
  <c r="BL91" i="3"/>
  <c r="J43" i="39"/>
  <c r="AC43" i="39" s="1"/>
  <c r="H43" i="39"/>
  <c r="U43" i="39" s="1"/>
  <c r="AE11" i="46"/>
  <c r="AE13" i="46" s="1"/>
  <c r="E19" i="6"/>
  <c r="C9" i="12" s="1"/>
  <c r="AC23" i="40"/>
  <c r="W23" i="40"/>
  <c r="J12" i="37"/>
  <c r="H12" i="37"/>
  <c r="F12" i="37"/>
  <c r="R22" i="31"/>
  <c r="B21" i="31" s="1"/>
  <c r="BQ5" i="3"/>
  <c r="F28" i="6" s="1"/>
  <c r="W29" i="34"/>
  <c r="AB11" i="35"/>
  <c r="AZ539" i="3"/>
  <c r="S29" i="35"/>
  <c r="AA29" i="35"/>
  <c r="W40" i="37"/>
  <c r="BL492" i="3"/>
  <c r="AZ492" i="3" s="1"/>
  <c r="S38" i="21"/>
  <c r="AA38" i="21"/>
  <c r="W40" i="34"/>
  <c r="AC40" i="34"/>
  <c r="H55" i="46"/>
  <c r="H50" i="46"/>
  <c r="S32" i="34"/>
  <c r="AC25" i="36"/>
  <c r="S34" i="21"/>
  <c r="AB19" i="21"/>
  <c r="U19" i="21"/>
  <c r="AC9" i="21"/>
  <c r="W9" i="21"/>
  <c r="AC34" i="40"/>
  <c r="W34" i="40"/>
  <c r="H47" i="46"/>
  <c r="H51" i="46"/>
  <c r="AC27" i="40"/>
  <c r="U18" i="36"/>
  <c r="AB10" i="33"/>
  <c r="S33" i="40"/>
  <c r="AC41" i="40"/>
  <c r="W41" i="40"/>
  <c r="AB22" i="35"/>
  <c r="U10" i="35"/>
  <c r="AB10" i="35"/>
  <c r="U27" i="33"/>
  <c r="AB27" i="33"/>
  <c r="AA36" i="33"/>
  <c r="S23" i="37"/>
  <c r="AA23" i="37"/>
  <c r="BA492" i="3"/>
  <c r="S35" i="35"/>
  <c r="AA35" i="35"/>
  <c r="U30" i="33"/>
  <c r="AB30" i="33"/>
  <c r="S28" i="33"/>
  <c r="AA28" i="33"/>
  <c r="J14" i="21"/>
  <c r="F14" i="21"/>
  <c r="H14" i="21"/>
  <c r="AB14" i="21" s="1"/>
  <c r="H46" i="21"/>
  <c r="J46" i="21"/>
  <c r="F46" i="21"/>
  <c r="H28" i="33"/>
  <c r="J28" i="33"/>
  <c r="J25" i="35"/>
  <c r="F25" i="35"/>
  <c r="H25" i="35"/>
  <c r="AC29" i="40"/>
  <c r="H48" i="46"/>
  <c r="H53" i="46"/>
  <c r="AB25" i="34"/>
  <c r="BD5" i="3"/>
  <c r="AF11" i="46"/>
  <c r="AF13" i="46" s="1"/>
  <c r="H49" i="46"/>
  <c r="AA19" i="40"/>
  <c r="AC23" i="33"/>
  <c r="AA44" i="33"/>
  <c r="W16" i="40"/>
  <c r="AC16" i="40"/>
  <c r="AZ507" i="3"/>
  <c r="U46" i="39"/>
  <c r="BL484" i="3"/>
  <c r="U45" i="34"/>
  <c r="AB45" i="34"/>
  <c r="AA34" i="35"/>
  <c r="S34" i="35"/>
  <c r="AA13" i="37"/>
  <c r="W43" i="21"/>
  <c r="AP6" i="1"/>
  <c r="C12" i="39"/>
  <c r="S37" i="39"/>
  <c r="AA37" i="39"/>
  <c r="S28" i="21"/>
  <c r="AA28" i="21"/>
  <c r="BA486" i="3"/>
  <c r="AZ486" i="3" s="1"/>
  <c r="AZ485" i="3"/>
  <c r="BJ5" i="3"/>
  <c r="BA484" i="3"/>
  <c r="G482" i="3"/>
  <c r="AC5" i="3"/>
  <c r="BM5" i="3"/>
  <c r="G29" i="6"/>
  <c r="E29" i="6" s="1"/>
  <c r="K15" i="1" s="1"/>
  <c r="W13" i="35"/>
  <c r="AC17" i="34"/>
  <c r="W13" i="36"/>
  <c r="AC13" i="36"/>
  <c r="AC9" i="34"/>
  <c r="W9" i="34"/>
  <c r="AZ496" i="3"/>
  <c r="AZ491" i="3"/>
  <c r="AZ489" i="3"/>
  <c r="BA488" i="3"/>
  <c r="AZ488" i="3" s="1"/>
  <c r="AZ361" i="3"/>
  <c r="BL482" i="3"/>
  <c r="AZ482" i="3" s="1"/>
  <c r="BL552" i="3"/>
  <c r="AZ552" i="3" s="1"/>
  <c r="AZ501" i="3"/>
  <c r="H38" i="37"/>
  <c r="U44" i="33"/>
  <c r="W31" i="36"/>
  <c r="AC31" i="36"/>
  <c r="E123" i="39"/>
  <c r="F123" i="39" s="1"/>
  <c r="G123" i="39" s="1"/>
  <c r="H123" i="39" s="1"/>
  <c r="I123" i="39" s="1"/>
  <c r="J123" i="39" s="1"/>
  <c r="K123" i="39" s="1"/>
  <c r="L123" i="39" s="1"/>
  <c r="M123" i="39" s="1"/>
  <c r="F42" i="39"/>
  <c r="J42" i="39"/>
  <c r="AC42" i="39" s="1"/>
  <c r="H42" i="39"/>
  <c r="AZ497" i="3"/>
  <c r="AZ548" i="3"/>
  <c r="AZ339" i="3"/>
  <c r="AZ345" i="3"/>
  <c r="U36" i="37"/>
  <c r="W14" i="37"/>
  <c r="H25" i="36"/>
  <c r="AC31" i="34"/>
  <c r="AA45" i="21"/>
  <c r="W28" i="34"/>
  <c r="AA33" i="33"/>
  <c r="H12" i="35"/>
  <c r="J12" i="35"/>
  <c r="F12" i="35"/>
  <c r="AZ481" i="3"/>
  <c r="AZ506" i="3"/>
  <c r="AZ517" i="3"/>
  <c r="AZ523" i="3"/>
  <c r="W37" i="37"/>
  <c r="U42" i="21"/>
  <c r="AZ378" i="3"/>
  <c r="AZ373" i="3"/>
  <c r="AZ336" i="3"/>
  <c r="AB27" i="37"/>
  <c r="BL544" i="3"/>
  <c r="AZ544" i="3" s="1"/>
  <c r="BL558" i="3"/>
  <c r="AZ558" i="3" s="1"/>
  <c r="AZ20" i="3"/>
  <c r="H29" i="34"/>
  <c r="J39" i="37"/>
  <c r="F39" i="37"/>
  <c r="AZ513" i="3"/>
  <c r="AZ372" i="3"/>
  <c r="AZ343" i="3"/>
  <c r="AB31" i="37"/>
  <c r="S10" i="35"/>
  <c r="AB8" i="34"/>
  <c r="AZ541" i="3"/>
  <c r="W42" i="21"/>
  <c r="H13" i="35"/>
  <c r="F29" i="34"/>
  <c r="BL13" i="3"/>
  <c r="BF5" i="3"/>
  <c r="BH5" i="3"/>
  <c r="H25" i="37"/>
  <c r="J25" i="37"/>
  <c r="AZ305" i="3"/>
  <c r="F38" i="37"/>
  <c r="S38" i="37" s="1"/>
  <c r="AA12" i="33"/>
  <c r="C29" i="39"/>
  <c r="BL572" i="3"/>
  <c r="BA572" i="3"/>
  <c r="BG5" i="3"/>
  <c r="AZ331" i="3"/>
  <c r="AZ550" i="3"/>
  <c r="H9" i="33"/>
  <c r="J9" i="33"/>
  <c r="G14" i="3"/>
  <c r="BL14" i="3"/>
  <c r="AZ14" i="3" s="1"/>
  <c r="BL399" i="3"/>
  <c r="AZ399" i="3" s="1"/>
  <c r="BA403" i="3"/>
  <c r="BA406" i="3"/>
  <c r="BL409" i="3"/>
  <c r="G410" i="3"/>
  <c r="BA410" i="3"/>
  <c r="BL415" i="3"/>
  <c r="BA418" i="3"/>
  <c r="BL423" i="3"/>
  <c r="BL425" i="3"/>
  <c r="AZ425" i="3" s="1"/>
  <c r="G427" i="3"/>
  <c r="BL427" i="3"/>
  <c r="BA428" i="3"/>
  <c r="BA434" i="3"/>
  <c r="BA439" i="3"/>
  <c r="BA441" i="3"/>
  <c r="BL445" i="3"/>
  <c r="G447" i="3"/>
  <c r="BA448" i="3"/>
  <c r="AZ448" i="3" s="1"/>
  <c r="BL451" i="3"/>
  <c r="G456" i="3"/>
  <c r="G457" i="3"/>
  <c r="G461" i="3"/>
  <c r="G463" i="3"/>
  <c r="BL476" i="3"/>
  <c r="AZ476" i="3" s="1"/>
  <c r="BA301" i="3"/>
  <c r="AZ301" i="3" s="1"/>
  <c r="BA309" i="3"/>
  <c r="AZ309" i="3" s="1"/>
  <c r="BA311" i="3"/>
  <c r="AZ311" i="3" s="1"/>
  <c r="G315" i="3"/>
  <c r="BA317" i="3"/>
  <c r="AZ317" i="3" s="1"/>
  <c r="BL319" i="3"/>
  <c r="G333" i="3"/>
  <c r="BA210" i="3"/>
  <c r="BL212" i="3"/>
  <c r="BA223" i="3"/>
  <c r="BA224" i="3"/>
  <c r="BL225" i="3"/>
  <c r="G227" i="3"/>
  <c r="BL254" i="3"/>
  <c r="BA289" i="3"/>
  <c r="BA168" i="3"/>
  <c r="G555" i="3"/>
  <c r="G486" i="3"/>
  <c r="F61" i="15"/>
  <c r="E14" i="68"/>
  <c r="BA415" i="3"/>
  <c r="AZ432" i="3"/>
  <c r="AZ445" i="3"/>
  <c r="BL455" i="3"/>
  <c r="BL462" i="3"/>
  <c r="AZ462" i="3" s="1"/>
  <c r="BA467" i="3"/>
  <c r="AZ467" i="3" s="1"/>
  <c r="BL88" i="3"/>
  <c r="AA28" i="34"/>
  <c r="BA570" i="3"/>
  <c r="AZ570" i="3" s="1"/>
  <c r="F26" i="37"/>
  <c r="BC5" i="3"/>
  <c r="BL406" i="3"/>
  <c r="BA407" i="3"/>
  <c r="AZ407" i="3" s="1"/>
  <c r="BA417" i="3"/>
  <c r="BL422" i="3"/>
  <c r="BL424" i="3"/>
  <c r="BA431" i="3"/>
  <c r="BA433" i="3"/>
  <c r="BA436" i="3"/>
  <c r="BL438" i="3"/>
  <c r="BA442" i="3"/>
  <c r="AZ442" i="3" s="1"/>
  <c r="BL447" i="3"/>
  <c r="BA455" i="3"/>
  <c r="BL459" i="3"/>
  <c r="BL469" i="3"/>
  <c r="BA472" i="3"/>
  <c r="BA475" i="3"/>
  <c r="BL314" i="3"/>
  <c r="AZ314" i="3" s="1"/>
  <c r="BA337" i="3"/>
  <c r="AZ337" i="3" s="1"/>
  <c r="BA353" i="3"/>
  <c r="AZ353" i="3" s="1"/>
  <c r="G212" i="3"/>
  <c r="G225" i="3"/>
  <c r="BL252" i="3"/>
  <c r="AZ252" i="3" s="1"/>
  <c r="BA253" i="3"/>
  <c r="G254" i="3"/>
  <c r="AZ25" i="3"/>
  <c r="BA112" i="3"/>
  <c r="G571" i="3"/>
  <c r="BI5" i="3"/>
  <c r="G548" i="3"/>
  <c r="G495" i="3"/>
  <c r="G490" i="3"/>
  <c r="BA389" i="3"/>
  <c r="BL389" i="3"/>
  <c r="BA402" i="3"/>
  <c r="AZ402" i="3" s="1"/>
  <c r="BL404" i="3"/>
  <c r="BL405" i="3"/>
  <c r="BA413" i="3"/>
  <c r="BL419" i="3"/>
  <c r="BL420" i="3"/>
  <c r="AZ420" i="3" s="1"/>
  <c r="BL421" i="3"/>
  <c r="AZ421" i="3" s="1"/>
  <c r="BA422" i="3"/>
  <c r="AZ422" i="3" s="1"/>
  <c r="BA427" i="3"/>
  <c r="AZ427" i="3" s="1"/>
  <c r="BL429" i="3"/>
  <c r="BL435" i="3"/>
  <c r="BL437" i="3"/>
  <c r="BA438" i="3"/>
  <c r="G442" i="3"/>
  <c r="BA447" i="3"/>
  <c r="AZ447" i="3" s="1"/>
  <c r="BL450" i="3"/>
  <c r="AZ450" i="3" s="1"/>
  <c r="BL454" i="3"/>
  <c r="BA459" i="3"/>
  <c r="AZ459" i="3" s="1"/>
  <c r="BL465" i="3"/>
  <c r="AZ465" i="3" s="1"/>
  <c r="BL312" i="3"/>
  <c r="AZ312" i="3" s="1"/>
  <c r="BA335" i="3"/>
  <c r="AZ335" i="3" s="1"/>
  <c r="BA383" i="3"/>
  <c r="AZ383" i="3" s="1"/>
  <c r="BL261" i="3"/>
  <c r="BA286" i="3"/>
  <c r="AZ286" i="3" s="1"/>
  <c r="BA123" i="3"/>
  <c r="AZ123" i="3" s="1"/>
  <c r="BL94" i="3"/>
  <c r="AA21" i="21"/>
  <c r="S21" i="21"/>
  <c r="G532" i="3"/>
  <c r="G519" i="3"/>
  <c r="G481" i="3"/>
  <c r="BA391" i="3"/>
  <c r="BA392" i="3"/>
  <c r="AZ392" i="3" s="1"/>
  <c r="G404" i="3"/>
  <c r="BA404" i="3"/>
  <c r="BA412" i="3"/>
  <c r="BA414" i="3"/>
  <c r="BL416" i="3"/>
  <c r="BL417" i="3"/>
  <c r="G419" i="3"/>
  <c r="BA419" i="3"/>
  <c r="AZ419" i="3" s="1"/>
  <c r="G422" i="3"/>
  <c r="BA429" i="3"/>
  <c r="BL431" i="3"/>
  <c r="BL433" i="3"/>
  <c r="G435" i="3"/>
  <c r="BA435" i="3"/>
  <c r="BL441" i="3"/>
  <c r="BL444" i="3"/>
  <c r="BL453" i="3"/>
  <c r="BL458" i="3"/>
  <c r="AZ458" i="3" s="1"/>
  <c r="BA468" i="3"/>
  <c r="BL468" i="3"/>
  <c r="BA470" i="3"/>
  <c r="BL471" i="3"/>
  <c r="AZ471" i="3" s="1"/>
  <c r="G473" i="3"/>
  <c r="BL474" i="3"/>
  <c r="AZ474" i="3" s="1"/>
  <c r="BL478" i="3"/>
  <c r="BL479" i="3"/>
  <c r="BL480" i="3"/>
  <c r="AZ480" i="3" s="1"/>
  <c r="BA315" i="3"/>
  <c r="AZ315" i="3" s="1"/>
  <c r="BL376" i="3"/>
  <c r="AZ376" i="3" s="1"/>
  <c r="BL382" i="3"/>
  <c r="AZ382" i="3" s="1"/>
  <c r="BL384" i="3"/>
  <c r="BA247" i="3"/>
  <c r="BA248" i="3"/>
  <c r="AZ416" i="3"/>
  <c r="BA424" i="3"/>
  <c r="AZ424" i="3" s="1"/>
  <c r="BL434" i="3"/>
  <c r="BA444" i="3"/>
  <c r="BL449" i="3"/>
  <c r="BA478" i="3"/>
  <c r="G569" i="3"/>
  <c r="G567" i="3"/>
  <c r="G543" i="3"/>
  <c r="G540" i="3"/>
  <c r="G516" i="3"/>
  <c r="G503" i="3"/>
  <c r="G489" i="3"/>
  <c r="G15" i="3"/>
  <c r="G390" i="3"/>
  <c r="BL391" i="3"/>
  <c r="BL393" i="3"/>
  <c r="BA401" i="3"/>
  <c r="AZ401" i="3" s="1"/>
  <c r="BL402" i="3"/>
  <c r="BA409" i="3"/>
  <c r="AZ409" i="3" s="1"/>
  <c r="BL412" i="3"/>
  <c r="BL414" i="3"/>
  <c r="BL426" i="3"/>
  <c r="G431" i="3"/>
  <c r="BA437" i="3"/>
  <c r="BL440" i="3"/>
  <c r="BL446" i="3"/>
  <c r="BA449" i="3"/>
  <c r="BA452" i="3"/>
  <c r="AZ452" i="3" s="1"/>
  <c r="BA457" i="3"/>
  <c r="BL473" i="3"/>
  <c r="BL308" i="3"/>
  <c r="AZ308" i="3" s="1"/>
  <c r="BL318" i="3"/>
  <c r="BL335" i="3"/>
  <c r="BL351" i="3"/>
  <c r="BL239" i="3"/>
  <c r="BL275" i="3"/>
  <c r="BL394" i="3"/>
  <c r="AZ394" i="3" s="1"/>
  <c r="BL396" i="3"/>
  <c r="BL397" i="3"/>
  <c r="AZ397" i="3" s="1"/>
  <c r="G398" i="3"/>
  <c r="G400" i="3"/>
  <c r="BL400" i="3"/>
  <c r="AZ400" i="3" s="1"/>
  <c r="BL403" i="3"/>
  <c r="BA408" i="3"/>
  <c r="AZ408" i="3" s="1"/>
  <c r="BL410" i="3"/>
  <c r="BL411" i="3"/>
  <c r="AZ411" i="3" s="1"/>
  <c r="G412" i="3"/>
  <c r="G413" i="3"/>
  <c r="BL418" i="3"/>
  <c r="BA426" i="3"/>
  <c r="AZ426" i="3" s="1"/>
  <c r="G428" i="3"/>
  <c r="BL428" i="3"/>
  <c r="BA443" i="3"/>
  <c r="BA446" i="3"/>
  <c r="BL448" i="3"/>
  <c r="BA456" i="3"/>
  <c r="AZ456" i="3" s="1"/>
  <c r="BL457" i="3"/>
  <c r="BA460" i="3"/>
  <c r="AZ460" i="3" s="1"/>
  <c r="BL461" i="3"/>
  <c r="AZ461" i="3" s="1"/>
  <c r="BA463" i="3"/>
  <c r="BL467" i="3"/>
  <c r="BL470" i="3"/>
  <c r="BA473" i="3"/>
  <c r="AZ473" i="3" s="1"/>
  <c r="BL477" i="3"/>
  <c r="BL306" i="3"/>
  <c r="AZ306" i="3" s="1"/>
  <c r="BL342" i="3"/>
  <c r="AZ342" i="3" s="1"/>
  <c r="BA350" i="3"/>
  <c r="AZ350" i="3" s="1"/>
  <c r="BL206" i="3"/>
  <c r="BL229" i="3"/>
  <c r="BL236" i="3"/>
  <c r="AZ236" i="3" s="1"/>
  <c r="G238" i="3"/>
  <c r="BL274" i="3"/>
  <c r="BL291" i="3"/>
  <c r="BA128" i="3"/>
  <c r="G345" i="3"/>
  <c r="G387" i="3"/>
  <c r="G388" i="3"/>
  <c r="BA212" i="3"/>
  <c r="BA213" i="3"/>
  <c r="G215" i="3"/>
  <c r="BL215" i="3"/>
  <c r="BA222" i="3"/>
  <c r="AZ222" i="3" s="1"/>
  <c r="BA225" i="3"/>
  <c r="BL227" i="3"/>
  <c r="G230" i="3"/>
  <c r="BA237" i="3"/>
  <c r="BL242" i="3"/>
  <c r="BA250" i="3"/>
  <c r="AZ250" i="3" s="1"/>
  <c r="BA251" i="3"/>
  <c r="AZ251" i="3" s="1"/>
  <c r="BA263" i="3"/>
  <c r="G271" i="3"/>
  <c r="BA284" i="3"/>
  <c r="G286" i="3"/>
  <c r="BL289" i="3"/>
  <c r="G290" i="3"/>
  <c r="G292" i="3"/>
  <c r="BL294" i="3"/>
  <c r="AZ294" i="3" s="1"/>
  <c r="BA119" i="3"/>
  <c r="AZ119" i="3" s="1"/>
  <c r="BL125" i="3"/>
  <c r="BL130" i="3"/>
  <c r="AZ130" i="3" s="1"/>
  <c r="G131" i="3"/>
  <c r="BL136" i="3"/>
  <c r="G145" i="3"/>
  <c r="BA149" i="3"/>
  <c r="AZ149" i="3" s="1"/>
  <c r="G153" i="3"/>
  <c r="BA162" i="3"/>
  <c r="AZ162" i="3" s="1"/>
  <c r="BL180" i="3"/>
  <c r="G201" i="3"/>
  <c r="BA29" i="3"/>
  <c r="BA31" i="3"/>
  <c r="BL33" i="3"/>
  <c r="G36" i="3"/>
  <c r="BL45" i="3"/>
  <c r="BL48" i="3"/>
  <c r="G49" i="3"/>
  <c r="BL49" i="3"/>
  <c r="BL60" i="3"/>
  <c r="G62" i="3"/>
  <c r="BA67" i="3"/>
  <c r="BA68" i="3"/>
  <c r="G72" i="3"/>
  <c r="G88" i="3"/>
  <c r="BL92" i="3"/>
  <c r="G93" i="3"/>
  <c r="BA108" i="3"/>
  <c r="G111" i="3"/>
  <c r="C32" i="59"/>
  <c r="AA38" i="59"/>
  <c r="F56" i="59"/>
  <c r="F57" i="59" s="1"/>
  <c r="V57" i="59" s="1"/>
  <c r="F68" i="59"/>
  <c r="AG12" i="46"/>
  <c r="Q69" i="59"/>
  <c r="AB38" i="59"/>
  <c r="B44" i="59"/>
  <c r="B45" i="59" s="1"/>
  <c r="S45" i="59" s="1"/>
  <c r="F76" i="59"/>
  <c r="F75" i="59" s="1"/>
  <c r="AI12" i="46"/>
  <c r="BL258" i="3"/>
  <c r="AZ258" i="3" s="1"/>
  <c r="G125" i="3"/>
  <c r="BL149" i="3"/>
  <c r="BA172" i="3"/>
  <c r="BA174" i="3"/>
  <c r="AZ174" i="3" s="1"/>
  <c r="BL199" i="3"/>
  <c r="BL29" i="3"/>
  <c r="G35" i="3"/>
  <c r="BA43" i="3"/>
  <c r="BL46" i="3"/>
  <c r="BA55" i="3"/>
  <c r="BA57" i="3"/>
  <c r="G69" i="3"/>
  <c r="BL70" i="3"/>
  <c r="BA79" i="3"/>
  <c r="AZ79" i="3" s="1"/>
  <c r="BL81" i="3"/>
  <c r="BA104" i="3"/>
  <c r="G110" i="3"/>
  <c r="AA35" i="59"/>
  <c r="E60" i="59"/>
  <c r="E61" i="59" s="1"/>
  <c r="U61" i="59" s="1"/>
  <c r="Y25" i="59"/>
  <c r="Z25" i="59" s="1"/>
  <c r="AB24" i="59"/>
  <c r="BA231" i="3"/>
  <c r="BA232" i="3"/>
  <c r="G236" i="3"/>
  <c r="G237" i="3"/>
  <c r="BL249" i="3"/>
  <c r="AZ249" i="3" s="1"/>
  <c r="BL250" i="3"/>
  <c r="BA264" i="3"/>
  <c r="BA265" i="3"/>
  <c r="BL267" i="3"/>
  <c r="AZ267" i="3" s="1"/>
  <c r="G268" i="3"/>
  <c r="G122" i="3"/>
  <c r="BL124" i="3"/>
  <c r="AZ124" i="3" s="1"/>
  <c r="G151" i="3"/>
  <c r="BL186" i="3"/>
  <c r="AZ186" i="3" s="1"/>
  <c r="BA199" i="3"/>
  <c r="BA203" i="3"/>
  <c r="BL27" i="3"/>
  <c r="G32" i="3"/>
  <c r="BA37" i="3"/>
  <c r="BA39" i="3"/>
  <c r="G47" i="3"/>
  <c r="BA53" i="3"/>
  <c r="BA64" i="3"/>
  <c r="BL67" i="3"/>
  <c r="BL83" i="3"/>
  <c r="BA101" i="3"/>
  <c r="AZ101" i="3" s="1"/>
  <c r="G109" i="3"/>
  <c r="AB32" i="59"/>
  <c r="AB37" i="59"/>
  <c r="AE10" i="46"/>
  <c r="AB36" i="59"/>
  <c r="AB19" i="59"/>
  <c r="BL369" i="3"/>
  <c r="BA371" i="3"/>
  <c r="AZ371" i="3" s="1"/>
  <c r="BA205" i="3"/>
  <c r="AZ205" i="3" s="1"/>
  <c r="BL208" i="3"/>
  <c r="BL210" i="3"/>
  <c r="BL220" i="3"/>
  <c r="G222" i="3"/>
  <c r="BL223" i="3"/>
  <c r="BL234" i="3"/>
  <c r="AZ234" i="3" s="1"/>
  <c r="BA245" i="3"/>
  <c r="G249" i="3"/>
  <c r="BA261" i="3"/>
  <c r="BL264" i="3"/>
  <c r="BA277" i="3"/>
  <c r="BA281" i="3"/>
  <c r="BL282" i="3"/>
  <c r="BL286" i="3"/>
  <c r="BL290" i="3"/>
  <c r="G119" i="3"/>
  <c r="BA132" i="3"/>
  <c r="BA145" i="3"/>
  <c r="BL150" i="3"/>
  <c r="AZ150" i="3" s="1"/>
  <c r="G164" i="3"/>
  <c r="BL171" i="3"/>
  <c r="BL192" i="3"/>
  <c r="AZ192" i="3" s="1"/>
  <c r="BL202" i="3"/>
  <c r="G29" i="3"/>
  <c r="G31" i="3"/>
  <c r="BA38" i="3"/>
  <c r="BA40" i="3"/>
  <c r="BL53" i="3"/>
  <c r="BL65" i="3"/>
  <c r="BA71" i="3"/>
  <c r="AZ71" i="3" s="1"/>
  <c r="BA76" i="3"/>
  <c r="AZ76" i="3" s="1"/>
  <c r="G80" i="3"/>
  <c r="G83" i="3"/>
  <c r="BA98" i="3"/>
  <c r="BL104" i="3"/>
  <c r="G108" i="3"/>
  <c r="K1" i="43"/>
  <c r="C80" i="59"/>
  <c r="S73" i="59"/>
  <c r="E24" i="59"/>
  <c r="E23" i="59" s="1"/>
  <c r="E22" i="59" s="1"/>
  <c r="E21" i="59" s="1"/>
  <c r="BA357" i="3"/>
  <c r="AZ357" i="3" s="1"/>
  <c r="G370" i="3"/>
  <c r="BA375" i="3"/>
  <c r="AZ375" i="3" s="1"/>
  <c r="BL205" i="3"/>
  <c r="G208" i="3"/>
  <c r="G209" i="3"/>
  <c r="BA216" i="3"/>
  <c r="G219" i="3"/>
  <c r="G220" i="3"/>
  <c r="G221" i="3"/>
  <c r="G232" i="3"/>
  <c r="G233" i="3"/>
  <c r="G234" i="3"/>
  <c r="BA242" i="3"/>
  <c r="AZ242" i="3" s="1"/>
  <c r="BA243" i="3"/>
  <c r="AZ243" i="3" s="1"/>
  <c r="BL244" i="3"/>
  <c r="G247" i="3"/>
  <c r="BL247" i="3"/>
  <c r="BA258" i="3"/>
  <c r="G261" i="3"/>
  <c r="G262" i="3"/>
  <c r="BL262" i="3"/>
  <c r="AZ262" i="3" s="1"/>
  <c r="G264" i="3"/>
  <c r="G266" i="3"/>
  <c r="BA266" i="3"/>
  <c r="BL273" i="3"/>
  <c r="BA275" i="3"/>
  <c r="BA290" i="3"/>
  <c r="G113" i="3"/>
  <c r="G114" i="3"/>
  <c r="BA131" i="3"/>
  <c r="AZ131" i="3" s="1"/>
  <c r="BA143" i="3"/>
  <c r="AZ143" i="3" s="1"/>
  <c r="BL155" i="3"/>
  <c r="BA170" i="3"/>
  <c r="AZ170" i="3" s="1"/>
  <c r="BA182" i="3"/>
  <c r="G24" i="3"/>
  <c r="BL25" i="3"/>
  <c r="BL36" i="3"/>
  <c r="BL39" i="3"/>
  <c r="BL43" i="3"/>
  <c r="BA50" i="3"/>
  <c r="BL51" i="3"/>
  <c r="BA59" i="3"/>
  <c r="G66" i="3"/>
  <c r="BA95" i="3"/>
  <c r="BL101" i="3"/>
  <c r="BA102" i="3"/>
  <c r="G105" i="3"/>
  <c r="BL111" i="3"/>
  <c r="E32" i="59"/>
  <c r="E33" i="59" s="1"/>
  <c r="U33" i="59" s="1"/>
  <c r="B57" i="59"/>
  <c r="S57" i="59" s="1"/>
  <c r="BA387" i="3"/>
  <c r="BL217" i="3"/>
  <c r="AZ217" i="3" s="1"/>
  <c r="BL218" i="3"/>
  <c r="BL219" i="3"/>
  <c r="BA229" i="3"/>
  <c r="AZ229" i="3" s="1"/>
  <c r="G231" i="3"/>
  <c r="BL231" i="3"/>
  <c r="BA238" i="3"/>
  <c r="BA241" i="3"/>
  <c r="BL243" i="3"/>
  <c r="BL246" i="3"/>
  <c r="BA254" i="3"/>
  <c r="AZ254" i="3" s="1"/>
  <c r="BA257" i="3"/>
  <c r="BL259" i="3"/>
  <c r="BA270" i="3"/>
  <c r="AZ270" i="3" s="1"/>
  <c r="BA273" i="3"/>
  <c r="G279" i="3"/>
  <c r="BA291" i="3"/>
  <c r="BL142" i="3"/>
  <c r="AZ142" i="3" s="1"/>
  <c r="BL145" i="3"/>
  <c r="BA177" i="3"/>
  <c r="BA179" i="3"/>
  <c r="AZ179" i="3" s="1"/>
  <c r="BA190" i="3"/>
  <c r="AZ190" i="3" s="1"/>
  <c r="BA191" i="3"/>
  <c r="G21" i="3"/>
  <c r="G39" i="3"/>
  <c r="BA46" i="3"/>
  <c r="BA49" i="3"/>
  <c r="AZ49" i="3" s="1"/>
  <c r="BL50" i="3"/>
  <c r="G51" i="3"/>
  <c r="BA62" i="3"/>
  <c r="G64" i="3"/>
  <c r="BL64" i="3"/>
  <c r="BL75" i="3"/>
  <c r="G77" i="3"/>
  <c r="G78" i="3"/>
  <c r="BA83" i="3"/>
  <c r="AZ83" i="3" s="1"/>
  <c r="BA92" i="3"/>
  <c r="AZ92" i="3" s="1"/>
  <c r="BL98" i="3"/>
  <c r="BA99" i="3"/>
  <c r="G102" i="3"/>
  <c r="BA110" i="3"/>
  <c r="L108" i="46"/>
  <c r="BA384" i="3"/>
  <c r="BA226" i="3"/>
  <c r="AZ226" i="3" s="1"/>
  <c r="BL228" i="3"/>
  <c r="BL230" i="3"/>
  <c r="BA239" i="3"/>
  <c r="BL241" i="3"/>
  <c r="BA246" i="3"/>
  <c r="AZ246" i="3" s="1"/>
  <c r="BL248" i="3"/>
  <c r="BA255" i="3"/>
  <c r="BL257" i="3"/>
  <c r="BA259" i="3"/>
  <c r="AZ259" i="3" s="1"/>
  <c r="BL263" i="3"/>
  <c r="BA268" i="3"/>
  <c r="AZ268" i="3" s="1"/>
  <c r="BL280" i="3"/>
  <c r="BA285" i="3"/>
  <c r="AZ285" i="3" s="1"/>
  <c r="G293" i="3"/>
  <c r="G295" i="3"/>
  <c r="BA127" i="3"/>
  <c r="AZ127" i="3" s="1"/>
  <c r="BA137" i="3"/>
  <c r="BA140" i="3"/>
  <c r="AZ140" i="3" s="1"/>
  <c r="BA166" i="3"/>
  <c r="AZ166" i="3" s="1"/>
  <c r="BA176" i="3"/>
  <c r="G181" i="3"/>
  <c r="BA183" i="3"/>
  <c r="G202" i="3"/>
  <c r="G203" i="3"/>
  <c r="BA35" i="3"/>
  <c r="G50" i="3"/>
  <c r="BA60" i="3"/>
  <c r="BL62" i="3"/>
  <c r="G63" i="3"/>
  <c r="BA70" i="3"/>
  <c r="BL72" i="3"/>
  <c r="G74" i="3"/>
  <c r="G75" i="3"/>
  <c r="BL76" i="3"/>
  <c r="BA86" i="3"/>
  <c r="BL95" i="3"/>
  <c r="G96" i="3"/>
  <c r="S18" i="35"/>
  <c r="C83" i="59"/>
  <c r="D83" i="59" s="1"/>
  <c r="X30" i="59"/>
  <c r="AB31" i="59"/>
  <c r="F48" i="59"/>
  <c r="F49" i="59" s="1"/>
  <c r="V49" i="59" s="1"/>
  <c r="B61" i="59"/>
  <c r="S61" i="59" s="1"/>
  <c r="S14" i="39"/>
  <c r="AB15" i="39"/>
  <c r="S17" i="39"/>
  <c r="U14" i="39"/>
  <c r="J16" i="39"/>
  <c r="H16" i="39"/>
  <c r="AC14" i="39"/>
  <c r="F23" i="39"/>
  <c r="AA23" i="39" s="1"/>
  <c r="J23" i="39"/>
  <c r="W23" i="39" s="1"/>
  <c r="H23" i="39"/>
  <c r="AB23" i="39" s="1"/>
  <c r="E101" i="46"/>
  <c r="E106" i="46" s="1"/>
  <c r="L101" i="46"/>
  <c r="L105" i="46" s="1"/>
  <c r="AC11" i="46"/>
  <c r="AC13" i="46" s="1"/>
  <c r="N101" i="46"/>
  <c r="N105" i="46" s="1"/>
  <c r="I4" i="6"/>
  <c r="C13" i="39" s="1"/>
  <c r="C18" i="9"/>
  <c r="D18" i="9" s="1"/>
  <c r="M44" i="9" s="1"/>
  <c r="AB29" i="39"/>
  <c r="U19" i="39"/>
  <c r="S31" i="39"/>
  <c r="S29" i="39"/>
  <c r="W29" i="39"/>
  <c r="W27" i="39"/>
  <c r="S27" i="39"/>
  <c r="S25" i="39"/>
  <c r="W25" i="39"/>
  <c r="AC19" i="39"/>
  <c r="AA19" i="39"/>
  <c r="G82" i="39"/>
  <c r="H82" i="39" s="1"/>
  <c r="I82" i="39" s="1"/>
  <c r="J82" i="39" s="1"/>
  <c r="K82" i="39" s="1"/>
  <c r="L82" i="39" s="1"/>
  <c r="M82" i="39" s="1"/>
  <c r="U47" i="39"/>
  <c r="AB33" i="39"/>
  <c r="S33" i="39"/>
  <c r="AB38" i="39"/>
  <c r="S34" i="39"/>
  <c r="U34" i="39"/>
  <c r="W33" i="39"/>
  <c r="W34" i="39"/>
  <c r="AB21" i="39"/>
  <c r="AA21" i="39"/>
  <c r="AC21" i="39"/>
  <c r="AC17" i="39"/>
  <c r="AB44" i="39"/>
  <c r="AA44" i="39"/>
  <c r="AC44" i="39"/>
  <c r="AA43" i="39"/>
  <c r="S15" i="39"/>
  <c r="S16" i="39"/>
  <c r="B74" i="46"/>
  <c r="C31" i="39"/>
  <c r="B70" i="46"/>
  <c r="B48" i="46"/>
  <c r="C23" i="46"/>
  <c r="AI11" i="46"/>
  <c r="N104" i="45"/>
  <c r="M101" i="46"/>
  <c r="M105" i="46" s="1"/>
  <c r="AH11" i="46"/>
  <c r="AH13" i="46" s="1"/>
  <c r="B113" i="46"/>
  <c r="I115" i="46" s="1"/>
  <c r="J115" i="46" s="1"/>
  <c r="K115" i="46" s="1"/>
  <c r="L115" i="46" s="1"/>
  <c r="M115" i="46" s="1"/>
  <c r="I101" i="46"/>
  <c r="I105" i="46" s="1"/>
  <c r="F101" i="46"/>
  <c r="F106" i="46" s="1"/>
  <c r="Z11" i="46"/>
  <c r="J101" i="46"/>
  <c r="J106" i="46" s="1"/>
  <c r="G22" i="46"/>
  <c r="AG11" i="46"/>
  <c r="AG13" i="46" s="1"/>
  <c r="C101" i="46"/>
  <c r="C109" i="46" s="1"/>
  <c r="H101" i="46"/>
  <c r="H102" i="46" s="1"/>
  <c r="K101" i="46"/>
  <c r="K103" i="46" s="1"/>
  <c r="AJ11" i="46"/>
  <c r="AJ13" i="46" s="1"/>
  <c r="Y11" i="46"/>
  <c r="Y13" i="46" s="1"/>
  <c r="Z7" i="46"/>
  <c r="AD11" i="46"/>
  <c r="AD13" i="46" s="1"/>
  <c r="H22" i="46"/>
  <c r="G1" i="44"/>
  <c r="G1" i="15"/>
  <c r="B6" i="1"/>
  <c r="E6" i="1" s="1"/>
  <c r="F29" i="6"/>
  <c r="BA13" i="3"/>
  <c r="E22" i="46"/>
  <c r="G101" i="46"/>
  <c r="G107" i="46" s="1"/>
  <c r="J22" i="46"/>
  <c r="H54" i="46"/>
  <c r="A17" i="64"/>
  <c r="A3" i="55"/>
  <c r="B56" i="63" s="1"/>
  <c r="A11" i="55"/>
  <c r="B62" i="63" s="1"/>
  <c r="A2" i="55"/>
  <c r="B55" i="63" s="1"/>
  <c r="AP7" i="1"/>
  <c r="L16" i="4"/>
  <c r="K76" i="9"/>
  <c r="K77" i="9" s="1"/>
  <c r="K79" i="9" s="1"/>
  <c r="K81" i="9" s="1"/>
  <c r="N76" i="9"/>
  <c r="G19" i="46"/>
  <c r="O19" i="46" s="1"/>
  <c r="G9" i="1"/>
  <c r="D38" i="4"/>
  <c r="C39" i="4" s="1"/>
  <c r="W11" i="39"/>
  <c r="F20" i="59"/>
  <c r="F19" i="59" s="1"/>
  <c r="F18" i="59" s="1"/>
  <c r="F17" i="59" s="1"/>
  <c r="V21" i="59"/>
  <c r="O40" i="9"/>
  <c r="A9" i="51"/>
  <c r="B9" i="63" s="1"/>
  <c r="AC15" i="34"/>
  <c r="W15" i="39"/>
  <c r="U39" i="39"/>
  <c r="W15" i="40"/>
  <c r="W40" i="40"/>
  <c r="AZ572" i="3"/>
  <c r="S31" i="33"/>
  <c r="AA31" i="33"/>
  <c r="S39" i="40"/>
  <c r="W11" i="34"/>
  <c r="U27" i="39"/>
  <c r="AB34" i="40"/>
  <c r="U15" i="33"/>
  <c r="AA39" i="33"/>
  <c r="S39" i="33"/>
  <c r="AZ307" i="3"/>
  <c r="U30" i="21"/>
  <c r="AB30" i="21"/>
  <c r="AC34" i="36"/>
  <c r="W34" i="36"/>
  <c r="I14" i="66"/>
  <c r="B8" i="66" s="1"/>
  <c r="AB11" i="46"/>
  <c r="AB13" i="46" s="1"/>
  <c r="AA11" i="46"/>
  <c r="F22" i="46"/>
  <c r="O41" i="9"/>
  <c r="R8" i="54" s="1"/>
  <c r="B54" i="63" s="1"/>
  <c r="AC17" i="33"/>
  <c r="AC11" i="33"/>
  <c r="W34" i="33"/>
  <c r="AB25" i="39"/>
  <c r="AZ520" i="3"/>
  <c r="AZ561" i="3"/>
  <c r="S30" i="40"/>
  <c r="AC14" i="34"/>
  <c r="W36" i="33"/>
  <c r="AB17" i="39"/>
  <c r="S47" i="39"/>
  <c r="AZ300" i="3"/>
  <c r="AZ323" i="3"/>
  <c r="AZ556" i="3"/>
  <c r="AA24" i="36"/>
  <c r="S24" i="36"/>
  <c r="AC14" i="40"/>
  <c r="AC19" i="40"/>
  <c r="U43" i="33"/>
  <c r="AB43" i="33"/>
  <c r="AZ502" i="3"/>
  <c r="U39" i="21"/>
  <c r="W35" i="35"/>
  <c r="H9" i="34"/>
  <c r="AA38" i="37"/>
  <c r="F31" i="21"/>
  <c r="AC33" i="21"/>
  <c r="U14" i="21"/>
  <c r="J12" i="36"/>
  <c r="H12" i="36"/>
  <c r="H31" i="21"/>
  <c r="U29" i="36"/>
  <c r="AA19" i="21"/>
  <c r="BT5" i="3"/>
  <c r="G28" i="6" s="1"/>
  <c r="J36" i="35"/>
  <c r="H9" i="35"/>
  <c r="AB31" i="33"/>
  <c r="H9" i="36"/>
  <c r="F9" i="36"/>
  <c r="J9" i="36"/>
  <c r="AB13" i="21"/>
  <c r="W46" i="33"/>
  <c r="W43" i="34"/>
  <c r="H5" i="3"/>
  <c r="F9" i="34"/>
  <c r="J9" i="35"/>
  <c r="J24" i="36"/>
  <c r="H24" i="36"/>
  <c r="G500" i="3"/>
  <c r="AZ393" i="3"/>
  <c r="G509" i="3"/>
  <c r="AZ396" i="3"/>
  <c r="AZ412" i="3"/>
  <c r="AZ435" i="3"/>
  <c r="AZ440" i="3"/>
  <c r="F25" i="37"/>
  <c r="G564" i="3"/>
  <c r="G541" i="3"/>
  <c r="AZ417" i="3"/>
  <c r="AZ472" i="3"/>
  <c r="BA464" i="3"/>
  <c r="AZ464" i="3" s="1"/>
  <c r="BL330" i="3"/>
  <c r="AZ330" i="3" s="1"/>
  <c r="BA341" i="3"/>
  <c r="AZ341" i="3" s="1"/>
  <c r="BA206" i="3"/>
  <c r="AZ206" i="3" s="1"/>
  <c r="BA209" i="3"/>
  <c r="AZ209" i="3" s="1"/>
  <c r="BL211" i="3"/>
  <c r="BL214" i="3"/>
  <c r="BA230" i="3"/>
  <c r="AZ230" i="3" s="1"/>
  <c r="BL240" i="3"/>
  <c r="BL256" i="3"/>
  <c r="BL265" i="3"/>
  <c r="AZ265" i="3" s="1"/>
  <c r="BL272" i="3"/>
  <c r="BL463" i="3"/>
  <c r="AZ463" i="3" s="1"/>
  <c r="G305" i="3"/>
  <c r="G329" i="3"/>
  <c r="BL350" i="3"/>
  <c r="BA386" i="3"/>
  <c r="AZ386" i="3" s="1"/>
  <c r="BL213" i="3"/>
  <c r="AZ213" i="3" s="1"/>
  <c r="BA221" i="3"/>
  <c r="AZ221" i="3" s="1"/>
  <c r="BL224" i="3"/>
  <c r="BL226" i="3"/>
  <c r="BL237" i="3"/>
  <c r="AZ237" i="3" s="1"/>
  <c r="BL245" i="3"/>
  <c r="BL253" i="3"/>
  <c r="AZ253" i="3" s="1"/>
  <c r="BA256" i="3"/>
  <c r="BA283" i="3"/>
  <c r="AZ283" i="3" s="1"/>
  <c r="A30" i="64"/>
  <c r="A30" i="51"/>
  <c r="B22" i="63" s="1"/>
  <c r="AZ232" i="3"/>
  <c r="BA454" i="3"/>
  <c r="BA477" i="3"/>
  <c r="AZ477" i="3" s="1"/>
  <c r="BA319" i="3"/>
  <c r="AZ319" i="3" s="1"/>
  <c r="BA334" i="3"/>
  <c r="BL348" i="3"/>
  <c r="AZ348" i="3" s="1"/>
  <c r="BA349" i="3"/>
  <c r="AZ349" i="3" s="1"/>
  <c r="BL360" i="3"/>
  <c r="AZ360" i="3" s="1"/>
  <c r="BL366" i="3"/>
  <c r="AZ366" i="3" s="1"/>
  <c r="BL380" i="3"/>
  <c r="AZ380" i="3" s="1"/>
  <c r="BL385" i="3"/>
  <c r="AZ385" i="3" s="1"/>
  <c r="BL388" i="3"/>
  <c r="AZ388" i="3" s="1"/>
  <c r="BL207" i="3"/>
  <c r="AZ207" i="3" s="1"/>
  <c r="BA215" i="3"/>
  <c r="BL233" i="3"/>
  <c r="AZ233" i="3" s="1"/>
  <c r="BL235" i="3"/>
  <c r="AZ235" i="3" s="1"/>
  <c r="BA244" i="3"/>
  <c r="AZ244" i="3" s="1"/>
  <c r="BL255" i="3"/>
  <c r="BA260" i="3"/>
  <c r="BL269" i="3"/>
  <c r="BA313" i="3"/>
  <c r="AZ313" i="3" s="1"/>
  <c r="BA318" i="3"/>
  <c r="AZ318" i="3" s="1"/>
  <c r="BL334" i="3"/>
  <c r="G336" i="3"/>
  <c r="BL364" i="3"/>
  <c r="AZ364" i="3" s="1"/>
  <c r="BA228" i="3"/>
  <c r="BL251" i="3"/>
  <c r="BL266" i="3"/>
  <c r="AZ277" i="3"/>
  <c r="BL310" i="3"/>
  <c r="AZ310" i="3" s="1"/>
  <c r="BL332" i="3"/>
  <c r="AZ332" i="3" s="1"/>
  <c r="BL346" i="3"/>
  <c r="AZ346" i="3" s="1"/>
  <c r="BA351" i="3"/>
  <c r="BL368" i="3"/>
  <c r="AZ368" i="3" s="1"/>
  <c r="BL387" i="3"/>
  <c r="AZ387" i="3" s="1"/>
  <c r="BA227" i="3"/>
  <c r="AZ227" i="3" s="1"/>
  <c r="BL232" i="3"/>
  <c r="BL466" i="3"/>
  <c r="AZ466" i="3" s="1"/>
  <c r="BL316" i="3"/>
  <c r="AZ316" i="3" s="1"/>
  <c r="AZ210" i="3"/>
  <c r="BA211" i="3"/>
  <c r="BA214" i="3"/>
  <c r="BL216" i="3"/>
  <c r="BA240" i="3"/>
  <c r="BL292" i="3"/>
  <c r="BA121" i="3"/>
  <c r="AZ121" i="3" s="1"/>
  <c r="BA152" i="3"/>
  <c r="AZ152" i="3" s="1"/>
  <c r="BA163" i="3"/>
  <c r="BL260" i="3"/>
  <c r="BA269" i="3"/>
  <c r="AZ269" i="3" s="1"/>
  <c r="G275" i="3"/>
  <c r="BA276" i="3"/>
  <c r="BL295" i="3"/>
  <c r="BA115" i="3"/>
  <c r="AZ115" i="3" s="1"/>
  <c r="BA120" i="3"/>
  <c r="AZ120" i="3" s="1"/>
  <c r="BA125" i="3"/>
  <c r="AZ125" i="3" s="1"/>
  <c r="BA136" i="3"/>
  <c r="AZ136" i="3" s="1"/>
  <c r="BA141" i="3"/>
  <c r="BA147" i="3"/>
  <c r="AZ147" i="3" s="1"/>
  <c r="BL157" i="3"/>
  <c r="AZ157" i="3" s="1"/>
  <c r="BA167" i="3"/>
  <c r="AZ167" i="3" s="1"/>
  <c r="BL195" i="3"/>
  <c r="BA202" i="3"/>
  <c r="BL276" i="3"/>
  <c r="BA279" i="3"/>
  <c r="BA288" i="3"/>
  <c r="AZ288" i="3" s="1"/>
  <c r="BL114" i="3"/>
  <c r="AZ114" i="3" s="1"/>
  <c r="BL117" i="3"/>
  <c r="AZ117" i="3" s="1"/>
  <c r="BL122" i="3"/>
  <c r="AZ122" i="3" s="1"/>
  <c r="BA129" i="3"/>
  <c r="BA135" i="3"/>
  <c r="AZ135" i="3" s="1"/>
  <c r="BA139" i="3"/>
  <c r="AZ139" i="3" s="1"/>
  <c r="G141" i="3"/>
  <c r="BL146" i="3"/>
  <c r="AZ146" i="3" s="1"/>
  <c r="BL191" i="3"/>
  <c r="AZ191" i="3" s="1"/>
  <c r="BA194" i="3"/>
  <c r="BA198" i="3"/>
  <c r="BL200" i="3"/>
  <c r="AZ200" i="3" s="1"/>
  <c r="BA272" i="3"/>
  <c r="BA280" i="3"/>
  <c r="AZ280" i="3" s="1"/>
  <c r="BL284" i="3"/>
  <c r="AZ284" i="3" s="1"/>
  <c r="BA133" i="3"/>
  <c r="BL137" i="3"/>
  <c r="BA158" i="3"/>
  <c r="AZ158" i="3" s="1"/>
  <c r="BA159" i="3"/>
  <c r="G278" i="3"/>
  <c r="BL278" i="3"/>
  <c r="AZ278" i="3" s="1"/>
  <c r="BL279" i="3"/>
  <c r="BL287" i="3"/>
  <c r="AZ287" i="3" s="1"/>
  <c r="G289" i="3"/>
  <c r="BL113" i="3"/>
  <c r="AZ113" i="3" s="1"/>
  <c r="BL118" i="3"/>
  <c r="AZ118" i="3" s="1"/>
  <c r="BL128" i="3"/>
  <c r="BL129" i="3"/>
  <c r="BL134" i="3"/>
  <c r="AZ134" i="3" s="1"/>
  <c r="G135" i="3"/>
  <c r="BA154" i="3"/>
  <c r="AZ154" i="3" s="1"/>
  <c r="BL159" i="3"/>
  <c r="G160" i="3"/>
  <c r="G165" i="3"/>
  <c r="BA187" i="3"/>
  <c r="BA193" i="3"/>
  <c r="AZ193" i="3" s="1"/>
  <c r="BA197" i="3"/>
  <c r="AZ197" i="3" s="1"/>
  <c r="BA22" i="3"/>
  <c r="BA52" i="3"/>
  <c r="BL271" i="3"/>
  <c r="AZ271" i="3" s="1"/>
  <c r="BA274" i="3"/>
  <c r="AZ274" i="3" s="1"/>
  <c r="BA282" i="3"/>
  <c r="AZ282" i="3" s="1"/>
  <c r="BL288" i="3"/>
  <c r="BA292" i="3"/>
  <c r="BA293" i="3"/>
  <c r="BL132" i="3"/>
  <c r="G134" i="3"/>
  <c r="BL164" i="3"/>
  <c r="G267" i="3"/>
  <c r="G273" i="3"/>
  <c r="G281" i="3"/>
  <c r="BL281" i="3"/>
  <c r="AZ281" i="3" s="1"/>
  <c r="G291" i="3"/>
  <c r="BA295" i="3"/>
  <c r="BA296" i="3"/>
  <c r="BA116" i="3"/>
  <c r="AZ116" i="3" s="1"/>
  <c r="BL133" i="3"/>
  <c r="BL144" i="3"/>
  <c r="AZ144" i="3" s="1"/>
  <c r="BA151" i="3"/>
  <c r="AZ151" i="3" s="1"/>
  <c r="G154" i="3"/>
  <c r="BL156" i="3"/>
  <c r="BL161" i="3"/>
  <c r="AZ161" i="3" s="1"/>
  <c r="BA180" i="3"/>
  <c r="AZ180" i="3" s="1"/>
  <c r="BL196" i="3"/>
  <c r="AZ196" i="3" s="1"/>
  <c r="BL21" i="3"/>
  <c r="AZ50" i="3"/>
  <c r="C87" i="59"/>
  <c r="D87" i="59" s="1"/>
  <c r="D88" i="59"/>
  <c r="BL57" i="3"/>
  <c r="AZ57" i="3" s="1"/>
  <c r="BL61" i="3"/>
  <c r="C64" i="59"/>
  <c r="D63" i="59"/>
  <c r="BL148" i="3"/>
  <c r="BL169" i="3"/>
  <c r="AZ169" i="3" s="1"/>
  <c r="BA185" i="3"/>
  <c r="AZ185" i="3" s="1"/>
  <c r="BA189" i="3"/>
  <c r="AZ189" i="3" s="1"/>
  <c r="BL198" i="3"/>
  <c r="BL203" i="3"/>
  <c r="AZ203" i="3" s="1"/>
  <c r="BL28" i="3"/>
  <c r="AZ28" i="3" s="1"/>
  <c r="BL31" i="3"/>
  <c r="AZ31" i="3" s="1"/>
  <c r="BA32" i="3"/>
  <c r="AZ32" i="3" s="1"/>
  <c r="BL35" i="3"/>
  <c r="AZ35" i="3" s="1"/>
  <c r="BA42" i="3"/>
  <c r="BL52" i="3"/>
  <c r="BL58" i="3"/>
  <c r="BL59" i="3"/>
  <c r="AZ59" i="3" s="1"/>
  <c r="BA78" i="3"/>
  <c r="D76" i="59"/>
  <c r="C75" i="59"/>
  <c r="D75" i="59" s="1"/>
  <c r="Y18" i="59"/>
  <c r="Z18" i="59" s="1"/>
  <c r="BA164" i="3"/>
  <c r="BL168" i="3"/>
  <c r="AZ168" i="3" s="1"/>
  <c r="G169" i="3"/>
  <c r="BL173" i="3"/>
  <c r="AZ173" i="3" s="1"/>
  <c r="G174" i="3"/>
  <c r="BL178" i="3"/>
  <c r="AZ178" i="3" s="1"/>
  <c r="BA195" i="3"/>
  <c r="BA23" i="3"/>
  <c r="BA24" i="3"/>
  <c r="AZ24" i="3" s="1"/>
  <c r="BL34" i="3"/>
  <c r="AZ34" i="3" s="1"/>
  <c r="BL38" i="3"/>
  <c r="AZ38" i="3" s="1"/>
  <c r="BA45" i="3"/>
  <c r="BL55" i="3"/>
  <c r="AZ55" i="3" s="1"/>
  <c r="BL56" i="3"/>
  <c r="AZ56" i="3" s="1"/>
  <c r="BA69" i="3"/>
  <c r="AZ69" i="3" s="1"/>
  <c r="BA73" i="3"/>
  <c r="BA75" i="3"/>
  <c r="BA77" i="3"/>
  <c r="BL78" i="3"/>
  <c r="BA81" i="3"/>
  <c r="BA82" i="3"/>
  <c r="BA84" i="3"/>
  <c r="BA85" i="3"/>
  <c r="AZ85" i="3" s="1"/>
  <c r="BA87" i="3"/>
  <c r="BA88" i="3"/>
  <c r="AZ88" i="3" s="1"/>
  <c r="BA91" i="3"/>
  <c r="BA94" i="3"/>
  <c r="AZ94" i="3" s="1"/>
  <c r="BA100" i="3"/>
  <c r="AZ100" i="3" s="1"/>
  <c r="BA103" i="3"/>
  <c r="BA106" i="3"/>
  <c r="AZ106" i="3" s="1"/>
  <c r="BA109" i="3"/>
  <c r="C37" i="59"/>
  <c r="D36" i="59"/>
  <c r="Y39" i="59"/>
  <c r="Z39" i="59" s="1"/>
  <c r="Y29" i="59"/>
  <c r="Z29" i="59" s="1"/>
  <c r="C52" i="59"/>
  <c r="D51" i="59"/>
  <c r="BL138" i="3"/>
  <c r="AZ138" i="3" s="1"/>
  <c r="BL172" i="3"/>
  <c r="AZ172" i="3" s="1"/>
  <c r="BL177" i="3"/>
  <c r="BL184" i="3"/>
  <c r="AZ184" i="3" s="1"/>
  <c r="BL188" i="3"/>
  <c r="AZ188" i="3" s="1"/>
  <c r="BL37" i="3"/>
  <c r="BA41" i="3"/>
  <c r="AZ67" i="3"/>
  <c r="BA72" i="3"/>
  <c r="AZ72" i="3" s="1"/>
  <c r="BL77" i="3"/>
  <c r="BA90" i="3"/>
  <c r="BA93" i="3"/>
  <c r="BA96" i="3"/>
  <c r="BA97" i="3"/>
  <c r="AZ97" i="3" s="1"/>
  <c r="BA105" i="3"/>
  <c r="BA107" i="3"/>
  <c r="BL110" i="3"/>
  <c r="AZ110" i="3" s="1"/>
  <c r="AA18" i="36"/>
  <c r="X36" i="59"/>
  <c r="X29" i="59"/>
  <c r="X32" i="59"/>
  <c r="X26" i="59"/>
  <c r="X3" i="59"/>
  <c r="Z12" i="46"/>
  <c r="Z10" i="46"/>
  <c r="BL163" i="3"/>
  <c r="BL176" i="3"/>
  <c r="AZ176" i="3" s="1"/>
  <c r="BL183" i="3"/>
  <c r="AZ183" i="3" s="1"/>
  <c r="BL23" i="3"/>
  <c r="BA26" i="3"/>
  <c r="BA27" i="3"/>
  <c r="AZ27" i="3" s="1"/>
  <c r="BL41" i="3"/>
  <c r="BA44" i="3"/>
  <c r="BA48" i="3"/>
  <c r="AZ48" i="3" s="1"/>
  <c r="AZ64" i="3"/>
  <c r="BA66" i="3"/>
  <c r="BL109" i="3"/>
  <c r="Y36" i="59"/>
  <c r="Z36" i="59" s="1"/>
  <c r="BA155" i="3"/>
  <c r="BL182" i="3"/>
  <c r="AZ182" i="3" s="1"/>
  <c r="BL187" i="3"/>
  <c r="G195" i="3"/>
  <c r="BL22" i="3"/>
  <c r="G23" i="3"/>
  <c r="BA33" i="3"/>
  <c r="AZ33" i="3" s="1"/>
  <c r="BL40" i="3"/>
  <c r="AZ40" i="3" s="1"/>
  <c r="BL44" i="3"/>
  <c r="G45" i="3"/>
  <c r="BA47" i="3"/>
  <c r="BA51" i="3"/>
  <c r="AZ51" i="3" s="1"/>
  <c r="BA54" i="3"/>
  <c r="BA61" i="3"/>
  <c r="BA63" i="3"/>
  <c r="BA65" i="3"/>
  <c r="AZ65" i="3" s="1"/>
  <c r="BL66" i="3"/>
  <c r="BL68" i="3"/>
  <c r="AZ68" i="3" s="1"/>
  <c r="BL73" i="3"/>
  <c r="BL74" i="3"/>
  <c r="AZ74" i="3" s="1"/>
  <c r="BL80" i="3"/>
  <c r="AZ80" i="3" s="1"/>
  <c r="BL84" i="3"/>
  <c r="BL86" i="3"/>
  <c r="AZ86" i="3" s="1"/>
  <c r="BL87" i="3"/>
  <c r="G91" i="3"/>
  <c r="G94" i="3"/>
  <c r="G97" i="3"/>
  <c r="BL99" i="3"/>
  <c r="AZ99" i="3" s="1"/>
  <c r="G100" i="3"/>
  <c r="BL102" i="3"/>
  <c r="G103" i="3"/>
  <c r="BL105" i="3"/>
  <c r="G106" i="3"/>
  <c r="BL108" i="3"/>
  <c r="AZ108" i="3" s="1"/>
  <c r="BL112" i="3"/>
  <c r="BL153" i="3"/>
  <c r="AZ153" i="3" s="1"/>
  <c r="BA171" i="3"/>
  <c r="BA175" i="3"/>
  <c r="AZ175" i="3" s="1"/>
  <c r="BL194" i="3"/>
  <c r="BA201" i="3"/>
  <c r="AZ201" i="3" s="1"/>
  <c r="BA204" i="3"/>
  <c r="BL26" i="3"/>
  <c r="AZ29" i="3"/>
  <c r="BA30" i="3"/>
  <c r="AZ30" i="3" s="1"/>
  <c r="BA36" i="3"/>
  <c r="AZ36" i="3" s="1"/>
  <c r="BL47" i="3"/>
  <c r="G48" i="3"/>
  <c r="BA58" i="3"/>
  <c r="AZ60" i="3"/>
  <c r="BL63" i="3"/>
  <c r="BL90" i="3"/>
  <c r="BL93" i="3"/>
  <c r="BL96" i="3"/>
  <c r="C33" i="59"/>
  <c r="D32" i="59"/>
  <c r="V81" i="59"/>
  <c r="D89" i="59"/>
  <c r="V29" i="59"/>
  <c r="F28" i="59"/>
  <c r="F27" i="59" s="1"/>
  <c r="AA21" i="34"/>
  <c r="X31" i="59"/>
  <c r="X33" i="59"/>
  <c r="X34" i="59"/>
  <c r="T69" i="59"/>
  <c r="O69" i="59"/>
  <c r="C28" i="59"/>
  <c r="T29" i="59"/>
  <c r="D29" i="59"/>
  <c r="Y27" i="59"/>
  <c r="Z27" i="59" s="1"/>
  <c r="X25" i="59"/>
  <c r="Y24" i="59"/>
  <c r="Z24" i="59" s="1"/>
  <c r="X22" i="59"/>
  <c r="X15" i="59"/>
  <c r="BA111" i="3"/>
  <c r="Y33" i="59"/>
  <c r="Z33" i="59" s="1"/>
  <c r="AB33" i="59"/>
  <c r="AB35" i="59"/>
  <c r="X39" i="59"/>
  <c r="X37" i="59"/>
  <c r="D43" i="59"/>
  <c r="C44" i="59"/>
  <c r="C56" i="59"/>
  <c r="D55" i="59"/>
  <c r="P68" i="59"/>
  <c r="E67" i="59"/>
  <c r="AA26" i="59"/>
  <c r="AA27" i="59"/>
  <c r="E29" i="59"/>
  <c r="X27" i="59"/>
  <c r="AA22" i="59"/>
  <c r="Y12" i="59"/>
  <c r="Z12" i="59" s="1"/>
  <c r="BL107" i="3"/>
  <c r="Y30" i="59"/>
  <c r="Z30" i="59" s="1"/>
  <c r="AA34" i="59"/>
  <c r="AA36" i="59"/>
  <c r="X38" i="59"/>
  <c r="E44" i="59"/>
  <c r="E45" i="59" s="1"/>
  <c r="U45" i="59" s="1"/>
  <c r="E56" i="59"/>
  <c r="E57" i="59" s="1"/>
  <c r="U57" i="59" s="1"/>
  <c r="X12" i="59"/>
  <c r="X18" i="59"/>
  <c r="B85" i="46"/>
  <c r="AA29" i="59"/>
  <c r="Y31" i="59"/>
  <c r="Z31" i="59" s="1"/>
  <c r="AB34" i="59"/>
  <c r="Y38" i="59"/>
  <c r="Z38" i="59" s="1"/>
  <c r="Y35" i="59"/>
  <c r="Z35" i="59" s="1"/>
  <c r="Y32" i="59"/>
  <c r="Z32" i="59" s="1"/>
  <c r="C39" i="59"/>
  <c r="C48" i="59"/>
  <c r="D48" i="59" s="1"/>
  <c r="D47" i="59"/>
  <c r="C60" i="59"/>
  <c r="D59" i="59"/>
  <c r="Y15" i="59"/>
  <c r="Z15" i="59" s="1"/>
  <c r="AA28" i="59"/>
  <c r="AA30" i="59"/>
  <c r="AA32" i="59"/>
  <c r="X35" i="59"/>
  <c r="Y7" i="59"/>
  <c r="Z7" i="59" s="1"/>
  <c r="Y5" i="59"/>
  <c r="Z5" i="59" s="1"/>
  <c r="Y8" i="59"/>
  <c r="Z8" i="59" s="1"/>
  <c r="Y6" i="59"/>
  <c r="Z6" i="59" s="1"/>
  <c r="Y10" i="59"/>
  <c r="Z10" i="59" s="1"/>
  <c r="Y11" i="59"/>
  <c r="Z11" i="59" s="1"/>
  <c r="Y40" i="59"/>
  <c r="Z40" i="59" s="1"/>
  <c r="B21" i="63"/>
  <c r="N4" i="63"/>
  <c r="A28" i="64"/>
  <c r="AA12" i="46"/>
  <c r="AA10" i="46"/>
  <c r="AB18" i="59"/>
  <c r="AA12" i="59"/>
  <c r="AA3" i="59"/>
  <c r="P27" i="6"/>
  <c r="C67" i="59"/>
  <c r="O68" i="59"/>
  <c r="D68" i="59"/>
  <c r="AB25" i="59"/>
  <c r="AB26" i="59"/>
  <c r="AB27" i="59"/>
  <c r="AB28" i="59"/>
  <c r="AB30" i="59"/>
  <c r="AB29" i="59"/>
  <c r="Y37" i="59"/>
  <c r="Z37" i="59" s="1"/>
  <c r="AA6" i="59"/>
  <c r="AA5" i="59"/>
  <c r="AA8" i="59"/>
  <c r="AA7" i="59"/>
  <c r="AA10" i="59"/>
  <c r="AA39" i="59"/>
  <c r="AA40" i="59"/>
  <c r="AA11" i="59"/>
  <c r="AA33" i="59"/>
  <c r="F64" i="59"/>
  <c r="F65" i="59" s="1"/>
  <c r="V65" i="59" s="1"/>
  <c r="S69" i="59"/>
  <c r="B68" i="59"/>
  <c r="N69" i="59"/>
  <c r="D77" i="59"/>
  <c r="T77" i="59"/>
  <c r="S29" i="59"/>
  <c r="B28" i="59"/>
  <c r="B27" i="59" s="1"/>
  <c r="AB12" i="59"/>
  <c r="U69" i="59"/>
  <c r="AB3" i="59"/>
  <c r="X28" i="59"/>
  <c r="F39" i="59"/>
  <c r="F40" i="59" s="1"/>
  <c r="F41" i="59" s="1"/>
  <c r="V41" i="59" s="1"/>
  <c r="V73" i="59"/>
  <c r="U81" i="59"/>
  <c r="Y34" i="59"/>
  <c r="Z34" i="59" s="1"/>
  <c r="B25" i="59"/>
  <c r="P75" i="15"/>
  <c r="AB14" i="59"/>
  <c r="X13" i="59"/>
  <c r="Y26" i="59"/>
  <c r="Z26" i="59" s="1"/>
  <c r="X24" i="59"/>
  <c r="X19" i="59"/>
  <c r="AA18" i="59"/>
  <c r="AB15" i="59"/>
  <c r="X14" i="59"/>
  <c r="Y19" i="59"/>
  <c r="Z19" i="59" s="1"/>
  <c r="AA19" i="59"/>
  <c r="L76" i="9"/>
  <c r="X17" i="59"/>
  <c r="Y14" i="59"/>
  <c r="Z14" i="59" s="1"/>
  <c r="AA14" i="59"/>
  <c r="B37" i="50"/>
  <c r="B2" i="63" s="1"/>
  <c r="Y9" i="59"/>
  <c r="Z9" i="59" s="1"/>
  <c r="AB9" i="59"/>
  <c r="AA9" i="59"/>
  <c r="X9" i="59"/>
  <c r="S21" i="37"/>
  <c r="N16" i="4"/>
  <c r="E72" i="59"/>
  <c r="E71" i="59" s="1"/>
  <c r="Y28" i="59"/>
  <c r="Z28" i="59" s="1"/>
  <c r="B31" i="59"/>
  <c r="B32" i="59" s="1"/>
  <c r="B33" i="59" s="1"/>
  <c r="S33" i="59" s="1"/>
  <c r="F35" i="59"/>
  <c r="F36" i="59" s="1"/>
  <c r="F37" i="59" s="1"/>
  <c r="V37" i="59" s="1"/>
  <c r="AB6" i="59"/>
  <c r="AB8" i="59"/>
  <c r="AB7" i="59"/>
  <c r="AB5" i="59"/>
  <c r="AB10" i="59"/>
  <c r="AB11" i="59"/>
  <c r="Y13" i="59"/>
  <c r="Z13" i="59" s="1"/>
  <c r="AA24" i="59"/>
  <c r="AA16" i="59"/>
  <c r="AA13" i="59"/>
  <c r="X5" i="59"/>
  <c r="X8" i="59"/>
  <c r="X7" i="59"/>
  <c r="X6" i="59"/>
  <c r="X11" i="59"/>
  <c r="X10" i="59"/>
  <c r="AB16" i="59"/>
  <c r="AB13" i="59"/>
  <c r="AA15" i="59"/>
  <c r="S17" i="40"/>
  <c r="AB17" i="40"/>
  <c r="AB32" i="40"/>
  <c r="W35" i="40"/>
  <c r="W36" i="40"/>
  <c r="S36" i="40"/>
  <c r="S11" i="40"/>
  <c r="S10" i="40"/>
  <c r="S27" i="40"/>
  <c r="AC31" i="39"/>
  <c r="AC47" i="39"/>
  <c r="AA42" i="39"/>
  <c r="S42" i="39"/>
  <c r="AA36" i="39"/>
  <c r="S36" i="39"/>
  <c r="G17" i="46"/>
  <c r="C16" i="46" s="1"/>
  <c r="D5" i="46" s="1"/>
  <c r="E10" i="46"/>
  <c r="E11" i="46"/>
  <c r="E9" i="46"/>
  <c r="E8" i="46"/>
  <c r="C20" i="46"/>
  <c r="G27" i="12"/>
  <c r="M106" i="46"/>
  <c r="G13" i="3"/>
  <c r="F34" i="44"/>
  <c r="F24" i="43"/>
  <c r="C24" i="43" s="1"/>
  <c r="D106" i="46"/>
  <c r="D102" i="46"/>
  <c r="D104" i="46"/>
  <c r="D109" i="46"/>
  <c r="D103" i="46"/>
  <c r="D107" i="46"/>
  <c r="C25" i="43"/>
  <c r="C2" i="65"/>
  <c r="I1" i="65" s="1"/>
  <c r="G20" i="43"/>
  <c r="G26" i="12"/>
  <c r="F70" i="9"/>
  <c r="F66" i="9"/>
  <c r="P72" i="9" s="1"/>
  <c r="F28" i="15"/>
  <c r="C28" i="15" s="1"/>
  <c r="F30" i="44"/>
  <c r="C30" i="44" s="1"/>
  <c r="D86" i="9"/>
  <c r="F29" i="12"/>
  <c r="F32" i="15"/>
  <c r="F59" i="15" s="1"/>
  <c r="F71" i="9"/>
  <c r="N107" i="46"/>
  <c r="L27" i="6"/>
  <c r="O11" i="1"/>
  <c r="P11" i="1"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E12" i="52"/>
  <c r="F31" i="15"/>
  <c r="F33" i="44"/>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J1" i="65"/>
  <c r="C4" i="65"/>
  <c r="B39" i="1" s="1"/>
  <c r="C15" i="12"/>
  <c r="D21" i="12"/>
  <c r="M26" i="44"/>
  <c r="F18" i="44"/>
  <c r="F7" i="15"/>
  <c r="L48" i="15"/>
  <c r="L48" i="44"/>
  <c r="M30" i="44"/>
  <c r="I3" i="65"/>
  <c r="F46" i="44"/>
  <c r="F42" i="15"/>
  <c r="E2" i="65"/>
  <c r="J17" i="44"/>
  <c r="J7" i="65"/>
  <c r="F28" i="44"/>
  <c r="M25" i="44"/>
  <c r="M28" i="15"/>
  <c r="M24" i="44"/>
  <c r="F45" i="44"/>
  <c r="M24" i="15"/>
  <c r="I7" i="65"/>
  <c r="M27" i="15"/>
  <c r="M31" i="44"/>
  <c r="F40" i="15"/>
  <c r="J4" i="65"/>
  <c r="F8" i="15"/>
  <c r="E3" i="65"/>
  <c r="W43" i="39" l="1"/>
  <c r="AA26" i="33"/>
  <c r="S26" i="33"/>
  <c r="AZ444" i="3"/>
  <c r="AZ487" i="3"/>
  <c r="AA45" i="39"/>
  <c r="S45" i="39"/>
  <c r="AC29" i="21"/>
  <c r="W29" i="21"/>
  <c r="F121" i="39"/>
  <c r="G121" i="39" s="1"/>
  <c r="H121" i="39" s="1"/>
  <c r="I121" i="39" s="1"/>
  <c r="J121" i="39" s="1"/>
  <c r="K121" i="39" s="1"/>
  <c r="L121" i="39" s="1"/>
  <c r="M121" i="39" s="1"/>
  <c r="F41" i="39"/>
  <c r="H41" i="39"/>
  <c r="AZ112" i="3"/>
  <c r="AZ111" i="3"/>
  <c r="AZ141" i="3"/>
  <c r="AZ240" i="3"/>
  <c r="AZ389" i="3"/>
  <c r="AZ475" i="3"/>
  <c r="AZ436" i="3"/>
  <c r="E11" i="6"/>
  <c r="AA30" i="33"/>
  <c r="AA29" i="33"/>
  <c r="S29" i="33"/>
  <c r="S46" i="39"/>
  <c r="AA46" i="39"/>
  <c r="AZ103" i="3"/>
  <c r="AZ224" i="3"/>
  <c r="AZ384" i="3"/>
  <c r="AZ204" i="3"/>
  <c r="AZ155" i="3"/>
  <c r="AZ81" i="3"/>
  <c r="AZ45" i="3"/>
  <c r="AZ296" i="3"/>
  <c r="AZ216" i="3"/>
  <c r="AZ266" i="3"/>
  <c r="AZ215" i="3"/>
  <c r="AZ70" i="3"/>
  <c r="AZ46" i="3"/>
  <c r="AZ218" i="3"/>
  <c r="AZ369" i="3"/>
  <c r="AZ433" i="3"/>
  <c r="AZ423" i="3"/>
  <c r="AC12" i="21"/>
  <c r="W12" i="21"/>
  <c r="S14" i="34"/>
  <c r="AA14" i="34"/>
  <c r="U40" i="40"/>
  <c r="AB40" i="40"/>
  <c r="AB28" i="34"/>
  <c r="U28" i="34"/>
  <c r="AA27" i="37"/>
  <c r="S27" i="37"/>
  <c r="U29" i="21"/>
  <c r="AB29" i="21"/>
  <c r="AZ132" i="3"/>
  <c r="AZ214" i="3"/>
  <c r="C23" i="59"/>
  <c r="D24" i="59"/>
  <c r="AB34" i="35"/>
  <c r="U34" i="35"/>
  <c r="W29" i="33"/>
  <c r="AC29" i="33"/>
  <c r="AB27" i="34"/>
  <c r="U27" i="34"/>
  <c r="AA40" i="40"/>
  <c r="S40" i="40"/>
  <c r="AZ438" i="3"/>
  <c r="AZ469" i="3"/>
  <c r="AZ289" i="3"/>
  <c r="P23" i="46"/>
  <c r="AZ91" i="3"/>
  <c r="AZ156" i="3"/>
  <c r="AZ293" i="3"/>
  <c r="AZ272" i="3"/>
  <c r="AZ202" i="3"/>
  <c r="AZ211" i="3"/>
  <c r="AI13" i="46"/>
  <c r="AZ199" i="3"/>
  <c r="AZ264" i="3"/>
  <c r="AZ468" i="3"/>
  <c r="AZ413" i="3"/>
  <c r="AZ439" i="3"/>
  <c r="S36" i="35"/>
  <c r="AA36" i="35"/>
  <c r="AC27" i="34"/>
  <c r="W27" i="34"/>
  <c r="AZ102" i="3"/>
  <c r="AZ61" i="3"/>
  <c r="AZ66" i="3"/>
  <c r="AZ75" i="3"/>
  <c r="AZ351" i="3"/>
  <c r="AZ260" i="3"/>
  <c r="F27" i="6"/>
  <c r="W41" i="39"/>
  <c r="W42" i="39"/>
  <c r="AZ239" i="3"/>
  <c r="AZ273" i="3"/>
  <c r="AZ238" i="3"/>
  <c r="AZ275" i="3"/>
  <c r="AZ220" i="3"/>
  <c r="AZ53" i="3"/>
  <c r="AZ443" i="3"/>
  <c r="AZ457" i="3"/>
  <c r="AZ478" i="3"/>
  <c r="AZ479" i="3"/>
  <c r="AZ429" i="3"/>
  <c r="AZ404" i="3"/>
  <c r="AZ405" i="3"/>
  <c r="AZ455" i="3"/>
  <c r="AZ415" i="3"/>
  <c r="AZ434" i="3"/>
  <c r="AZ410" i="3"/>
  <c r="U44" i="21"/>
  <c r="AB44" i="21"/>
  <c r="AC30" i="33"/>
  <c r="W30" i="33"/>
  <c r="AZ148" i="3"/>
  <c r="AZ137" i="3"/>
  <c r="AZ82" i="3"/>
  <c r="AZ219" i="3"/>
  <c r="P21" i="46"/>
  <c r="P25" i="46"/>
  <c r="B72" i="39" s="1"/>
  <c r="AZ37" i="3"/>
  <c r="E58" i="39"/>
  <c r="P24" i="46"/>
  <c r="B67" i="40" s="1"/>
  <c r="P22" i="46"/>
  <c r="AZ171" i="3"/>
  <c r="AZ54" i="3"/>
  <c r="AZ177" i="3"/>
  <c r="AZ42" i="3"/>
  <c r="AZ128" i="3"/>
  <c r="AZ228" i="3"/>
  <c r="AZ255" i="3"/>
  <c r="AZ454" i="3"/>
  <c r="AZ245" i="3"/>
  <c r="F30" i="6"/>
  <c r="AZ453" i="3"/>
  <c r="AZ428" i="3"/>
  <c r="U26" i="33"/>
  <c r="AB26" i="33"/>
  <c r="AZ540" i="3"/>
  <c r="S29" i="21"/>
  <c r="AA29" i="21"/>
  <c r="AB43" i="39"/>
  <c r="K6" i="1"/>
  <c r="H16" i="1" s="1"/>
  <c r="E13" i="6"/>
  <c r="E59" i="40" s="1"/>
  <c r="N104" i="46"/>
  <c r="N109" i="46"/>
  <c r="E15" i="6"/>
  <c r="N102" i="46"/>
  <c r="AZ13" i="3"/>
  <c r="N106" i="46"/>
  <c r="N103" i="46"/>
  <c r="E10" i="6"/>
  <c r="E12" i="6"/>
  <c r="E63" i="39" s="1"/>
  <c r="E14" i="6"/>
  <c r="E60" i="40" s="1"/>
  <c r="D117" i="46"/>
  <c r="E117" i="46" s="1"/>
  <c r="F117" i="46" s="1"/>
  <c r="G117" i="46" s="1"/>
  <c r="H117" i="46" s="1"/>
  <c r="AP16" i="1"/>
  <c r="F22" i="11" s="1"/>
  <c r="K102" i="46"/>
  <c r="C21" i="12"/>
  <c r="K17" i="4"/>
  <c r="A22" i="51" s="1"/>
  <c r="B16" i="63" s="1"/>
  <c r="AZ58" i="3"/>
  <c r="AZ26" i="3"/>
  <c r="AZ295" i="3"/>
  <c r="D80" i="59"/>
  <c r="C79" i="59"/>
  <c r="D79" i="59" s="1"/>
  <c r="AZ231" i="3"/>
  <c r="AZ248" i="3"/>
  <c r="AZ431" i="3"/>
  <c r="W25" i="37"/>
  <c r="AC25" i="37"/>
  <c r="AB28" i="33"/>
  <c r="U28" i="33"/>
  <c r="AZ63" i="3"/>
  <c r="AZ96" i="3"/>
  <c r="AZ291" i="3"/>
  <c r="AZ95" i="3"/>
  <c r="AZ212" i="3"/>
  <c r="AZ437" i="3"/>
  <c r="AZ247" i="3"/>
  <c r="AZ223" i="3"/>
  <c r="AZ406" i="3"/>
  <c r="U25" i="37"/>
  <c r="AB25" i="37"/>
  <c r="AB38" i="37"/>
  <c r="U38" i="37"/>
  <c r="S46" i="21"/>
  <c r="AA46" i="21"/>
  <c r="AA12" i="37"/>
  <c r="S12" i="37"/>
  <c r="AZ164" i="3"/>
  <c r="AZ292" i="3"/>
  <c r="AZ241" i="3"/>
  <c r="AZ290" i="3"/>
  <c r="AZ391" i="3"/>
  <c r="AZ403" i="3"/>
  <c r="AB25" i="36"/>
  <c r="U25" i="36"/>
  <c r="AB42" i="39"/>
  <c r="U42" i="39"/>
  <c r="W46" i="21"/>
  <c r="AC46" i="21"/>
  <c r="AB12" i="37"/>
  <c r="U12" i="37"/>
  <c r="AZ90" i="3"/>
  <c r="AZ73" i="3"/>
  <c r="AZ187" i="3"/>
  <c r="AZ446" i="3"/>
  <c r="AA12" i="35"/>
  <c r="S12" i="35"/>
  <c r="AZ484" i="3"/>
  <c r="AB46" i="21"/>
  <c r="U46" i="21"/>
  <c r="W12" i="37"/>
  <c r="AC12" i="37"/>
  <c r="AZ109" i="3"/>
  <c r="AZ195" i="3"/>
  <c r="AZ276" i="3"/>
  <c r="AZ62" i="3"/>
  <c r="AZ98" i="3"/>
  <c r="AZ145" i="3"/>
  <c r="AZ225" i="3"/>
  <c r="AZ470" i="3"/>
  <c r="AZ441" i="3"/>
  <c r="AZ418" i="3"/>
  <c r="S39" i="37"/>
  <c r="AA39" i="37"/>
  <c r="W12" i="35"/>
  <c r="AC12" i="35"/>
  <c r="AB25" i="35"/>
  <c r="U25" i="35"/>
  <c r="AZ261" i="3"/>
  <c r="AZ39" i="3"/>
  <c r="F67" i="59"/>
  <c r="Q68" i="59"/>
  <c r="AZ263" i="3"/>
  <c r="AZ414" i="3"/>
  <c r="S29" i="34"/>
  <c r="AA29" i="34"/>
  <c r="AC39" i="37"/>
  <c r="W39" i="37"/>
  <c r="U12" i="35"/>
  <c r="AB12" i="35"/>
  <c r="AA25" i="35"/>
  <c r="S25" i="35"/>
  <c r="AA14" i="21"/>
  <c r="S14" i="21"/>
  <c r="AZ133" i="3"/>
  <c r="AZ257" i="3"/>
  <c r="E20" i="59"/>
  <c r="E19" i="59" s="1"/>
  <c r="E18" i="59" s="1"/>
  <c r="E17" i="59" s="1"/>
  <c r="U21" i="59"/>
  <c r="AZ104" i="3"/>
  <c r="AZ43" i="3"/>
  <c r="AZ449" i="3"/>
  <c r="AC9" i="33"/>
  <c r="W9" i="33"/>
  <c r="U13" i="35"/>
  <c r="AB13" i="35"/>
  <c r="U29" i="34"/>
  <c r="AB29" i="34"/>
  <c r="AC25" i="35"/>
  <c r="W25" i="35"/>
  <c r="AC14" i="21"/>
  <c r="W14" i="21"/>
  <c r="AZ279" i="3"/>
  <c r="AA26" i="37"/>
  <c r="S26" i="37"/>
  <c r="AB9" i="33"/>
  <c r="U9" i="33"/>
  <c r="W28" i="33"/>
  <c r="AC28" i="33"/>
  <c r="U16" i="39"/>
  <c r="AB16" i="39"/>
  <c r="AC16" i="39"/>
  <c r="W16" i="39"/>
  <c r="F103" i="46"/>
  <c r="M107" i="46"/>
  <c r="C102" i="46"/>
  <c r="S5" i="46" s="1"/>
  <c r="C104" i="46"/>
  <c r="E103" i="46"/>
  <c r="L104" i="46"/>
  <c r="E109" i="46"/>
  <c r="L103" i="46"/>
  <c r="L109" i="46"/>
  <c r="E107" i="46"/>
  <c r="M102" i="46"/>
  <c r="M103" i="46"/>
  <c r="L106" i="46"/>
  <c r="M104" i="46"/>
  <c r="E104" i="46"/>
  <c r="E105" i="46"/>
  <c r="L107" i="46"/>
  <c r="E102" i="46"/>
  <c r="L102" i="46"/>
  <c r="S23" i="39"/>
  <c r="AC23" i="39"/>
  <c r="U23" i="39"/>
  <c r="C105" i="46"/>
  <c r="B116" i="46"/>
  <c r="C116" i="46" s="1"/>
  <c r="I117" i="46"/>
  <c r="J117" i="46" s="1"/>
  <c r="K117" i="46" s="1"/>
  <c r="L117" i="46" s="1"/>
  <c r="M117" i="46" s="1"/>
  <c r="C103" i="46"/>
  <c r="I102" i="46"/>
  <c r="C107" i="46"/>
  <c r="J13" i="39"/>
  <c r="H13" i="39"/>
  <c r="Z13" i="46"/>
  <c r="J102" i="46"/>
  <c r="F13" i="39"/>
  <c r="S13" i="39" s="1"/>
  <c r="I103" i="46"/>
  <c r="I109" i="46"/>
  <c r="J109" i="46"/>
  <c r="I107" i="46"/>
  <c r="C106" i="46"/>
  <c r="K107" i="46"/>
  <c r="K106" i="46"/>
  <c r="K105" i="46"/>
  <c r="K104" i="46"/>
  <c r="I104" i="46"/>
  <c r="I106" i="46"/>
  <c r="B117" i="46"/>
  <c r="C117" i="46" s="1"/>
  <c r="K109" i="46"/>
  <c r="M43" i="9"/>
  <c r="M109" i="46"/>
  <c r="J103" i="46"/>
  <c r="J105" i="46"/>
  <c r="G118" i="46"/>
  <c r="H118" i="46" s="1"/>
  <c r="B115" i="46"/>
  <c r="C115" i="46" s="1"/>
  <c r="B118" i="46"/>
  <c r="C118" i="46" s="1"/>
  <c r="I118" i="46"/>
  <c r="J118" i="46" s="1"/>
  <c r="K118" i="46" s="1"/>
  <c r="L118" i="46" s="1"/>
  <c r="M118" i="46" s="1"/>
  <c r="D22" i="46"/>
  <c r="C21" i="46" s="1"/>
  <c r="D118" i="46"/>
  <c r="E118" i="46" s="1"/>
  <c r="F118" i="46" s="1"/>
  <c r="I116" i="46"/>
  <c r="J116" i="46" s="1"/>
  <c r="K116" i="46" s="1"/>
  <c r="L116" i="46" s="1"/>
  <c r="M116" i="46" s="1"/>
  <c r="H105" i="46"/>
  <c r="F107" i="46"/>
  <c r="D116" i="46"/>
  <c r="E116" i="46" s="1"/>
  <c r="F116" i="46" s="1"/>
  <c r="G116" i="46" s="1"/>
  <c r="H116" i="46" s="1"/>
  <c r="J104" i="46"/>
  <c r="H103" i="46"/>
  <c r="D115" i="46"/>
  <c r="E115" i="46" s="1"/>
  <c r="F115" i="46" s="1"/>
  <c r="G115" i="46" s="1"/>
  <c r="H115" i="46" s="1"/>
  <c r="F104" i="46"/>
  <c r="F105" i="46"/>
  <c r="F109" i="46"/>
  <c r="H104" i="46"/>
  <c r="H107" i="46"/>
  <c r="H106" i="46"/>
  <c r="F102" i="46"/>
  <c r="H109" i="46"/>
  <c r="J107" i="46"/>
  <c r="F49" i="15"/>
  <c r="M7" i="15"/>
  <c r="J53" i="15"/>
  <c r="F1" i="15" s="1"/>
  <c r="I54" i="15"/>
  <c r="L56" i="15"/>
  <c r="J57" i="15"/>
  <c r="J55" i="15" s="1"/>
  <c r="J58" i="15" s="1"/>
  <c r="Q51" i="15" s="1"/>
  <c r="F67" i="15"/>
  <c r="F50" i="15"/>
  <c r="C29" i="44"/>
  <c r="L60" i="44"/>
  <c r="Q76" i="44" s="1"/>
  <c r="G102" i="46"/>
  <c r="G109" i="46"/>
  <c r="E28" i="6"/>
  <c r="E30" i="6" s="1"/>
  <c r="G30" i="6"/>
  <c r="G31" i="6" s="1"/>
  <c r="G106" i="46"/>
  <c r="G103" i="46"/>
  <c r="G104" i="46"/>
  <c r="G105" i="46"/>
  <c r="J7" i="33"/>
  <c r="AC7" i="33" s="1"/>
  <c r="V48" i="33" s="1"/>
  <c r="I48" i="33" s="1"/>
  <c r="E16" i="59"/>
  <c r="E15" i="59" s="1"/>
  <c r="E14" i="59" s="1"/>
  <c r="E13" i="59" s="1"/>
  <c r="E12" i="59" s="1"/>
  <c r="U17" i="59"/>
  <c r="J7" i="21"/>
  <c r="B67" i="59"/>
  <c r="N68" i="59"/>
  <c r="AZ47" i="3"/>
  <c r="AZ44" i="3"/>
  <c r="AZ84" i="3"/>
  <c r="AC36" i="35"/>
  <c r="W36" i="35"/>
  <c r="D39" i="59"/>
  <c r="C40" i="59"/>
  <c r="C57" i="59"/>
  <c r="D56" i="59"/>
  <c r="D28" i="59"/>
  <c r="C27" i="59"/>
  <c r="D27" i="59" s="1"/>
  <c r="AZ107" i="3"/>
  <c r="AZ78" i="3"/>
  <c r="BL5" i="3"/>
  <c r="AZ256" i="3"/>
  <c r="S31" i="21"/>
  <c r="AA31" i="21"/>
  <c r="F16" i="59"/>
  <c r="F15" i="59" s="1"/>
  <c r="F14" i="59" s="1"/>
  <c r="F13" i="59" s="1"/>
  <c r="V17" i="59"/>
  <c r="AB9" i="35"/>
  <c r="U9" i="35"/>
  <c r="M17" i="15"/>
  <c r="B24" i="59"/>
  <c r="B23" i="59" s="1"/>
  <c r="B22" i="59" s="1"/>
  <c r="B21" i="59" s="1"/>
  <c r="S25" i="59"/>
  <c r="D44" i="59"/>
  <c r="C45" i="59"/>
  <c r="AZ105" i="3"/>
  <c r="AZ41" i="3"/>
  <c r="C53" i="59"/>
  <c r="D52" i="59"/>
  <c r="D64" i="59"/>
  <c r="C65" i="59"/>
  <c r="AZ159" i="3"/>
  <c r="AZ129" i="3"/>
  <c r="AZ21" i="3"/>
  <c r="AZ334" i="3"/>
  <c r="AA13" i="46"/>
  <c r="R7" i="54"/>
  <c r="B52" i="63" s="1"/>
  <c r="K31" i="9"/>
  <c r="K32" i="9" s="1"/>
  <c r="K34" i="9"/>
  <c r="U29" i="59"/>
  <c r="E28" i="59"/>
  <c r="E27" i="59" s="1"/>
  <c r="AZ198" i="3"/>
  <c r="AZ163" i="3"/>
  <c r="AB24" i="36"/>
  <c r="U24" i="36"/>
  <c r="AC9" i="36"/>
  <c r="W9" i="36"/>
  <c r="AB9" i="34"/>
  <c r="U9" i="34"/>
  <c r="C61" i="59"/>
  <c r="D60" i="59"/>
  <c r="AZ77" i="3"/>
  <c r="AZ52" i="3"/>
  <c r="AZ194" i="3"/>
  <c r="W24" i="36"/>
  <c r="AC24" i="36"/>
  <c r="AA9" i="36"/>
  <c r="S9" i="36"/>
  <c r="AB31" i="21"/>
  <c r="U31" i="21"/>
  <c r="C5" i="46"/>
  <c r="O66" i="59"/>
  <c r="D67" i="59"/>
  <c r="O67" i="59"/>
  <c r="T33" i="59"/>
  <c r="D33" i="59"/>
  <c r="AZ93" i="3"/>
  <c r="W9" i="35"/>
  <c r="AC9" i="35"/>
  <c r="AB9" i="36"/>
  <c r="U9" i="36"/>
  <c r="U12" i="36"/>
  <c r="AB12" i="36"/>
  <c r="P67" i="59"/>
  <c r="P66" i="59"/>
  <c r="T37" i="59"/>
  <c r="D37" i="59"/>
  <c r="AZ87" i="3"/>
  <c r="AZ23" i="3"/>
  <c r="AZ22" i="3"/>
  <c r="BA5" i="3"/>
  <c r="E27" i="6" s="1"/>
  <c r="AA25" i="37"/>
  <c r="S25" i="37"/>
  <c r="AA9" i="34"/>
  <c r="S9" i="34"/>
  <c r="W12" i="36"/>
  <c r="AC12" i="36"/>
  <c r="C7" i="46"/>
  <c r="G5" i="3"/>
  <c r="B3" i="3" s="1"/>
  <c r="E62" i="39"/>
  <c r="E57" i="40"/>
  <c r="E66" i="39"/>
  <c r="E61" i="40"/>
  <c r="H7" i="34"/>
  <c r="AB7" i="34" s="1"/>
  <c r="T49" i="34" s="1"/>
  <c r="G49" i="34" s="1"/>
  <c r="F7" i="34"/>
  <c r="AA7" i="34" s="1"/>
  <c r="R49" i="34" s="1"/>
  <c r="J7" i="34"/>
  <c r="W7" i="34" s="1"/>
  <c r="G16" i="1"/>
  <c r="J12" i="40" s="1"/>
  <c r="F7" i="21"/>
  <c r="AA7" i="21" s="1"/>
  <c r="R48" i="21" s="1"/>
  <c r="H7" i="21"/>
  <c r="AB7" i="21" s="1"/>
  <c r="T48" i="21" s="1"/>
  <c r="G48" i="21" s="1"/>
  <c r="F58" i="15"/>
  <c r="H7" i="35"/>
  <c r="U7" i="35" s="1"/>
  <c r="B40" i="1"/>
  <c r="E64" i="40"/>
  <c r="D66" i="40"/>
  <c r="J7" i="37"/>
  <c r="W7" i="21"/>
  <c r="AC7" i="21"/>
  <c r="V48" i="21" s="1"/>
  <c r="I48" i="21" s="1"/>
  <c r="D71" i="39"/>
  <c r="E69" i="39"/>
  <c r="H7" i="33"/>
  <c r="F7" i="33"/>
  <c r="J46" i="36"/>
  <c r="J7" i="35"/>
  <c r="F7" i="35"/>
  <c r="H7" i="37"/>
  <c r="F7" i="37"/>
  <c r="M19" i="44"/>
  <c r="C19" i="46"/>
  <c r="C34" i="46" s="1"/>
  <c r="F17" i="11"/>
  <c r="C17" i="11" s="1"/>
  <c r="C19" i="11" s="1"/>
  <c r="M13" i="44"/>
  <c r="J12" i="44" s="1"/>
  <c r="F11" i="15"/>
  <c r="M11" i="15"/>
  <c r="J10" i="15" s="1"/>
  <c r="F13" i="44"/>
  <c r="C12" i="44" s="1"/>
  <c r="M28" i="46"/>
  <c r="P28" i="46"/>
  <c r="O28" i="46"/>
  <c r="N28" i="46"/>
  <c r="M11" i="44"/>
  <c r="M23" i="15"/>
  <c r="F37" i="15"/>
  <c r="M22" i="15"/>
  <c r="F39" i="44"/>
  <c r="M6" i="15"/>
  <c r="AE6" i="1"/>
  <c r="L49" i="44"/>
  <c r="C18" i="44"/>
  <c r="F38" i="44"/>
  <c r="F13" i="15"/>
  <c r="M29" i="44"/>
  <c r="F36" i="15"/>
  <c r="F26" i="15"/>
  <c r="F43" i="15"/>
  <c r="M10" i="44"/>
  <c r="F16" i="15"/>
  <c r="M9" i="15"/>
  <c r="F10" i="44"/>
  <c r="F15" i="44"/>
  <c r="F40" i="44"/>
  <c r="M8" i="15"/>
  <c r="J15" i="15"/>
  <c r="F6" i="15"/>
  <c r="M8" i="44"/>
  <c r="M29" i="15"/>
  <c r="M28" i="44"/>
  <c r="F43" i="44"/>
  <c r="F11" i="44"/>
  <c r="F9" i="15"/>
  <c r="L47" i="15"/>
  <c r="J36" i="15"/>
  <c r="F8" i="44"/>
  <c r="M26" i="15"/>
  <c r="F9" i="44"/>
  <c r="F38" i="15"/>
  <c r="F65" i="15" l="1"/>
  <c r="F63" i="15"/>
  <c r="M9" i="44"/>
  <c r="J8" i="44" s="1"/>
  <c r="J20" i="44" s="1"/>
  <c r="F64" i="15"/>
  <c r="C6" i="15"/>
  <c r="C32" i="15" s="1"/>
  <c r="Q73" i="44"/>
  <c r="C8" i="44"/>
  <c r="C34" i="44" s="1"/>
  <c r="L59" i="44"/>
  <c r="Q62" i="44" s="1"/>
  <c r="L57" i="44"/>
  <c r="J58" i="44"/>
  <c r="J56" i="44" s="1"/>
  <c r="J59" i="44" s="1"/>
  <c r="Q52" i="44" s="1"/>
  <c r="J61" i="44"/>
  <c r="Q50" i="44" s="1"/>
  <c r="I55" i="44"/>
  <c r="J60" i="44"/>
  <c r="J54" i="44"/>
  <c r="F1" i="44" s="1"/>
  <c r="C27" i="15"/>
  <c r="L59" i="15"/>
  <c r="Q62" i="15" s="1"/>
  <c r="L58" i="15"/>
  <c r="Q74" i="15" s="1"/>
  <c r="Q72" i="15"/>
  <c r="F31" i="6"/>
  <c r="J6" i="15"/>
  <c r="J18" i="15" s="1"/>
  <c r="Q16" i="1"/>
  <c r="AB41" i="39"/>
  <c r="U41" i="39"/>
  <c r="C22" i="59"/>
  <c r="D23" i="59"/>
  <c r="AA41" i="39"/>
  <c r="S41" i="39"/>
  <c r="F70" i="15"/>
  <c r="E64" i="39"/>
  <c r="E58" i="40"/>
  <c r="M6" i="1"/>
  <c r="S2" i="46"/>
  <c r="S3" i="46"/>
  <c r="T3" i="46" s="1"/>
  <c r="V3" i="46" s="1"/>
  <c r="E16" i="6"/>
  <c r="S6" i="46"/>
  <c r="T6" i="46" s="1"/>
  <c r="V6" i="46" s="1"/>
  <c r="S7" i="46"/>
  <c r="T7" i="46" s="1"/>
  <c r="V7" i="46" s="1"/>
  <c r="S4" i="46"/>
  <c r="T4" i="46" s="1"/>
  <c r="V4" i="46" s="1"/>
  <c r="E65" i="39"/>
  <c r="K14" i="1"/>
  <c r="M14" i="1" s="1"/>
  <c r="S7" i="34"/>
  <c r="W7" i="33"/>
  <c r="Q67" i="59"/>
  <c r="Q66" i="59"/>
  <c r="AA13" i="39"/>
  <c r="AB13" i="39"/>
  <c r="U13" i="39"/>
  <c r="AC13" i="39"/>
  <c r="W13" i="39"/>
  <c r="C48" i="15"/>
  <c r="Q63" i="44"/>
  <c r="Q53" i="15"/>
  <c r="D113" i="46"/>
  <c r="AC7" i="34"/>
  <c r="V49" i="34" s="1"/>
  <c r="I49" i="34" s="1"/>
  <c r="D53" i="59"/>
  <c r="T53" i="59"/>
  <c r="F12" i="59"/>
  <c r="F11" i="59" s="1"/>
  <c r="V13" i="59"/>
  <c r="T61" i="59"/>
  <c r="D61" i="59"/>
  <c r="AZ5" i="3"/>
  <c r="E3" i="6" s="1"/>
  <c r="U7" i="34"/>
  <c r="U13" i="59"/>
  <c r="E31" i="6"/>
  <c r="T45" i="59"/>
  <c r="D45" i="59"/>
  <c r="T57" i="59"/>
  <c r="D57" i="59"/>
  <c r="K26" i="6"/>
  <c r="M26" i="6" s="1"/>
  <c r="I26" i="6" s="1"/>
  <c r="S26" i="6" s="1"/>
  <c r="K23" i="6"/>
  <c r="M23" i="6" s="1"/>
  <c r="I23" i="6" s="1"/>
  <c r="S23" i="6" s="1"/>
  <c r="K24" i="6"/>
  <c r="M24" i="6" s="1"/>
  <c r="I24" i="6" s="1"/>
  <c r="S24" i="6" s="1"/>
  <c r="K19" i="6"/>
  <c r="K21" i="6"/>
  <c r="M21" i="6" s="1"/>
  <c r="I21" i="6" s="1"/>
  <c r="S21" i="6" s="1"/>
  <c r="K20" i="6"/>
  <c r="M20" i="6" s="1"/>
  <c r="I20" i="6" s="1"/>
  <c r="S20" i="6" s="1"/>
  <c r="K22" i="6"/>
  <c r="M22" i="6" s="1"/>
  <c r="I22" i="6" s="1"/>
  <c r="S22" i="6" s="1"/>
  <c r="K25" i="6"/>
  <c r="M25" i="6" s="1"/>
  <c r="I25" i="6" s="1"/>
  <c r="S25" i="6" s="1"/>
  <c r="D40" i="59"/>
  <c r="C41" i="59"/>
  <c r="N66" i="59"/>
  <c r="N67" i="59"/>
  <c r="T65" i="59"/>
  <c r="D65" i="59"/>
  <c r="B20" i="59"/>
  <c r="B19" i="59" s="1"/>
  <c r="B18" i="59" s="1"/>
  <c r="B17" i="59" s="1"/>
  <c r="S21"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E34" i="46"/>
  <c r="G34" i="46"/>
  <c r="I34" i="46" s="1"/>
  <c r="J5" i="15"/>
  <c r="C52" i="15"/>
  <c r="C10" i="15"/>
  <c r="C20" i="11"/>
  <c r="C21" i="11" s="1"/>
  <c r="C22" i="11" s="1"/>
  <c r="C23" i="11" s="1"/>
  <c r="B2" i="11" s="1"/>
  <c r="C16" i="15"/>
  <c r="F41" i="15"/>
  <c r="Q61" i="15" l="1"/>
  <c r="J7" i="44"/>
  <c r="J26" i="44" s="1"/>
  <c r="C5" i="15"/>
  <c r="C38" i="15" s="1"/>
  <c r="L47" i="44"/>
  <c r="Q75" i="44"/>
  <c r="Q75" i="15"/>
  <c r="C7" i="44"/>
  <c r="C40" i="44" s="1"/>
  <c r="D22" i="59"/>
  <c r="C21" i="59"/>
  <c r="F33" i="12"/>
  <c r="C34" i="12" s="1"/>
  <c r="D33" i="12" s="1"/>
  <c r="F21" i="43"/>
  <c r="Q54" i="44"/>
  <c r="O6" i="1"/>
  <c r="P6" i="1" s="1"/>
  <c r="AY6" i="3"/>
  <c r="AY53" i="3" s="1"/>
  <c r="K16" i="1"/>
  <c r="F33" i="1"/>
  <c r="B4" i="68"/>
  <c r="E36" i="68"/>
  <c r="F36" i="68" s="1"/>
  <c r="F68" i="15"/>
  <c r="C47" i="15"/>
  <c r="C59" i="15" s="1"/>
  <c r="B16" i="59"/>
  <c r="B15" i="59" s="1"/>
  <c r="B14" i="59" s="1"/>
  <c r="B13" i="59" s="1"/>
  <c r="S17" i="59"/>
  <c r="S6" i="1"/>
  <c r="M19" i="6"/>
  <c r="K27" i="6"/>
  <c r="T41" i="59"/>
  <c r="D41" i="59"/>
  <c r="D16" i="43"/>
  <c r="C16" i="43" s="1"/>
  <c r="L38" i="9"/>
  <c r="B14" i="66" s="1"/>
  <c r="B1" i="66" s="1"/>
  <c r="C21" i="4"/>
  <c r="O5" i="54" s="1"/>
  <c r="B45" i="63" s="1"/>
  <c r="D46" i="9"/>
  <c r="D45" i="9"/>
  <c r="E6" i="6"/>
  <c r="F9" i="59"/>
  <c r="V9" i="59" s="1"/>
  <c r="H6" i="3"/>
  <c r="AC6" i="3"/>
  <c r="AY427" i="3"/>
  <c r="AY214" i="3"/>
  <c r="AY81" i="3"/>
  <c r="AY279" i="3"/>
  <c r="AY124" i="3"/>
  <c r="AY271" i="3"/>
  <c r="AY229" i="3"/>
  <c r="AY268" i="3"/>
  <c r="AY316" i="3"/>
  <c r="AY413" i="3"/>
  <c r="AY245" i="3"/>
  <c r="AY518" i="3"/>
  <c r="AY112" i="3"/>
  <c r="AY247" i="3"/>
  <c r="AY503" i="3"/>
  <c r="AY20" i="3"/>
  <c r="AY78" i="3"/>
  <c r="AY299" i="3"/>
  <c r="AY153" i="3"/>
  <c r="AY375" i="3"/>
  <c r="AY185" i="3"/>
  <c r="AY559" i="3"/>
  <c r="AY506" i="3"/>
  <c r="AY108" i="3"/>
  <c r="AY240" i="3"/>
  <c r="AY475" i="3"/>
  <c r="AY40" i="3"/>
  <c r="AY281" i="3"/>
  <c r="AY395" i="3"/>
  <c r="AY189" i="3"/>
  <c r="AY393" i="3"/>
  <c r="AY490" i="3"/>
  <c r="AY210" i="3"/>
  <c r="AY297" i="3"/>
  <c r="AY377" i="3"/>
  <c r="AY205" i="3"/>
  <c r="AY252" i="3"/>
  <c r="AY260" i="3"/>
  <c r="AY423" i="3"/>
  <c r="AY22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B3" i="11"/>
  <c r="J26" i="15"/>
  <c r="J29" i="15" s="1"/>
  <c r="J24" i="15"/>
  <c r="D16" i="12"/>
  <c r="F7" i="67"/>
  <c r="C19" i="44"/>
  <c r="C17" i="15"/>
  <c r="J28" i="44" l="1"/>
  <c r="J31" i="44" s="1"/>
  <c r="Q58" i="44" s="1"/>
  <c r="AY75" i="3"/>
  <c r="AY548" i="3"/>
  <c r="AY217" i="3"/>
  <c r="C20" i="59"/>
  <c r="D21" i="59"/>
  <c r="T21" i="59"/>
  <c r="AY456" i="3"/>
  <c r="AY293" i="3"/>
  <c r="AY26" i="3"/>
  <c r="AY18" i="3"/>
  <c r="BM6" i="3"/>
  <c r="AY468" i="3"/>
  <c r="BO6" i="3"/>
  <c r="AY322" i="3"/>
  <c r="AY60" i="3"/>
  <c r="AY483" i="3"/>
  <c r="AY447" i="3"/>
  <c r="AY208" i="3"/>
  <c r="AY415" i="3"/>
  <c r="AY388" i="3"/>
  <c r="AY171" i="3"/>
  <c r="AY111" i="3"/>
  <c r="AY336" i="3"/>
  <c r="AY116" i="3"/>
  <c r="C40" i="39"/>
  <c r="B5" i="68"/>
  <c r="H6" i="68"/>
  <c r="G23" i="68"/>
  <c r="H23" i="68"/>
  <c r="I23" i="68"/>
  <c r="B5" i="11"/>
  <c r="C65" i="15"/>
  <c r="B4" i="11"/>
  <c r="E6" i="3"/>
  <c r="D19" i="12"/>
  <c r="C19" i="12" s="1"/>
  <c r="C16" i="12"/>
  <c r="Q15" i="12" s="1"/>
  <c r="S15" i="12" s="1"/>
  <c r="M27" i="6"/>
  <c r="I19" i="6"/>
  <c r="S16" i="1"/>
  <c r="C7" i="66"/>
  <c r="C8" i="66"/>
  <c r="D13" i="11"/>
  <c r="C13" i="11" s="1"/>
  <c r="B12" i="59"/>
  <c r="B11" i="59" s="1"/>
  <c r="B10" i="59" s="1"/>
  <c r="B9" i="59" s="1"/>
  <c r="S9" i="59" s="1"/>
  <c r="S13" i="59"/>
  <c r="F8" i="59"/>
  <c r="E9" i="59"/>
  <c r="U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D22" i="12"/>
  <c r="B7" i="67"/>
  <c r="E7" i="67"/>
  <c r="Q49" i="44" l="1"/>
  <c r="Q55" i="44" s="1"/>
  <c r="Q67" i="44"/>
  <c r="C19" i="59"/>
  <c r="D20" i="59"/>
  <c r="C22" i="12"/>
  <c r="C20" i="12" s="1"/>
  <c r="Q19" i="12" s="1"/>
  <c r="S19" i="12" s="1"/>
  <c r="Q13" i="12"/>
  <c r="S13" i="12" s="1"/>
  <c r="D27" i="9"/>
  <c r="D30" i="6"/>
  <c r="J40" i="39"/>
  <c r="H40" i="39"/>
  <c r="F40" i="39"/>
  <c r="R24" i="6"/>
  <c r="R26" i="6"/>
  <c r="T12" i="1"/>
  <c r="T13" i="1"/>
  <c r="T6" i="1"/>
  <c r="T10" i="1"/>
  <c r="T11" i="1"/>
  <c r="T7" i="1"/>
  <c r="T9" i="1"/>
  <c r="T8" i="1"/>
  <c r="I27" i="6"/>
  <c r="S19" i="6"/>
  <c r="S27" i="6" s="1"/>
  <c r="H19" i="6"/>
  <c r="R19" i="6" s="1"/>
  <c r="R6" i="1" s="1"/>
  <c r="R22" i="6"/>
  <c r="F7" i="59"/>
  <c r="B8" i="59"/>
  <c r="E8" i="59"/>
  <c r="R25" i="6"/>
  <c r="R21" i="6"/>
  <c r="D27" i="6"/>
  <c r="A20" i="64"/>
  <c r="A6" i="64"/>
  <c r="A20" i="51"/>
  <c r="B15" i="63" s="1"/>
  <c r="N5" i="54"/>
  <c r="B43" i="63" s="1"/>
  <c r="A6" i="51"/>
  <c r="B7" i="63" s="1"/>
  <c r="D8" i="66"/>
  <c r="D7" i="66"/>
  <c r="D16" i="6"/>
  <c r="R23" i="6"/>
  <c r="R20" i="6"/>
  <c r="C17" i="43"/>
  <c r="C14" i="43"/>
  <c r="C14" i="12"/>
  <c r="C17" i="12"/>
  <c r="I64" i="40"/>
  <c r="H66" i="40"/>
  <c r="H71" i="39"/>
  <c r="I69" i="39"/>
  <c r="N46" i="36"/>
  <c r="E3" i="67"/>
  <c r="B2" i="67"/>
  <c r="D4" i="46"/>
  <c r="B3" i="46"/>
  <c r="B4" i="46"/>
  <c r="C16" i="44"/>
  <c r="C14" i="15"/>
  <c r="M21" i="15"/>
  <c r="F37" i="44"/>
  <c r="F35" i="15"/>
  <c r="M23" i="44"/>
  <c r="D30" i="9" l="1"/>
  <c r="U4" i="72"/>
  <c r="C18" i="59"/>
  <c r="D19" i="59"/>
  <c r="C24" i="9"/>
  <c r="C25" i="9"/>
  <c r="E33" i="1"/>
  <c r="Q17" i="12"/>
  <c r="D14" i="68"/>
  <c r="D31" i="6"/>
  <c r="I5" i="6" s="1"/>
  <c r="AA40" i="39"/>
  <c r="S40" i="39"/>
  <c r="AB40" i="39"/>
  <c r="U40" i="39"/>
  <c r="AC40" i="39"/>
  <c r="W40" i="39"/>
  <c r="R27" i="6"/>
  <c r="C18" i="15"/>
  <c r="C15" i="15"/>
  <c r="C17" i="44"/>
  <c r="C20" i="44"/>
  <c r="T16" i="1"/>
  <c r="H27" i="6"/>
  <c r="E7" i="59"/>
  <c r="B7" i="59"/>
  <c r="F6" i="59"/>
  <c r="J22" i="44"/>
  <c r="J20" i="15"/>
  <c r="F62" i="15"/>
  <c r="C61" i="15" s="1"/>
  <c r="C34" i="15"/>
  <c r="C36" i="44"/>
  <c r="R16" i="1"/>
  <c r="C18" i="43"/>
  <c r="C18" i="12"/>
  <c r="C23" i="12" s="1"/>
  <c r="O46" i="36"/>
  <c r="J7" i="36" s="1"/>
  <c r="F7" i="36"/>
  <c r="H7" i="36"/>
  <c r="J64" i="40"/>
  <c r="I66" i="40"/>
  <c r="J69" i="39"/>
  <c r="I71" i="39"/>
  <c r="B3" i="67"/>
  <c r="B4" i="67"/>
  <c r="D18" i="59" l="1"/>
  <c r="C17" i="59"/>
  <c r="Q22" i="12"/>
  <c r="S17" i="12"/>
  <c r="I6" i="6"/>
  <c r="C21" i="44"/>
  <c r="C22" i="44" s="1"/>
  <c r="C28" i="44" s="1"/>
  <c r="C19" i="15"/>
  <c r="C20" i="15" s="1"/>
  <c r="C26" i="15" s="1"/>
  <c r="F5" i="59"/>
  <c r="V5" i="59" s="1"/>
  <c r="B6" i="59"/>
  <c r="E6" i="59"/>
  <c r="C19" i="43"/>
  <c r="K69" i="39"/>
  <c r="J71" i="39"/>
  <c r="U7" i="36"/>
  <c r="AB7" i="36"/>
  <c r="T36" i="36" s="1"/>
  <c r="G36" i="36" s="1"/>
  <c r="AC7" i="36"/>
  <c r="V36" i="36" s="1"/>
  <c r="I36" i="36" s="1"/>
  <c r="W7" i="36"/>
  <c r="J66" i="40"/>
  <c r="K64" i="40"/>
  <c r="S7" i="36"/>
  <c r="AA7" i="36"/>
  <c r="R36" i="36" s="1"/>
  <c r="D17" i="59" l="1"/>
  <c r="C16" i="59"/>
  <c r="T17" i="59"/>
  <c r="E5" i="59"/>
  <c r="U5" i="59" s="1"/>
  <c r="B5" i="59"/>
  <c r="C21" i="43"/>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B2" i="36" s="1"/>
  <c r="C36" i="36"/>
  <c r="C14" i="59" l="1"/>
  <c r="D15" i="59"/>
  <c r="N64" i="40"/>
  <c r="N66" i="40" s="1"/>
  <c r="M66" i="40"/>
  <c r="N69" i="39"/>
  <c r="N71" i="39" s="1"/>
  <c r="M71" i="39"/>
  <c r="C13" i="59" l="1"/>
  <c r="D14"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B64" i="39"/>
  <c r="F64" i="39" s="1"/>
  <c r="B63" i="39"/>
  <c r="B60" i="39"/>
  <c r="F60" i="39" s="1"/>
  <c r="Q58" i="39" l="1"/>
  <c r="Q57" i="39"/>
  <c r="Q60" i="39"/>
  <c r="Q59" i="39"/>
  <c r="T9" i="59"/>
  <c r="D9" i="59"/>
  <c r="C8" i="59"/>
  <c r="F58" i="39"/>
  <c r="C51" i="39" s="1"/>
  <c r="B5" i="40"/>
  <c r="B4" i="40"/>
  <c r="B3" i="40"/>
  <c r="Q61" i="39" l="1"/>
  <c r="D8" i="59"/>
  <c r="C7" i="59"/>
  <c r="F67" i="39"/>
  <c r="B2" i="39" s="1"/>
  <c r="F20" i="43"/>
  <c r="D20" i="43" s="1"/>
  <c r="F26" i="12"/>
  <c r="F26" i="44"/>
  <c r="F24" i="15"/>
  <c r="C19" i="9"/>
  <c r="C6" i="59" l="1"/>
  <c r="D7" i="59"/>
  <c r="L43" i="9"/>
  <c r="B3" i="39"/>
  <c r="B5" i="39"/>
  <c r="B4" i="39"/>
  <c r="C20" i="43"/>
  <c r="C24" i="15"/>
  <c r="C23" i="15"/>
  <c r="C27" i="12"/>
  <c r="D26" i="12" s="1"/>
  <c r="C32" i="12" s="1"/>
  <c r="D30" i="12" s="1"/>
  <c r="C26" i="44"/>
  <c r="C25" i="44"/>
  <c r="C21" i="9"/>
  <c r="C20" i="9"/>
  <c r="C5" i="59" l="1"/>
  <c r="D6" i="59"/>
  <c r="C23" i="43"/>
  <c r="C31" i="44"/>
  <c r="Q51" i="44" s="1"/>
  <c r="C29" i="15"/>
  <c r="D5" i="59" l="1"/>
  <c r="T5" i="59"/>
  <c r="M20" i="46"/>
  <c r="C13" i="15"/>
  <c r="J35" i="15" s="1"/>
  <c r="D13" i="68"/>
  <c r="D12" i="68" s="1"/>
  <c r="D11" i="68" s="1"/>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Q71" i="15" l="1"/>
  <c r="C37" i="15"/>
  <c r="C30" i="15" s="1"/>
  <c r="C39" i="15" s="1"/>
  <c r="Q70" i="15" s="1"/>
  <c r="C55" i="15"/>
  <c r="C64" i="15" s="1"/>
  <c r="E11" i="68"/>
  <c r="E7" i="68" s="1"/>
  <c r="C27" i="68" s="1"/>
  <c r="D27" i="68" s="1"/>
  <c r="D7" i="68"/>
  <c r="C26" i="68" s="1"/>
  <c r="C32" i="68" s="1"/>
  <c r="G32" i="68" s="1"/>
  <c r="J22" i="15"/>
  <c r="J16" i="15" s="1"/>
  <c r="J25" i="15" s="1"/>
  <c r="B3" i="43"/>
  <c r="B4" i="43"/>
  <c r="C63" i="15"/>
  <c r="C39" i="44"/>
  <c r="C32" i="44" s="1"/>
  <c r="C42" i="44" s="1"/>
  <c r="C43" i="44"/>
  <c r="J15" i="44"/>
  <c r="J25" i="44" s="1"/>
  <c r="J18" i="44" s="1"/>
  <c r="J27" i="44" s="1"/>
  <c r="C38" i="68" l="1"/>
  <c r="C39" i="68" s="1"/>
  <c r="Q69" i="15"/>
  <c r="D26" i="68"/>
  <c r="D32" i="68" s="1"/>
  <c r="E27" i="68"/>
  <c r="E26" i="68" s="1"/>
  <c r="E32" i="68" s="1"/>
  <c r="C57" i="15"/>
  <c r="C66" i="15" s="1"/>
  <c r="C67" i="15" s="1"/>
  <c r="C70" i="15" s="1"/>
  <c r="C40" i="15"/>
  <c r="Q57" i="15" s="1"/>
  <c r="J39" i="15"/>
  <c r="J40" i="15" s="1"/>
  <c r="C44" i="44"/>
  <c r="C45" i="44" s="1"/>
  <c r="B2" i="44" s="1"/>
  <c r="Q71" i="44"/>
  <c r="Q70" i="44" s="1"/>
  <c r="L51" i="15"/>
  <c r="E38" i="68" l="1"/>
  <c r="E39" i="68" s="1"/>
  <c r="I32" i="68"/>
  <c r="D38" i="68"/>
  <c r="D39" i="68" s="1"/>
  <c r="H32" i="68"/>
  <c r="Q68" i="15"/>
  <c r="L57" i="15"/>
  <c r="L60" i="15" s="1"/>
  <c r="C46" i="15"/>
  <c r="Q66" i="15"/>
  <c r="J42" i="15"/>
  <c r="J43" i="15" s="1"/>
  <c r="C43" i="15"/>
  <c r="Q48" i="15"/>
  <c r="Q54" i="15" s="1"/>
  <c r="L52" i="44"/>
  <c r="L58" i="44" s="1"/>
  <c r="L61" i="44" s="1"/>
  <c r="B3" i="44"/>
  <c r="B5" i="44"/>
  <c r="B4" i="44"/>
  <c r="C40" i="68" l="1"/>
  <c r="C41" i="68" s="1"/>
  <c r="Q67" i="15"/>
  <c r="Q76" i="15" s="1"/>
  <c r="L46" i="15"/>
  <c r="B2" i="15" s="1"/>
  <c r="Q58" i="15"/>
  <c r="Q63" i="15" s="1"/>
  <c r="Q69" i="44"/>
  <c r="Q59" i="44"/>
  <c r="Q64" i="44" s="1"/>
  <c r="Q68" i="44"/>
  <c r="Q77" i="44" s="1"/>
  <c r="B2" i="68" l="1"/>
  <c r="C43" i="68"/>
  <c r="B3" i="15"/>
  <c r="C10" i="12" l="1"/>
  <c r="C6" i="12" s="1"/>
  <c r="C24" i="12" s="1"/>
  <c r="B3" i="68"/>
  <c r="C8" i="12" s="1"/>
  <c r="C29" i="12" l="1"/>
  <c r="C35" i="12"/>
  <c r="C33" i="12" s="1"/>
  <c r="C28" i="12"/>
  <c r="C26" i="12" s="1"/>
  <c r="C31" i="12" l="1"/>
  <c r="C30" i="12" s="1"/>
  <c r="C36" i="12" s="1"/>
  <c r="B2" i="12" s="1"/>
  <c r="B3" i="12" s="1"/>
  <c r="D20" i="9"/>
  <c r="D19" i="9"/>
  <c r="G19" i="9" l="1"/>
  <c r="T9" i="72" s="1"/>
  <c r="D22" i="9"/>
  <c r="L44" i="9"/>
  <c r="G20" i="9"/>
  <c r="B5" i="12"/>
  <c r="B4" i="12"/>
  <c r="D21" i="9"/>
  <c r="R57" i="39" l="1"/>
  <c r="R60" i="39"/>
  <c r="R59" i="39"/>
  <c r="R58" i="39"/>
  <c r="G22" i="9"/>
  <c r="K21" i="9"/>
  <c r="N43" i="9"/>
  <c r="G21" i="9"/>
  <c r="U2" i="72" s="1"/>
  <c r="C32" i="9"/>
  <c r="R11" i="72" s="1"/>
  <c r="T6" i="72" l="1"/>
  <c r="R6" i="72" s="1"/>
  <c r="P6" i="72" s="1"/>
  <c r="T7" i="72"/>
  <c r="R7" i="72" s="1"/>
  <c r="Q7" i="72" s="1"/>
  <c r="T4" i="72"/>
  <c r="R4" i="72" s="1"/>
  <c r="P4" i="72" s="1"/>
  <c r="T5" i="72"/>
  <c r="R5" i="72" s="1"/>
  <c r="P5" i="72" s="1"/>
  <c r="O38" i="9"/>
  <c r="K26" i="9" s="1"/>
  <c r="R62" i="39"/>
  <c r="R61" i="39"/>
  <c r="O43" i="9"/>
  <c r="C35" i="9"/>
  <c r="F42" i="9" s="1"/>
  <c r="C34" i="9"/>
  <c r="M38" i="9" s="1"/>
  <c r="K27" i="9" s="1"/>
  <c r="C33" i="9"/>
  <c r="N38" i="9" s="1"/>
  <c r="K28" i="9" s="1"/>
  <c r="C42" i="9"/>
  <c r="R5" i="54" s="1"/>
  <c r="B48" i="63" s="1"/>
  <c r="Q6" i="72" l="1"/>
  <c r="P7" i="72"/>
  <c r="Q4" i="72"/>
  <c r="Q5" i="72"/>
  <c r="R8" i="72"/>
  <c r="R9" i="72" s="1"/>
  <c r="T8" i="72"/>
  <c r="T11" i="72" s="1"/>
  <c r="K25" i="9"/>
  <c r="C44" i="9"/>
  <c r="D44" i="9" s="1"/>
  <c r="E42" i="9"/>
  <c r="P5" i="54" s="1"/>
  <c r="B46" i="63" s="1"/>
  <c r="D14" i="66"/>
  <c r="B5" i="66" s="1"/>
  <c r="D63" i="9"/>
  <c r="C111" i="9" s="1"/>
  <c r="C104" i="9" s="1"/>
  <c r="N68" i="9"/>
  <c r="D42" i="9"/>
  <c r="Q5" i="54" s="1"/>
  <c r="B47" i="63" s="1"/>
  <c r="F44" i="9" l="1"/>
  <c r="G14" i="66"/>
  <c r="B6" i="66" s="1"/>
  <c r="C6" i="66" s="1"/>
  <c r="N69" i="9"/>
  <c r="M83" i="9" s="1"/>
  <c r="N83" i="9" s="1"/>
  <c r="E44" i="9"/>
  <c r="O39" i="9"/>
  <c r="R6" i="54" s="1"/>
  <c r="B50" i="63" s="1"/>
  <c r="E14" i="66"/>
  <c r="D71" i="9"/>
  <c r="D66" i="9" s="1"/>
  <c r="N72" i="9" s="1"/>
  <c r="D73" i="9"/>
  <c r="N73" i="9" s="1"/>
  <c r="F14" i="66"/>
  <c r="D70" i="9"/>
  <c r="C90" i="9"/>
  <c r="C82" i="9"/>
  <c r="C81" i="9" s="1"/>
  <c r="C85" i="9" s="1"/>
  <c r="C86" i="9" s="1"/>
  <c r="D72" i="9" s="1"/>
  <c r="C103" i="9"/>
  <c r="C113" i="9" s="1"/>
  <c r="C96" i="9"/>
  <c r="C91" i="9" s="1"/>
  <c r="D5" i="66"/>
  <c r="C5" i="66"/>
  <c r="M88" i="9" l="1"/>
  <c r="N88" i="9" s="1"/>
  <c r="D6" i="66"/>
  <c r="M86" i="9"/>
  <c r="N86" i="9" s="1"/>
  <c r="M85" i="9"/>
  <c r="N85" i="9" s="1"/>
  <c r="M84" i="9"/>
  <c r="N84" i="9" s="1"/>
  <c r="K29" i="9"/>
  <c r="K30" i="9" s="1"/>
  <c r="M87" i="9"/>
  <c r="N87" i="9" s="1"/>
  <c r="C97" i="9"/>
  <c r="C98" i="9" s="1"/>
  <c r="E98" i="9" s="1"/>
  <c r="E99" i="9" s="1"/>
  <c r="C114" i="9"/>
  <c r="E114" i="9" s="1"/>
  <c r="E115" i="9" s="1"/>
  <c r="N89" i="9" l="1"/>
  <c r="O89" i="9" s="1"/>
  <c r="C99" i="9"/>
  <c r="C115" i="9"/>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<sst xmlns="http://schemas.openxmlformats.org/spreadsheetml/2006/main" count="7849" uniqueCount="3610">
  <si>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</si>
  <si>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</si>
  <si>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</si>
  <si>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</si>
  <si>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</si>
  <si>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</si>
  <si>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</si>
  <si>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</si>
  <si>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</si>
  <si>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</si>
  <si>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</si>
  <si>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</si>
  <si>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</si>
  <si>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</si>
  <si>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</si>
  <si>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</si>
  <si>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</si>
  <si>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</si>
  <si>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</si>
  <si>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</si>
  <si>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</si>
  <si>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</si>
  <si>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</si>
  <si>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</si>
  <si>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</si>
  <si>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</si>
  <si>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</si>
  <si>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</si>
  <si>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</si>
  <si>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</si>
  <si>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</si>
  <si>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</si>
  <si>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</si>
  <si>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</si>
  <si>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</si>
  <si>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</si>
  <si>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</si>
  <si>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</si>
  <si>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</si>
  <si>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</si>
  <si>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</si>
  <si>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</si>
  <si>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</si>
  <si>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</si>
  <si>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</si>
  <si>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</si>
  <si>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</si>
  <si>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</si>
  <si>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</si>
  <si>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</si>
  <si>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</si>
  <si>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</si>
  <si>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</si>
  <si>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</si>
  <si>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</si>
  <si>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</si>
  <si>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</si>
  <si>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</si>
  <si>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</si>
  <si>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</si>
  <si>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</si>
  <si>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</si>
  <si>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</si>
  <si>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</si>
  <si>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</si>
  <si>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</si>
  <si>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</si>
  <si>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</si>
  <si>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</si>
  <si>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</si>
  <si>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</si>
  <si>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</si>
  <si>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</si>
  <si>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</si>
  <si>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</si>
  <si>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</si>
  <si>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</si>
  <si>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</si>
  <si>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</si>
  <si>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</si>
  <si>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</si>
  <si>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</si>
  <si>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</si>
  <si>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</si>
  <si>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</si>
  <si>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</si>
  <si>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</si>
  <si>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</si>
  <si>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</si>
  <si>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</si>
  <si>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</si>
  <si>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</si>
  <si>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</si>
  <si>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</si>
  <si>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</si>
  <si>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</si>
  <si>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</si>
  <si>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</si>
  <si>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</si>
  <si>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</si>
  <si>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</si>
  <si>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</si>
  <si>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</si>
  <si>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</si>
  <si>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</si>
  <si>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</si>
  <si>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</si>
  <si>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</si>
  <si>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</si>
  <si>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</si>
  <si>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</si>
  <si>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</si>
  <si>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</si>
  <si>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</si>
  <si>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</si>
  <si>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</si>
  <si>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</si>
  <si>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</si>
  <si>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</si>
  <si>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</si>
  <si>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</si>
  <si>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</si>
  <si>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</si>
  <si>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</si>
  <si>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</si>
  <si>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</si>
  <si>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</si>
  <si>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</si>
  <si>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</si>
  <si>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</si>
  <si>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</si>
  <si>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</si>
  <si>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</si>
  <si>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</si>
  <si>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</si>
  <si>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</si>
  <si>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</si>
  <si>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</si>
  <si>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</si>
  <si>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</si>
  <si>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</si>
  <si>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</si>
  <si>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</si>
  <si>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</si>
  <si>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</si>
  <si>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</si>
  <si>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</si>
  <si>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</si>
  <si>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</si>
  <si>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</si>
  <si>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</si>
  <si>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</si>
  <si>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</si>
  <si>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</si>
  <si>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</si>
  <si>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</si>
  <si>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</si>
  <si>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</si>
  <si>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</si>
  <si>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</si>
  <si>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</si>
  <si>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</si>
  <si>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</si>
  <si>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</si>
  <si>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</si>
  <si>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</si>
  <si>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</si>
  <si>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</si>
  <si>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</si>
  <si>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</si>
  <si>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</si>
  <si>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</si>
  <si>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</si>
  <si>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</si>
  <si>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</si>
  <si>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</si>
  <si>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</si>
  <si>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</si>
  <si>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</si>
  <si>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</si>
  <si>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</si>
  <si>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</si>
  <si>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</si>
  <si>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</si>
  <si>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</si>
  <si>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</si>
  <si>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</si>
  <si>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</si>
  <si>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</si>
  <si>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</si>
  <si>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</si>
  <si>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</si>
  <si>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</si>
  <si>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</si>
  <si>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</si>
  <si>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</si>
  <si>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</si>
  <si>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</si>
  <si>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</si>
  <si>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</si>
  <si>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</si>
  <si>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</si>
  <si>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</si>
  <si>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</si>
  <si>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</si>
  <si>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</si>
  <si>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</si>
  <si>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</si>
  <si>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</si>
  <si>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</si>
  <si>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</si>
  <si>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</si>
  <si>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</si>
  <si>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</si>
  <si>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</si>
  <si>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</si>
  <si>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</si>
  <si>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</si>
  <si>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</si>
  <si>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</si>
  <si>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</si>
  <si>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</si>
  <si>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</si>
  <si>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</si>
  <si>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</si>
  <si>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</si>
  <si>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</si>
  <si>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</si>
  <si>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</si>
  <si>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</si>
  <si>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</si>
  <si>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</si>
  <si>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</si>
  <si>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</si>
  <si>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</si>
  <si>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</si>
  <si>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</si>
  <si>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</si>
  <si>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</si>
  <si>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</si>
  <si>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</si>
  <si>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</si>
  <si>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</si>
  <si>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</si>
  <si>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</si>
  <si>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</si>
  <si>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</si>
  <si>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</si>
  <si>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</si>
  <si>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</si>
  <si>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</si>
  <si>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</si>
  <si>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</si>
  <si>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</si>
  <si>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</si>
  <si>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</si>
  <si>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</si>
  <si>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</si>
  <si>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</si>
  <si>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</si>
  <si>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</si>
  <si>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</si>
  <si>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</si>
  <si>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</si>
  <si>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</si>
  <si>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</si>
  <si>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</si>
  <si>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</si>
  <si>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</si>
  <si>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</si>
  <si>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</si>
  <si>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</si>
  <si>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</si>
  <si>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</si>
  <si>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</si>
  <si>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</si>
  <si>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</si>
  <si>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</si>
  <si>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</si>
  <si>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</si>
  <si>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</si>
  <si>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</si>
  <si>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</si>
  <si>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</si>
  <si>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</si>
  <si>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</si>
  <si>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</si>
  <si>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</si>
  <si>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</si>
  <si>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</si>
  <si>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</si>
  <si>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</si>
  <si>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</si>
  <si>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</si>
  <si>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</si>
  <si>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</si>
  <si>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</si>
  <si>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</si>
  <si>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</si>
  <si>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</si>
  <si>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</si>
  <si>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</si>
  <si>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</si>
  <si>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</si>
  <si>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</si>
  <si>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</si>
  <si>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</si>
  <si>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</si>
  <si>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</si>
  <si>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</si>
  <si>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</si>
  <si>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</si>
  <si>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</si>
  <si>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</si>
  <si>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</si>
  <si>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</si>
  <si>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</si>
  <si>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</si>
  <si>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</si>
  <si>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</si>
  <si>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</si>
  <si>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</si>
  <si>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</si>
  <si>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</si>
  <si>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</si>
  <si>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</si>
  <si>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</si>
  <si>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</si>
  <si>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</si>
  <si>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</si>
  <si>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</si>
  <si>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</si>
  <si>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</si>
  <si>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</si>
  <si>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</si>
  <si>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</si>
  <si>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</si>
  <si>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</si>
  <si>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</si>
  <si>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</si>
  <si>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</si>
  <si>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</si>
  <si>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</si>
  <si>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</si>
  <si>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</si>
  <si>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</si>
  <si>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</si>
  <si>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</si>
  <si>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</si>
  <si>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</si>
  <si>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</si>
  <si>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</si>
  <si>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</si>
  <si>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</si>
  <si>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</si>
  <si>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</si>
  <si>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</si>
  <si>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</si>
  <si>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</si>
  <si>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</si>
  <si>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</si>
  <si>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</si>
  <si>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</si>
  <si>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</si>
  <si>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</si>
  <si>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</si>
  <si>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</si>
  <si>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</si>
  <si>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</si>
  <si>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</si>
  <si>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</si>
  <si>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</si>
  <si>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</si>
  <si>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</si>
  <si>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</si>
  <si>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</si>
  <si>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</si>
  <si>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</si>
  <si>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</si>
  <si>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</si>
  <si>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</si>
  <si>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</si>
  <si>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</si>
  <si>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</si>
  <si>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</si>
  <si>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</si>
  <si>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</si>
  <si>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</si>
  <si>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</si>
  <si>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</si>
  <si>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</si>
  <si>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</si>
  <si>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</si>
  <si>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</si>
  <si>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</si>
  <si>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</si>
  <si>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</si>
  <si>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</si>
  <si>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</si>
  <si>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</si>
  <si>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</si>
  <si>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</si>
  <si>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</si>
  <si>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</si>
  <si>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</si>
  <si>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</si>
  <si>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</si>
  <si>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</si>
  <si>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</si>
  <si>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</si>
  <si>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</si>
  <si>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</si>
  <si>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</si>
  <si>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</si>
  <si>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</si>
  <si>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</si>
  <si>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</si>
  <si>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</si>
  <si>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</si>
  <si>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</si>
  <si>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</si>
  <si>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</si>
  <si>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</si>
  <si>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</si>
  <si>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</si>
  <si>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</si>
  <si>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</si>
  <si>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</si>
  <si>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</si>
  <si>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</si>
  <si>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</si>
  <si>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</si>
  <si>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</si>
  <si>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</si>
  <si>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</si>
  <si>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</si>
  <si>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</si>
  <si>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</si>
  <si>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</si>
  <si>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</si>
  <si>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</si>
  <si>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</si>
  <si>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</si>
  <si>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</si>
  <si>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</si>
  <si>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</si>
  <si>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</si>
  <si>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</si>
  <si>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</si>
  <si>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</si>
  <si>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</si>
  <si>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</si>
  <si>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</si>
  <si>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</si>
  <si>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</si>
  <si>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</si>
  <si>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</si>
  <si>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</si>
  <si>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</si>
  <si>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</si>
  <si>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</si>
  <si>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</si>
  <si>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</si>
  <si>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</si>
  <si>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</si>
  <si>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</si>
  <si>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</si>
  <si>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</si>
  <si>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</si>
  <si>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</si>
  <si>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</si>
  <si>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</si>
  <si>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</si>
  <si>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</si>
  <si>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</si>
  <si>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</si>
  <si>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</si>
  <si>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</si>
  <si>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</si>
  <si>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</si>
  <si>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</si>
  <si>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</si>
  <si>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</si>
  <si>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</si>
  <si>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</si>
  <si>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</si>
  <si>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</si>
  <si>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</si>
  <si>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</si>
  <si>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</si>
  <si>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</si>
  <si>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</si>
  <si>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</si>
  <si>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</si>
  <si>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</si>
  <si>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</si>
  <si>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</si>
  <si>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</si>
  <si>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</si>
  <si>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</si>
  <si>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</si>
  <si>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</si>
  <si>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</si>
  <si>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</si>
  <si>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</si>
  <si>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</si>
  <si>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</si>
  <si>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</si>
  <si>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</si>
  <si>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</si>
  <si>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</si>
  <si>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</si>
  <si>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</si>
  <si>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</si>
  <si>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</si>
  <si>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</si>
  <si>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</si>
  <si>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</si>
  <si>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</si>
  <si>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</si>
  <si>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</si>
  <si>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</si>
  <si>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</si>
  <si>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</si>
  <si>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</si>
  <si>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</si>
  <si>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</si>
  <si>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</si>
  <si>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</si>
  <si>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</si>
  <si>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</si>
  <si>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</si>
  <si>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</si>
  <si>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</si>
  <si>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</si>
  <si>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</si>
  <si>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</si>
  <si>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</si>
  <si>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</si>
  <si>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</si>
  <si>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</si>
  <si>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</si>
  <si>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</si>
  <si>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</si>
  <si>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</si>
  <si>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</si>
  <si>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</si>
  <si>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</si>
  <si>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</si>
  <si>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</si>
  <si>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</si>
  <si>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</si>
  <si>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</si>
  <si>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</si>
  <si>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</si>
  <si>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</si>
  <si>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</si>
  <si>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</si>
  <si>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</si>
  <si>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</si>
  <si>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</si>
  <si>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</si>
  <si>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</si>
  <si>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</si>
  <si>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</si>
  <si>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</si>
  <si>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</si>
  <si>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</si>
  <si>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</si>
  <si>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</si>
  <si>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</si>
  <si>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</si>
  <si>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</si>
  <si>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</si>
  <si>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</si>
  <si>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</si>
  <si>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</si>
  <si>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</si>
  <si>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</si>
  <si>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</si>
  <si>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</si>
  <si>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</si>
  <si>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</si>
  <si>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</si>
  <si>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</si>
  <si>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</si>
  <si>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</si>
  <si>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</si>
  <si>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</si>
  <si>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</si>
  <si>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</si>
  <si>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</si>
  <si>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</si>
  <si>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</si>
  <si>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</si>
  <si>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</si>
  <si>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</si>
  <si>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</si>
  <si>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</si>
  <si>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</si>
  <si>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</si>
  <si>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</si>
  <si>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</si>
  <si>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</si>
  <si>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</si>
  <si>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</si>
  <si>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</si>
  <si>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</si>
  <si>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</si>
  <si>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</si>
  <si>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</si>
  <si>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</si>
  <si>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</si>
  <si>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</si>
  <si>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</si>
  <si>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</si>
  <si>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</si>
  <si>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</si>
  <si>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</si>
  <si>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</si>
  <si>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</si>
  <si>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</si>
  <si>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</si>
  <si>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</si>
  <si>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</si>
  <si>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</si>
  <si>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</si>
  <si>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</si>
  <si>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</si>
  <si>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</si>
  <si>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</si>
  <si>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</si>
  <si>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</si>
  <si>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</si>
  <si>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</si>
  <si>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</si>
  <si>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</si>
  <si>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</si>
  <si>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</si>
  <si>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</si>
  <si>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</si>
  <si>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</si>
  <si>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</si>
  <si>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</si>
  <si>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</si>
  <si>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</si>
  <si>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</si>
  <si>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</si>
  <si>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</si>
  <si>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</si>
  <si>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</si>
  <si>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</si>
  <si>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</si>
  <si>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</si>
  <si>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</si>
  <si>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</si>
  <si>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</si>
  <si>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</si>
  <si>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</si>
  <si>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</si>
  <si>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</si>
  <si>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</si>
  <si>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</si>
  <si>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</si>
  <si>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</si>
  <si>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</si>
  <si>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</si>
  <si>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</si>
  <si>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</si>
  <si>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</si>
  <si>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</si>
  <si>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</si>
  <si>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</si>
  <si>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</si>
  <si>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</si>
  <si>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</si>
  <si>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</si>
  <si>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</si>
  <si>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</si>
  <si>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</si>
  <si>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</si>
  <si>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</si>
  <si>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</si>
  <si>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</si>
  <si>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</si>
  <si>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</si>
  <si>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</si>
  <si>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</si>
  <si>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</si>
  <si>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</si>
  <si>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</si>
  <si>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</si>
  <si>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</si>
  <si>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</si>
  <si>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</si>
  <si>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</si>
  <si>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</si>
  <si>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</si>
  <si>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</si>
  <si>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</si>
  <si>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</si>
  <si>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</si>
  <si>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</si>
  <si>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</si>
  <si>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</si>
  <si>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</si>
  <si>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</si>
  <si>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</si>
  <si>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</si>
  <si>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</si>
  <si>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</si>
  <si>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</si>
  <si>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</si>
  <si>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</si>
  <si>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</si>
  <si>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</si>
  <si>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</si>
  <si>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</si>
  <si>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</si>
  <si>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</si>
  <si>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</si>
  <si>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</si>
  <si>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</si>
  <si>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</si>
  <si>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</si>
  <si>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</si>
  <si>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</si>
  <si>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</si>
  <si>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</si>
  <si>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</si>
  <si>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</si>
  <si>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</si>
  <si>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</si>
  <si>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</si>
  <si>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</si>
  <si>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</si>
  <si>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</si>
  <si>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</si>
  <si>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</si>
  <si>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</si>
  <si>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</si>
  <si>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</si>
  <si>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</si>
  <si>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</si>
  <si>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</si>
  <si>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</si>
  <si>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</si>
  <si>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</si>
  <si>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</si>
  <si>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</si>
  <si>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</si>
  <si>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</si>
  <si>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</si>
  <si>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</si>
  <si>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</si>
  <si>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</si>
  <si>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</si>
  <si>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</si>
  <si>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</si>
  <si>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</si>
  <si>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</si>
  <si>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</si>
  <si>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</si>
  <si>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</si>
  <si>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</si>
  <si>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</si>
  <si>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</si>
  <si>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</si>
  <si>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</si>
  <si>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</si>
  <si>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</si>
  <si>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</si>
  <si>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</si>
  <si>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</si>
  <si>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</si>
  <si>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</si>
  <si>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</si>
  <si>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</si>
  <si>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</si>
  <si>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</si>
  <si>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</si>
  <si>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</si>
  <si>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</si>
  <si>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</si>
  <si>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</si>
  <si>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</si>
  <si>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</si>
  <si>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</si>
  <si>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</si>
  <si>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</si>
  <si>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</si>
  <si>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</si>
  <si>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</si>
  <si>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</si>
  <si>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</si>
  <si>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</si>
  <si>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</si>
  <si>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</si>
  <si>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</si>
  <si>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</si>
  <si>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</si>
  <si>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</si>
  <si>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</si>
  <si>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</si>
  <si>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</si>
  <si>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</si>
  <si>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</si>
  <si>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</si>
  <si>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</si>
  <si>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</si>
  <si>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</si>
  <si>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</si>
  <si>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</si>
  <si>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</si>
  <si>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</si>
  <si>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</si>
  <si>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</si>
  <si>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</si>
  <si>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</si>
  <si>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</si>
  <si>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</si>
  <si>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</si>
  <si>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</si>
  <si>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</si>
  <si>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</si>
  <si>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</si>
  <si>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</si>
  <si>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</si>
  <si>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</si>
  <si>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</si>
  <si>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</si>
  <si>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</si>
  <si>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</si>
  <si>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</si>
  <si>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</si>
  <si>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</si>
  <si>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</si>
  <si>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</si>
  <si>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</si>
  <si>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</si>
  <si>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</si>
  <si>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</si>
  <si>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</si>
  <si>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</si>
  <si>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</si>
  <si>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</si>
  <si>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</si>
  <si>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</si>
  <si>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</si>
  <si>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</si>
  <si>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</si>
  <si>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</si>
  <si>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</si>
  <si>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</si>
  <si>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</si>
  <si>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</si>
  <si>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</si>
  <si>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</si>
  <si>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</si>
  <si>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</si>
  <si>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</si>
  <si>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</si>
  <si>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</si>
  <si>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</si>
  <si>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</si>
  <si>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</si>
  <si>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</si>
  <si>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</si>
  <si>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</si>
  <si>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</si>
  <si>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</si>
  <si>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</si>
  <si>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</si>
  <si>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</si>
  <si>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</si>
  <si>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</si>
  <si>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</si>
  <si>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</si>
  <si>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</si>
  <si>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</si>
  <si>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</si>
  <si>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</si>
  <si>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</si>
  <si>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</si>
  <si>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</si>
  <si>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</si>
  <si>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</si>
  <si>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</si>
  <si>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</si>
  <si>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</si>
  <si>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</si>
  <si>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</si>
  <si>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</si>
  <si>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</si>
  <si>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</si>
  <si>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</si>
  <si>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</si>
  <si>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</si>
  <si>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</si>
  <si>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</si>
  <si>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</si>
  <si>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</si>
  <si>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</si>
  <si>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</si>
  <si>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</si>
  <si>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</si>
  <si>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</si>
  <si>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</si>
  <si>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</si>
  <si>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</si>
  <si>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</si>
  <si>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</si>
  <si>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</si>
  <si>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</si>
  <si>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</si>
  <si>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</si>
  <si>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</si>
  <si>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</si>
  <si>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</si>
  <si>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</si>
  <si>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</si>
  <si>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</si>
  <si>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</si>
  <si>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</si>
  <si>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</si>
  <si>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</si>
  <si>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</si>
  <si>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</si>
  <si>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</si>
  <si>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</si>
  <si>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</si>
  <si>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</si>
  <si>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</si>
  <si>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</si>
  <si>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</si>
  <si>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</si>
  <si>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</si>
  <si>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</si>
  <si>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</si>
  <si>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</si>
  <si>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</si>
  <si>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</si>
  <si>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</si>
  <si>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</si>
  <si>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</si>
  <si>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</si>
  <si>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</si>
  <si>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</si>
  <si>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</si>
  <si>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</si>
  <si>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</si>
  <si>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</si>
  <si>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</si>
  <si>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</si>
  <si>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</si>
  <si>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</si>
  <si>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</si>
  <si>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</si>
  <si>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</si>
  <si>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</si>
  <si>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</si>
  <si>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</si>
  <si>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</si>
  <si>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</si>
  <si>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</si>
  <si>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</si>
  <si>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</si>
  <si>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</si>
  <si>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</si>
  <si>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</si>
  <si>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</si>
  <si>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</si>
  <si>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</si>
  <si>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</si>
  <si>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</si>
  <si>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</si>
  <si>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</si>
  <si>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</si>
  <si>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</si>
  <si>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</si>
  <si>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</si>
  <si>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</si>
  <si>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</si>
  <si>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</si>
  <si>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</si>
  <si>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</si>
  <si>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</si>
  <si>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</si>
  <si>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</si>
  <si>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</si>
  <si>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</si>
  <si>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</si>
  <si>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</si>
  <si>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</si>
  <si>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</si>
  <si>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</si>
  <si>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</si>
  <si>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</si>
  <si>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</si>
  <si>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</si>
  <si>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</si>
  <si>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</si>
  <si>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</si>
  <si>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</si>
  <si>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</si>
  <si>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</si>
  <si>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</si>
  <si>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</si>
  <si>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</si>
  <si>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</si>
  <si>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</si>
  <si>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</si>
  <si>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</si>
  <si>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</si>
  <si>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</si>
  <si>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</si>
  <si>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</si>
  <si>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</si>
  <si>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</si>
  <si>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</si>
  <si>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</si>
  <si>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</si>
  <si>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</si>
  <si>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</si>
  <si>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</si>
  <si>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</si>
  <si>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</si>
  <si>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</si>
  <si>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</si>
  <si>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</si>
  <si>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</si>
  <si>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</si>
  <si>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</si>
  <si>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</si>
  <si>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</si>
  <si>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</si>
  <si>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</si>
  <si>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</si>
  <si>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</si>
  <si>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</si>
  <si>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</si>
  <si>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</si>
  <si>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</si>
  <si>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</si>
  <si>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</si>
  <si>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</si>
  <si>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</si>
  <si>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</si>
  <si>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</si>
  <si>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</si>
  <si>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</si>
  <si>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</si>
  <si>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</si>
  <si>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</si>
  <si>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</si>
  <si>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</si>
  <si>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</si>
  <si>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</si>
  <si>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</si>
  <si>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</si>
  <si>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</si>
  <si>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</si>
  <si>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</si>
  <si>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</si>
  <si>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</si>
  <si>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</si>
  <si>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</si>
  <si>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</si>
  <si>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</si>
  <si>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</si>
  <si>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</si>
  <si>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</si>
  <si>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</si>
  <si>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</si>
  <si>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</si>
  <si>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</si>
  <si>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</si>
  <si>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</si>
  <si>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</si>
  <si>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</si>
  <si>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</si>
  <si>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</si>
  <si>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</si>
  <si>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</si>
  <si>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</si>
  <si>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</si>
  <si>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</si>
  <si>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</si>
  <si>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</si>
  <si>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</si>
  <si>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</si>
  <si>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</si>
  <si>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</si>
  <si>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</si>
  <si>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</si>
  <si>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</si>
  <si>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</si>
  <si>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</si>
  <si>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</si>
  <si>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</si>
  <si>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</si>
  <si>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</si>
  <si>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</si>
  <si>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</si>
  <si>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</si>
  <si>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</si>
  <si>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</si>
  <si>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</si>
  <si>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</si>
  <si>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</si>
  <si>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</si>
  <si>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</si>
  <si>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</si>
  <si>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</si>
  <si>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</si>
  <si>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</si>
  <si>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</si>
  <si>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</si>
  <si>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</si>
  <si>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</si>
  <si>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</si>
  <si>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</si>
  <si>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</si>
  <si>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</si>
  <si>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</si>
  <si>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</si>
  <si>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</si>
  <si>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</si>
  <si>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</si>
  <si>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</si>
  <si>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</si>
  <si>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</si>
  <si>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</si>
  <si>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</si>
  <si>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</si>
  <si>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</si>
  <si>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</si>
  <si>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</si>
  <si>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</si>
  <si>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</si>
  <si>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</si>
  <si>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</si>
  <si>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</si>
  <si>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</si>
  <si>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</si>
  <si>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</si>
  <si>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</si>
  <si>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</si>
  <si>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</si>
  <si>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</si>
  <si>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</si>
  <si>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</si>
  <si>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</si>
  <si>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</si>
  <si>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</si>
  <si>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</si>
  <si>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</si>
  <si>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</si>
  <si>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</si>
  <si>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</si>
  <si>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</si>
  <si>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</si>
  <si>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</si>
  <si>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</si>
  <si>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</si>
  <si>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</si>
  <si>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</si>
  <si>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</si>
  <si>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</si>
  <si>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</si>
  <si>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</si>
  <si>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</si>
  <si>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</si>
  <si>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</si>
  <si>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</si>
  <si>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</si>
  <si>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</si>
  <si>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</si>
  <si>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</si>
  <si>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</si>
  <si>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</si>
  <si>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</si>
  <si>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</si>
  <si>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</si>
  <si>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</si>
  <si>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</si>
  <si>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</si>
  <si>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</si>
  <si>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</si>
  <si>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</si>
  <si>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</si>
  <si>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</si>
  <si>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</si>
  <si>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</si>
  <si>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</si>
  <si>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</si>
  <si>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</si>
  <si>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</si>
  <si>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</si>
  <si>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</si>
  <si>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</si>
  <si>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</si>
  <si>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</si>
  <si>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</si>
  <si>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</si>
  <si>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</si>
  <si>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</si>
  <si>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</si>
  <si>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</si>
  <si>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</si>
  <si>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</si>
  <si>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</si>
  <si>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</si>
  <si>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</si>
  <si>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</si>
  <si>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</si>
  <si>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</si>
  <si>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</si>
  <si>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</si>
  <si>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</si>
  <si>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</si>
  <si>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</si>
  <si>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</si>
  <si>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</si>
  <si>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</si>
  <si>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</si>
  <si>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</si>
  <si>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</si>
  <si>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</si>
  <si>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</si>
  <si>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</si>
  <si>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</si>
  <si>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</si>
  <si>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</si>
  <si>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</si>
  <si>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</si>
  <si>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</si>
  <si>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</si>
  <si>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</si>
  <si>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</si>
  <si>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</si>
  <si>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</si>
  <si>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</si>
  <si>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</si>
  <si>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</si>
  <si>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</si>
  <si>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</si>
  <si>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</si>
  <si>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</si>
  <si>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</si>
  <si>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</si>
  <si>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</si>
  <si>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</si>
  <si>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</si>
  <si>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</si>
  <si>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</si>
  <si>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</si>
  <si>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</si>
  <si>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</si>
  <si>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</si>
  <si>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</si>
  <si>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</si>
  <si>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</si>
  <si>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</si>
  <si>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</si>
  <si>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</si>
  <si>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</si>
  <si>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</si>
  <si>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</si>
  <si>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</si>
  <si>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</si>
  <si>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</si>
  <si>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</si>
  <si>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</si>
  <si>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</si>
  <si>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</si>
  <si>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</si>
  <si>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</si>
  <si>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</si>
  <si>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</si>
  <si>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</si>
  <si>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</si>
  <si>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</si>
  <si>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</si>
  <si>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</si>
  <si>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</si>
  <si>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</si>
  <si>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</si>
  <si>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</si>
  <si>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</si>
  <si>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</si>
  <si>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</si>
  <si>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</si>
  <si>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</si>
  <si>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</si>
  <si>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</si>
  <si>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</si>
  <si>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</si>
  <si>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</si>
  <si>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</si>
  <si>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</si>
  <si>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</si>
  <si>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</si>
  <si>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</si>
  <si>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</si>
  <si>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</si>
  <si>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</si>
  <si>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</si>
  <si>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</si>
  <si>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</si>
  <si>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</si>
  <si>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</si>
  <si>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</si>
  <si>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</si>
  <si>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</si>
  <si>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</si>
  <si>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</si>
  <si>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</si>
  <si>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</si>
  <si>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</si>
  <si>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</si>
  <si>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</si>
  <si>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</si>
  <si>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</si>
  <si>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</si>
  <si>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</si>
  <si>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</si>
  <si>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</si>
  <si>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</si>
  <si>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</si>
  <si>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</si>
  <si>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</si>
  <si>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</si>
  <si>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</si>
  <si>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</si>
  <si>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</si>
  <si>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</si>
  <si>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</si>
  <si>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</si>
  <si>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</si>
  <si>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</si>
  <si>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</si>
  <si>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</si>
  <si>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</si>
  <si>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</si>
  <si>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</si>
  <si>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</si>
  <si>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</si>
  <si>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</si>
  <si>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</si>
  <si>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</si>
  <si>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</si>
  <si>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</si>
  <si>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</si>
  <si>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</si>
  <si>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</si>
  <si>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</si>
  <si>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</si>
  <si>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</si>
  <si>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</si>
  <si>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</si>
  <si>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</si>
  <si>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</si>
  <si>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</si>
  <si>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</si>
  <si>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</si>
  <si>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</si>
  <si>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</si>
  <si>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</si>
  <si>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</si>
  <si>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</si>
  <si>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</si>
  <si>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</si>
  <si>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</si>
  <si>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</si>
  <si>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</si>
  <si>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</si>
  <si>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</si>
  <si>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</si>
  <si>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</si>
  <si>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</si>
  <si>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</si>
  <si>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</si>
  <si>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</si>
  <si>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</si>
  <si>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</si>
  <si>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</si>
  <si>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</si>
  <si>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</si>
  <si>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</si>
  <si>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</si>
  <si>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</si>
  <si>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</si>
  <si>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</si>
  <si>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</si>
  <si>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</si>
  <si>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</si>
  <si>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</si>
  <si>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</si>
  <si>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</si>
  <si>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</si>
  <si>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</si>
  <si>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</si>
  <si>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</si>
  <si>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</si>
  <si>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</si>
  <si>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</si>
  <si>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</si>
  <si>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</si>
  <si>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</si>
  <si>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</si>
  <si>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</si>
  <si>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</si>
  <si>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</si>
  <si>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</si>
  <si>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</si>
  <si>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</si>
  <si>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</si>
  <si>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</si>
  <si>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</si>
  <si>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</si>
  <si>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</si>
  <si>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</si>
  <si>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</si>
  <si>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</si>
  <si>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</si>
  <si>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</si>
  <si>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</si>
  <si>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</si>
  <si>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</si>
  <si>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</si>
  <si>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</si>
  <si>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</si>
  <si>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</si>
  <si>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</si>
  <si>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</si>
  <si>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</si>
  <si>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</si>
  <si>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</si>
  <si>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</si>
  <si>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</si>
  <si>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</si>
  <si>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</si>
  <si>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</si>
  <si>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</si>
  <si>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</si>
  <si>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</si>
  <si>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</si>
  <si>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</si>
  <si>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</si>
  <si>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</si>
  <si>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</si>
  <si>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</si>
  <si>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</si>
  <si>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</si>
  <si>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</si>
  <si>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</si>
  <si>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</si>
  <si>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</si>
  <si>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</si>
  <si>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</si>
  <si>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</si>
  <si>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</si>
  <si>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</si>
  <si>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</si>
  <si>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</si>
  <si>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</si>
  <si>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</si>
  <si>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</si>
  <si>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</si>
  <si>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</si>
  <si>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</si>
  <si>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</si>
  <si>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</si>
  <si>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</si>
  <si>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</si>
  <si>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</si>
  <si>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</si>
  <si>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</si>
  <si>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</si>
  <si>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</si>
  <si>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</si>
  <si>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</si>
  <si>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</si>
  <si>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</si>
  <si>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</si>
  <si>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</si>
  <si>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</si>
  <si>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</si>
  <si>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</si>
  <si>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</si>
  <si>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</si>
  <si>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</si>
  <si>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</si>
  <si>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</si>
  <si>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</si>
  <si>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</si>
  <si>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</si>
  <si>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</si>
  <si>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</si>
  <si>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</si>
  <si>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</si>
  <si>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</si>
  <si>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</si>
  <si>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</si>
  <si>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</si>
  <si>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</si>
  <si>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</si>
  <si>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</si>
  <si>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</si>
  <si>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</si>
  <si>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</si>
  <si>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</si>
  <si>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</si>
  <si>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</si>
  <si>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</si>
  <si>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</si>
  <si>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</si>
  <si>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</si>
  <si>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</si>
  <si>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</si>
  <si>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</si>
  <si>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</si>
  <si>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</si>
  <si>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</si>
  <si>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</si>
  <si>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</si>
  <si>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</si>
  <si>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</si>
  <si>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</si>
  <si>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</si>
  <si>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</si>
  <si>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</si>
  <si>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</si>
  <si>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</si>
  <si>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</si>
  <si>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</si>
  <si>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</si>
  <si>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</si>
  <si>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</si>
  <si>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</si>
  <si>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</si>
  <si>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</si>
  <si>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</si>
  <si>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</si>
  <si>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</si>
  <si>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</si>
  <si>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</si>
  <si>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</si>
  <si>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</si>
  <si>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</si>
  <si>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</si>
  <si>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</si>
  <si>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</si>
  <si>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</si>
  <si>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</si>
  <si>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</si>
  <si>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</si>
  <si>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</si>
  <si>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</si>
  <si>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</si>
  <si>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</si>
  <si>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</si>
  <si>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</si>
  <si>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</si>
  <si>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</si>
  <si>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</si>
  <si>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</si>
  <si>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</si>
  <si>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</si>
  <si>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</si>
  <si>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</si>
  <si>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</si>
  <si>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</si>
  <si>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</si>
  <si>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</si>
  <si>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</si>
  <si>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</si>
  <si>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</si>
  <si>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</si>
  <si>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</si>
  <si>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</si>
  <si>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</si>
  <si>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</si>
  <si>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</si>
  <si>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</si>
  <si>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</si>
  <si>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</si>
  <si>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</si>
  <si>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</si>
  <si>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</si>
  <si>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</si>
  <si>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</si>
  <si>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</si>
  <si>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</si>
  <si>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</si>
  <si>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</si>
  <si>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</si>
  <si>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</si>
  <si>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</si>
  <si>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</si>
  <si>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</si>
  <si>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</si>
  <si>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</si>
  <si>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</si>
  <si>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</si>
  <si>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</si>
  <si>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</si>
  <si>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</si>
  <si>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</si>
  <si>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</si>
  <si>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</si>
  <si>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</si>
  <si>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</si>
  <si>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</si>
  <si>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</si>
  <si>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</si>
  <si>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</si>
  <si>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</si>
  <si>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</si>
  <si>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</si>
  <si>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</si>
  <si>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</si>
  <si>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</si>
  <si>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</si>
  <si>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</si>
  <si>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</si>
  <si>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</si>
  <si>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</si>
  <si>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</si>
  <si>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</si>
  <si>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</si>
  <si>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</si>
  <si>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</si>
  <si>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</si>
  <si>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</si>
  <si>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</si>
  <si>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</si>
  <si>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</si>
  <si>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</si>
  <si>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</si>
  <si>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</si>
  <si>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</si>
  <si>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</si>
  <si>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</si>
  <si>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</si>
  <si>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</si>
  <si>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</si>
  <si>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</si>
  <si>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</si>
  <si>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</si>
  <si>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</si>
  <si>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</si>
  <si>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</si>
  <si>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</si>
  <si>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</si>
  <si>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</si>
  <si>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</si>
  <si>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</si>
  <si>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</si>
  <si>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</si>
  <si>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</si>
  <si>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</si>
  <si>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</si>
  <si>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</si>
  <si>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</si>
  <si>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</si>
  <si>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</si>
  <si>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</si>
  <si>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</si>
  <si>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</si>
  <si>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</si>
  <si>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</si>
  <si>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</si>
  <si>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</si>
  <si>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</si>
  <si>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</si>
  <si>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</si>
  <si>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</si>
  <si>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</si>
  <si>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</si>
  <si>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</si>
  <si>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</si>
  <si>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</si>
  <si>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</si>
  <si>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</si>
  <si>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</si>
  <si>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</si>
  <si>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</si>
  <si>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</si>
  <si>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</si>
  <si>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</si>
  <si>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</si>
  <si>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</si>
  <si>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</si>
  <si>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</si>
  <si>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</si>
  <si>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</si>
  <si>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</si>
  <si>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</si>
  <si>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</si>
  <si>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</si>
  <si>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</si>
  <si>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</si>
  <si>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</si>
  <si>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</si>
  <si>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</si>
  <si>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</si>
  <si>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</si>
  <si>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</si>
  <si>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</si>
  <si>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</si>
  <si>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</si>
  <si>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</si>
  <si>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</si>
  <si>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</si>
  <si>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</si>
  <si>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</si>
  <si>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</si>
  <si>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</si>
  <si>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</si>
  <si>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</si>
  <si>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</si>
  <si>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</si>
  <si>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</si>
  <si>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</si>
  <si>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</si>
  <si>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</si>
  <si>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</si>
  <si>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</si>
  <si>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</si>
  <si>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</si>
  <si>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</si>
  <si>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</si>
  <si>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</si>
  <si>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</si>
  <si>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</si>
  <si>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</si>
  <si>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</si>
  <si>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</si>
  <si>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</si>
  <si>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</si>
  <si>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</si>
  <si>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</si>
  <si>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</si>
  <si>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</si>
  <si>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</si>
  <si>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</si>
  <si>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</si>
  <si>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</si>
  <si>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</si>
  <si>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</si>
  <si>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</si>
  <si>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</si>
  <si>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</si>
  <si>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</si>
  <si>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</si>
  <si>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</si>
  <si>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</si>
  <si>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</si>
  <si>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</si>
  <si>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</si>
  <si>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</si>
  <si>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</si>
  <si>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</si>
  <si>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</si>
  <si>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</si>
  <si>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</si>
  <si>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</si>
  <si>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</si>
  <si>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</si>
  <si>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</si>
  <si>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</si>
  <si>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</si>
  <si>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</si>
  <si>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</si>
  <si>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</si>
  <si>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</si>
  <si>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</si>
  <si>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</si>
  <si>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</si>
  <si>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</si>
  <si>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</si>
  <si>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</si>
  <si>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</si>
  <si>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</si>
  <si>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</si>
  <si>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</si>
  <si>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</si>
  <si>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</si>
  <si>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</si>
  <si>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</si>
  <si>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</si>
  <si>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</si>
  <si>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</si>
  <si>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</si>
  <si>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</si>
  <si>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</si>
  <si>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</si>
  <si>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</si>
  <si>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</si>
  <si>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</si>
  <si>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</si>
  <si>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</si>
  <si>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</si>
  <si>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</si>
  <si>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</si>
  <si>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</si>
  <si>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</si>
  <si>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</si>
  <si>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</si>
  <si>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</si>
  <si>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</si>
  <si>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</si>
  <si>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</si>
  <si>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</si>
  <si>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</si>
  <si>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</si>
  <si>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</si>
  <si>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</si>
  <si>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</si>
  <si>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</si>
  <si>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</si>
  <si>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</si>
  <si>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</si>
  <si>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</si>
  <si>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</si>
  <si>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</si>
  <si>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</si>
  <si>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</si>
  <si>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</si>
  <si>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</si>
  <si>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</si>
  <si>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</si>
  <si>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</si>
  <si>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</si>
  <si>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</si>
  <si>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</si>
  <si>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</si>
  <si>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</si>
  <si>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</si>
  <si>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</si>
  <si>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</si>
  <si>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</si>
  <si>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</si>
  <si>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</si>
  <si>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</si>
  <si>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</si>
  <si>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</si>
  <si>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</si>
  <si>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</si>
  <si>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</si>
  <si>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</si>
  <si>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</si>
  <si>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</si>
  <si>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</si>
  <si>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</si>
  <si>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</si>
  <si>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</si>
  <si>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</si>
  <si>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</si>
  <si>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</si>
  <si>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</si>
  <si>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</si>
  <si>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</si>
  <si>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</si>
  <si>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</si>
  <si>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</si>
  <si>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</si>
  <si>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</si>
  <si>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</si>
  <si>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</si>
  <si>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</si>
  <si>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</si>
  <si>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</si>
  <si>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</si>
  <si>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</si>
  <si>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</si>
  <si>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</si>
  <si>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</si>
  <si>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</si>
  <si>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</si>
  <si>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</si>
  <si>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</si>
  <si>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</si>
  <si>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</si>
  <si>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</si>
  <si>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</si>
  <si>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</si>
  <si>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</si>
  <si>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</si>
  <si>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</si>
  <si>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</si>
  <si>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</si>
  <si>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</si>
  <si>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</si>
  <si>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</si>
  <si>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</si>
  <si>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</si>
  <si>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</si>
  <si>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</si>
  <si>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</si>
  <si>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</si>
  <si>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</si>
  <si>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</si>
  <si>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</si>
  <si>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</si>
  <si>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</si>
  <si>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</si>
  <si>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</si>
  <si>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</si>
  <si>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</si>
  <si>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</si>
  <si>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</si>
  <si>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</si>
  <si>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</si>
  <si>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</si>
  <si>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</si>
  <si>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</si>
  <si>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</si>
  <si>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</si>
  <si>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</si>
  <si>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</si>
  <si>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</si>
  <si>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</si>
  <si>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</si>
  <si>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</si>
  <si>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</si>
  <si>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</si>
  <si>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</si>
  <si>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</si>
  <si>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</si>
  <si>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</si>
  <si>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</si>
  <si>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</si>
  <si>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</si>
  <si>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</si>
  <si>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</si>
  <si>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</si>
  <si>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</si>
  <si>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</si>
  <si>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</si>
  <si>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</si>
  <si>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</si>
  <si>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</si>
  <si>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</si>
  <si>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</si>
  <si>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</si>
  <si>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</si>
  <si>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</si>
  <si>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</si>
  <si>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</si>
  <si>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</si>
  <si>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</si>
  <si>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</si>
  <si>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</si>
  <si>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</si>
  <si>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</si>
  <si>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</si>
  <si>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</si>
  <si>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</si>
  <si>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</si>
  <si>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</si>
  <si>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</si>
  <si>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</si>
  <si>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</si>
  <si>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</si>
  <si>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</si>
  <si>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</si>
  <si>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</si>
  <si>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</si>
  <si>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</si>
  <si>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</si>
  <si>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</si>
  <si>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</si>
  <si>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</si>
  <si>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</si>
  <si>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</si>
  <si>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</si>
  <si>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</si>
  <si>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</si>
  <si>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</si>
  <si>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</si>
  <si>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</si>
  <si>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</si>
  <si>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</si>
  <si>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</si>
  <si>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</si>
  <si>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</si>
  <si>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</si>
  <si>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</si>
  <si>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</si>
  <si>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</si>
  <si>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</si>
  <si>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</si>
  <si>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</si>
  <si>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</si>
  <si>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</si>
  <si>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</si>
  <si>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</si>
  <si>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</si>
  <si>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</si>
  <si>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</si>
  <si>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</si>
  <si>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</si>
  <si>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</si>
  <si>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</si>
  <si>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</si>
  <si>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</si>
  <si>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</si>
  <si>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</si>
  <si>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</si>
  <si>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</si>
  <si>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</si>
  <si>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</si>
  <si>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</si>
  <si>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</si>
  <si>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</si>
  <si>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</si>
  <si>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</si>
  <si>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</si>
  <si>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</si>
  <si>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</si>
  <si>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</si>
  <si>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</si>
  <si>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</si>
  <si>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</si>
  <si>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</si>
  <si>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</si>
  <si>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</si>
  <si>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</si>
  <si>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</si>
  <si>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</si>
  <si>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</si>
  <si>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</si>
  <si>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</si>
  <si>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</si>
  <si>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</si>
  <si>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</si>
  <si>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</si>
  <si>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</si>
  <si>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</si>
  <si>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</si>
  <si>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</si>
  <si>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</si>
  <si>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</si>
  <si>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</si>
  <si>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</si>
  <si>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</si>
  <si>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</si>
  <si>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</si>
  <si>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</si>
  <si>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</si>
  <si>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</si>
  <si>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</si>
  <si>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</si>
  <si>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</si>
  <si>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</si>
  <si>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</si>
  <si>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</si>
  <si>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</si>
  <si>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</si>
  <si>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</si>
  <si>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</si>
  <si>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</si>
  <si>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</si>
  <si>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</si>
  <si>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</si>
  <si>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</si>
  <si>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</si>
  <si>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</si>
  <si>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</si>
  <si>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</si>
  <si>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</si>
  <si>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</si>
  <si>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</si>
  <si>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</si>
  <si>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</si>
  <si>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</si>
  <si>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</si>
  <si>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</si>
  <si>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</si>
  <si>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</si>
  <si>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</si>
  <si>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</si>
  <si>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</si>
  <si>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</si>
  <si>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</si>
  <si>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</si>
  <si>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</si>
  <si>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</si>
  <si>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</si>
  <si>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</si>
  <si>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</si>
  <si>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</si>
  <si>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</si>
  <si>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</si>
  <si>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</si>
  <si>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</si>
  <si>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</si>
  <si>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</si>
  <si>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</si>
  <si>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</si>
  <si>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</si>
  <si>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</si>
  <si>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</si>
  <si>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</si>
  <si>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</si>
  <si>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</si>
  <si>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</si>
  <si>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</si>
  <si>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</si>
  <si>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</si>
  <si>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</si>
  <si>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</si>
  <si>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</si>
  <si>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</si>
  <si>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</si>
  <si>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</si>
  <si>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</si>
  <si>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</si>
  <si>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</si>
  <si>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</si>
  <si>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</si>
  <si>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</si>
  <si>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</si>
  <si>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</si>
  <si>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</si>
  <si>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</si>
  <si>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</si>
  <si>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</si>
  <si>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</si>
  <si>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</si>
  <si>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</si>
  <si>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</si>
  <si>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</si>
  <si>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</si>
  <si>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</si>
  <si>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</si>
  <si>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</si>
  <si>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</si>
  <si>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</si>
  <si>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</si>
  <si>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</si>
  <si>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</si>
  <si>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</si>
  <si>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</si>
  <si>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</si>
  <si>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</si>
  <si>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</si>
  <si>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</si>
  <si>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</si>
  <si>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</si>
  <si>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</si>
  <si>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</si>
  <si>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</si>
  <si>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</si>
  <si>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</si>
  <si>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</si>
  <si>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</si>
  <si>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</si>
  <si>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</si>
  <si>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</si>
  <si>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</si>
  <si>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</si>
  <si>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</si>
  <si>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</si>
  <si>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</si>
  <si>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</si>
  <si>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</si>
  <si>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</si>
  <si>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</si>
  <si>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</si>
  <si>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</si>
  <si>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</si>
  <si>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</si>
  <si>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</si>
  <si>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</si>
  <si>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</si>
  <si>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</si>
  <si>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</si>
  <si>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</si>
  <si>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</si>
  <si>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</si>
  <si>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</si>
  <si>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</si>
  <si>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</si>
  <si>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</si>
  <si>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</si>
  <si>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</si>
  <si>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</si>
  <si>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</si>
  <si>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</si>
  <si>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</si>
  <si>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</si>
  <si>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</si>
  <si>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</si>
  <si>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</si>
  <si>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</si>
  <si>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</si>
  <si>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</si>
  <si>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</si>
  <si>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</si>
  <si>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</si>
  <si>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</si>
  <si>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</si>
  <si>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</si>
  <si>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</si>
  <si>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</si>
  <si>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</si>
  <si>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</si>
  <si>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</si>
  <si>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</si>
  <si>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</si>
  <si>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</si>
  <si>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</si>
  <si>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</si>
  <si>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</si>
  <si>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</si>
  <si>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</si>
  <si>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</si>
  <si>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</si>
  <si>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</si>
  <si>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</si>
  <si>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</si>
  <si>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</si>
  <si>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</si>
  <si>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</si>
  <si>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</si>
  <si>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</si>
  <si>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</si>
  <si>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</si>
  <si>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</si>
  <si>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</si>
  <si>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</si>
  <si>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</si>
  <si>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</si>
  <si>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</si>
  <si>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</si>
  <si>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</si>
  <si>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</si>
  <si>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</si>
  <si>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</si>
  <si>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</si>
  <si>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</si>
  <si>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</si>
  <si>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</si>
  <si>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</si>
  <si>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</si>
  <si>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</si>
  <si>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</si>
  <si>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</si>
  <si>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</si>
  <si>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</si>
  <si>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</si>
  <si>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</si>
  <si>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</si>
  <si>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</si>
  <si>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</si>
  <si>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</si>
  <si>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</si>
  <si>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</si>
  <si>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</si>
  <si>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</si>
  <si>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</si>
  <si>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</si>
  <si>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</si>
  <si>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</si>
  <si>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</si>
  <si>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</si>
  <si>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</si>
  <si>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</si>
  <si>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</si>
  <si>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</si>
  <si>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</si>
  <si>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</si>
  <si>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</si>
  <si>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</si>
  <si>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</si>
  <si>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</si>
  <si>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</si>
  <si>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</si>
  <si>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</si>
  <si>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</si>
  <si>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</si>
  <si>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</si>
  <si>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</si>
  <si>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</si>
  <si>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</si>
  <si>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</si>
  <si>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</si>
  <si>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</si>
  <si>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</si>
  <si>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</si>
  <si>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</si>
  <si>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</si>
  <si>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</si>
  <si>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</si>
  <si>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</si>
  <si>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</si>
  <si>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</si>
  <si>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</si>
  <si>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</si>
  <si>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</si>
  <si>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</si>
  <si>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</si>
  <si>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</si>
  <si>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</si>
  <si>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</si>
  <si>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</si>
  <si>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</si>
  <si>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</si>
  <si>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</si>
  <si>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</si>
  <si>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</si>
  <si>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</si>
  <si>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</si>
  <si>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</si>
  <si>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</si>
  <si>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</si>
  <si>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</si>
  <si>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</si>
  <si>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</si>
  <si>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</si>
  <si>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</si>
  <si>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</si>
  <si>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</si>
  <si>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</si>
  <si>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</si>
  <si>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</si>
  <si>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</si>
  <si>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</si>
  <si>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</si>
  <si>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</si>
  <si>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</si>
  <si>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</si>
  <si>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</si>
  <si>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</si>
  <si>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</si>
  <si>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</si>
  <si>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</si>
  <si>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</si>
  <si>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</si>
  <si>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</si>
  <si>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</si>
  <si>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</si>
  <si>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</si>
  <si>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</si>
  <si>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</si>
  <si>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</si>
  <si>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</si>
  <si>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</si>
  <si>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</si>
  <si>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</si>
  <si>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</si>
  <si>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</si>
  <si>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</si>
  <si>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</si>
  <si>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</si>
  <si>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</si>
  <si>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</si>
  <si>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</si>
  <si>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</si>
  <si>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</si>
  <si>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</si>
  <si>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</si>
  <si>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</si>
  <si>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</si>
  <si>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</si>
  <si>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</si>
  <si>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</si>
  <si>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</si>
  <si>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</si>
  <si>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</si>
  <si>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</si>
  <si>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</si>
  <si>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</si>
  <si>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</si>
  <si>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</si>
  <si>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</si>
  <si>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</si>
  <si>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</si>
  <si>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</si>
  <si>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</si>
  <si>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</si>
  <si>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</si>
  <si>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</si>
  <si>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</si>
  <si>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</si>
  <si>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</si>
  <si>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</si>
  <si>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</si>
  <si>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</si>
  <si>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</si>
  <si>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</si>
  <si>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</si>
  <si>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</si>
  <si>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</si>
  <si>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</si>
  <si>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</si>
  <si>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</si>
  <si>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</si>
  <si>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</si>
  <si>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</si>
  <si>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</si>
  <si>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</si>
  <si>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</si>
  <si>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</si>
  <si>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</si>
  <si>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</si>
  <si>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</si>
  <si>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</si>
  <si>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</si>
  <si>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</si>
  <si>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</si>
  <si>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</si>
  <si>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</si>
  <si>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</si>
  <si>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</si>
  <si>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</si>
  <si>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</si>
  <si>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</si>
  <si>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</si>
  <si>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</si>
  <si>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</si>
  <si>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</si>
  <si>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</si>
  <si>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</si>
  <si>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</si>
  <si>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</si>
  <si>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</si>
  <si>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</si>
  <si>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</si>
  <si>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</si>
  <si>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</si>
  <si>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</si>
  <si>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</si>
  <si>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</si>
  <si>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</si>
  <si>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</si>
  <si>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</si>
  <si>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</si>
  <si>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</si>
  <si>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</si>
  <si>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</si>
  <si>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</si>
  <si>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</si>
  <si>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</si>
  <si>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</si>
  <si>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</si>
  <si>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</si>
  <si>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</si>
  <si>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</si>
  <si>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</si>
  <si>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</si>
  <si>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</si>
  <si>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</si>
  <si>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</si>
  <si>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</si>
  <si>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</si>
  <si>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</si>
  <si>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</si>
  <si>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</si>
  <si>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</si>
  <si>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</si>
  <si>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</si>
  <si>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</si>
  <si>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</si>
  <si>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</si>
  <si>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</si>
  <si>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</si>
  <si>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</si>
  <si>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</si>
  <si>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</si>
  <si>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</si>
  <si>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</si>
  <si>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</si>
  <si>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</si>
  <si>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</si>
  <si>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</si>
  <si>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</si>
  <si>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</si>
  <si>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</si>
  <si>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</si>
  <si>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</si>
  <si>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</si>
  <si>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</si>
  <si>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</si>
  <si>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</si>
  <si>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</si>
  <si>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</si>
  <si>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</si>
  <si>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</si>
  <si>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</si>
  <si>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</si>
  <si>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</si>
  <si>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</si>
  <si>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</si>
  <si>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</si>
  <si>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</si>
  <si>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</si>
  <si>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</si>
  <si>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</si>
  <si>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</si>
  <si>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</si>
  <si>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</si>
  <si>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</si>
  <si>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</si>
  <si>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</si>
  <si>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</si>
  <si>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</si>
  <si>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</si>
  <si>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</si>
  <si>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</si>
  <si>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</si>
  <si>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</si>
  <si>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</si>
  <si>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</si>
  <si>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</si>
  <si>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</si>
  <si>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</si>
  <si>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</si>
  <si>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</si>
  <si>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</si>
  <si>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</si>
  <si>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</si>
  <si>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</si>
  <si>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</si>
  <si>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</si>
  <si>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</si>
  <si>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</si>
  <si>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</si>
  <si>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</si>
  <si>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</si>
  <si>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</si>
  <si>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</si>
  <si>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</si>
  <si>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</si>
  <si>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</si>
  <si>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</si>
  <si>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</si>
  <si>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</si>
  <si>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</si>
  <si>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</si>
  <si>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</si>
  <si>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</si>
  <si>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</si>
  <si>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</si>
  <si>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</si>
  <si>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</si>
  <si>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</si>
  <si>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</si>
  <si>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</si>
  <si>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</si>
  <si>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</si>
  <si>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</si>
  <si>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</si>
  <si>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</si>
  <si>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</si>
  <si>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</si>
  <si>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</si>
  <si>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</si>
  <si>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</si>
  <si>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</si>
  <si>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</si>
  <si>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</si>
  <si>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</si>
  <si>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</si>
  <si>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</si>
  <si>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</si>
  <si>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</si>
  <si>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</si>
  <si>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</si>
  <si>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</si>
  <si>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</si>
  <si>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</si>
  <si>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</si>
  <si>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</si>
  <si>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</si>
  <si>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</si>
  <si>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</si>
  <si>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</si>
  <si>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</si>
  <si>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</si>
  <si>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</si>
  <si>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</si>
  <si>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</si>
  <si>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</si>
  <si>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</si>
  <si>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</si>
  <si>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</si>
  <si>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</si>
  <si>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</si>
  <si>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</si>
  <si>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</si>
  <si>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</si>
  <si>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</si>
  <si>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</si>
  <si>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</si>
  <si>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</si>
  <si>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</si>
  <si>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</si>
  <si>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</si>
  <si>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</si>
  <si>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</si>
  <si>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</si>
  <si>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</si>
  <si>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</si>
  <si>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</si>
  <si>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</si>
  <si>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</si>
  <si>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</si>
  <si>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</si>
  <si>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</si>
  <si>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</si>
  <si>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</si>
  <si>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</si>
  <si>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</si>
  <si>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</si>
  <si>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</si>
  <si>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</si>
  <si>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</si>
  <si>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</si>
  <si>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</si>
  <si>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</si>
  <si>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</si>
  <si>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</si>
  <si>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</si>
  <si>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</si>
  <si>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</si>
  <si>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</si>
  <si>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</si>
  <si>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</si>
  <si>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</si>
  <si>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</si>
  <si>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</si>
  <si>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</si>
  <si>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</si>
  <si>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</si>
  <si>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</si>
  <si>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</si>
  <si>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</si>
  <si>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</si>
  <si>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</si>
  <si>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</si>
  <si>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</si>
  <si>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</si>
  <si>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</si>
  <si>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</si>
  <si>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</si>
  <si>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</si>
  <si>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</si>
  <si>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</si>
  <si>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</si>
  <si>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</si>
  <si>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</si>
  <si>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</si>
  <si>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</si>
  <si>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</si>
  <si>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</si>
  <si>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</si>
  <si>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</si>
  <si>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</si>
  <si>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</si>
  <si>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</si>
  <si>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</si>
  <si>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</si>
  <si>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</si>
  <si>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</si>
  <si>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</si>
  <si>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</si>
  <si>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</si>
  <si>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</si>
  <si>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</si>
  <si>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</si>
  <si>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</si>
  <si>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</si>
  <si>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</si>
  <si>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</si>
  <si>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</si>
  <si>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</si>
  <si>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</si>
  <si>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</si>
  <si>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</si>
  <si>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</si>
  <si>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</si>
  <si>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</si>
  <si>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</si>
  <si>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</si>
  <si>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</si>
  <si>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</si>
  <si>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</si>
  <si>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</si>
  <si>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</si>
  <si>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</si>
  <si>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</si>
  <si>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</si>
  <si>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</si>
  <si>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</si>
  <si>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</si>
  <si>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</si>
  <si>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</si>
  <si>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</si>
  <si>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</si>
  <si>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</si>
  <si>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</si>
  <si>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</si>
  <si>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</si>
  <si>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</si>
  <si>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</si>
  <si>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</si>
  <si>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</si>
  <si>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</si>
  <si>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</si>
  <si>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</si>
  <si>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</si>
  <si>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</si>
  <si>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</si>
  <si>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</si>
  <si>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</si>
  <si>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</si>
  <si>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</si>
  <si>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</si>
  <si>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</si>
  <si>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</si>
  <si>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</si>
  <si>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</si>
  <si>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</si>
  <si>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</si>
  <si>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</si>
  <si>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</si>
  <si>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</si>
  <si>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</si>
  <si>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</si>
  <si>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</si>
  <si>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</si>
  <si>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</si>
  <si>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</si>
  <si>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</si>
  <si>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</si>
  <si>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</si>
  <si>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</si>
  <si>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</si>
  <si>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</si>
  <si>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</si>
  <si>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</si>
  <si>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</si>
  <si>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</si>
  <si>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</si>
  <si>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</si>
  <si>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</si>
  <si>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</si>
  <si>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</si>
  <si>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</si>
  <si>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</si>
  <si>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</si>
  <si>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</si>
  <si>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</si>
  <si>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</si>
  <si>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</si>
  <si>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</si>
  <si>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</si>
  <si>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</si>
  <si>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</si>
  <si>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</si>
  <si>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</si>
  <si>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</si>
  <si>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</si>
  <si>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</si>
  <si>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</si>
  <si>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</si>
  <si>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</si>
  <si>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</si>
  <si>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</si>
  <si>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</si>
  <si>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</si>
  <si>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</si>
  <si>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</si>
  <si>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</si>
  <si>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</si>
  <si>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</si>
  <si>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</si>
  <si>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</si>
  <si>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</si>
  <si>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</si>
  <si>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</si>
  <si>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</si>
  <si>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</si>
  <si>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</si>
  <si>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</si>
  <si>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</si>
  <si>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</si>
  <si>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</si>
  <si>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</si>
  <si>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</si>
  <si>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</si>
  <si>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</si>
  <si>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</si>
  <si>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</si>
  <si>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</si>
  <si>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</si>
  <si>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</si>
  <si>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</si>
  <si>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</si>
  <si>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</si>
  <si>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</si>
  <si>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</si>
  <si>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</si>
  <si>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</si>
  <si>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</si>
  <si>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</si>
  <si>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</si>
  <si>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</si>
  <si>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</si>
  <si>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</si>
  <si>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</si>
  <si>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</si>
  <si>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</si>
  <si>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</si>
  <si>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</si>
  <si>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</si>
  <si>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</si>
  <si>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</si>
  <si>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</si>
  <si>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</si>
  <si>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</si>
  <si>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</si>
  <si>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</si>
  <si>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</si>
  <si>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</si>
  <si>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</si>
  <si>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</si>
  <si>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</si>
  <si>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</si>
  <si>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</si>
  <si>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</si>
  <si>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</si>
  <si>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</si>
  <si>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</si>
  <si>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</si>
  <si>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</si>
  <si>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</si>
  <si>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</si>
  <si>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</si>
  <si>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</si>
  <si>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</si>
  <si>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</si>
  <si>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</si>
  <si>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</si>
  <si>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</si>
  <si>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</si>
  <si>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</si>
  <si>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</si>
  <si>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</si>
  <si>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</si>
  <si>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</si>
  <si>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</si>
  <si>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</si>
  <si>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</si>
  <si>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</si>
  <si>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</si>
  <si>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</si>
  <si>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</si>
  <si>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</si>
  <si>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</si>
  <si>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</si>
  <si>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</si>
  <si>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</si>
  <si>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</si>
  <si>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</si>
  <si>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</si>
  <si>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</si>
  <si>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</si>
  <si>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</si>
  <si>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</si>
  <si>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</si>
  <si>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</si>
  <si>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</si>
  <si>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</si>
  <si>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</si>
  <si>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</si>
  <si>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</si>
  <si>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</si>
  <si>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</si>
  <si>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</si>
  <si>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</si>
  <si>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</si>
  <si>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</si>
  <si>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</si>
  <si>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</si>
  <si>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</si>
  <si>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</si>
  <si>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</si>
  <si>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</si>
  <si>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</si>
  <si>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</si>
  <si>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</si>
  <si>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</si>
  <si>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</si>
  <si>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</si>
  <si>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</si>
  <si>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</si>
  <si>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</si>
  <si>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</si>
  <si>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</si>
  <si>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</si>
  <si>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</si>
  <si>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</si>
  <si>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</si>
  <si>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</si>
  <si>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</si>
  <si>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</si>
  <si>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</si>
  <si>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</si>
  <si>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</si>
  <si>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</si>
  <si>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</si>
  <si>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</si>
  <si>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</si>
  <si>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</si>
  <si>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</si>
  <si>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</si>
  <si>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</si>
  <si>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</si>
  <si>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</si>
  <si>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</si>
  <si>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</si>
  <si>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</si>
  <si>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</si>
  <si>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</si>
  <si>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</si>
  <si>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</si>
  <si>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</si>
  <si>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</si>
  <si>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</si>
  <si>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</si>
  <si>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</si>
  <si>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</si>
  <si>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</si>
  <si>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</si>
  <si>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</si>
  <si>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</si>
  <si>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</si>
  <si>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</si>
  <si>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</si>
  <si>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</si>
  <si>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</si>
  <si>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</si>
  <si>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</si>
  <si>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</si>
  <si>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</si>
  <si>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</si>
  <si>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</si>
  <si>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</si>
  <si>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</si>
  <si>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</si>
  <si>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</si>
  <si>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</si>
  <si>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</si>
  <si>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</si>
  <si>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</si>
  <si>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</si>
  <si>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</si>
  <si>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</si>
  <si>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</si>
  <si>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</si>
  <si>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</si>
  <si>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</si>
  <si>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</si>
  <si>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</si>
  <si>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</si>
  <si>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</si>
  <si>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</si>
  <si>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</si>
  <si>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</si>
  <si>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</si>
  <si>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</si>
  <si>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</si>
  <si>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</si>
  <si>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</si>
  <si>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</si>
  <si>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</si>
  <si>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</si>
  <si>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</si>
  <si>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</si>
  <si>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</si>
  <si>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</si>
  <si>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</si>
  <si>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</si>
  <si>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</si>
  <si>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</si>
  <si>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</si>
  <si>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</si>
  <si>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</si>
  <si>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</si>
  <si>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</si>
  <si>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</si>
  <si>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</si>
  <si>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</si>
  <si>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</si>
  <si>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</si>
  <si>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</si>
  <si>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</si>
  <si>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</si>
  <si>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</si>
  <si>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</si>
  <si>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</si>
  <si>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</si>
  <si>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</si>
  <si>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</si>
  <si>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</si>
  <si>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</si>
  <si>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</si>
  <si>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</si>
  <si>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</si>
  <si>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</si>
  <si>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</si>
  <si>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</si>
  <si>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</si>
  <si>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</si>
  <si>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</si>
  <si>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</si>
  <si>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</si>
  <si>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</si>
  <si>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</si>
  <si>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</si>
  <si>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</si>
  <si>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</si>
  <si>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</si>
  <si>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</si>
  <si>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</si>
  <si>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</si>
  <si>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</si>
  <si>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</si>
  <si>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</si>
  <si>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</si>
  <si>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</si>
  <si>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</si>
  <si>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</si>
  <si>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</si>
  <si>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</si>
  <si>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</si>
  <si>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</si>
  <si>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</si>
  <si>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</si>
  <si>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</si>
  <si>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</si>
  <si>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</si>
  <si>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</si>
  <si>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</si>
  <si>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</si>
  <si>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</si>
  <si>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</si>
  <si>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</si>
  <si>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</si>
  <si>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</si>
  <si>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</si>
  <si>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</si>
  <si>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</si>
  <si>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</si>
  <si>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</si>
  <si>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</si>
  <si>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</si>
  <si>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</si>
  <si>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</si>
  <si>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</si>
  <si>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</si>
  <si>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</si>
  <si>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</si>
  <si>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</si>
  <si>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</si>
  <si>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</si>
  <si>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</si>
  <si>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</si>
  <si>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</si>
  <si>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</si>
  <si>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</si>
  <si>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</si>
  <si>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</si>
  <si>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</si>
  <si>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</si>
  <si>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</si>
  <si>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</si>
  <si>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</si>
  <si>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</si>
  <si>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</si>
  <si>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</si>
  <si>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</si>
  <si>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</si>
  <si>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</si>
  <si>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</si>
  <si>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</si>
  <si>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</si>
  <si>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</si>
  <si>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</si>
  <si>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</si>
  <si>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</si>
  <si>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</si>
  <si>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</si>
  <si>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</si>
  <si>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《国有建设用地使用权出让合同》</t>
    <phoneticPr fontId="225" type="noConversion"/>
  </si>
  <si>
    <t>受让人</t>
    <phoneticPr fontId="225" type="noConversion"/>
  </si>
  <si>
    <t>北京辉煌益境房地产开发有限公司</t>
    <phoneticPr fontId="225" type="noConversion"/>
  </si>
  <si>
    <t>出让宗地</t>
    <phoneticPr fontId="225" type="noConversion"/>
  </si>
  <si>
    <t>坐落</t>
    <phoneticPr fontId="225" type="noConversion"/>
  </si>
  <si>
    <r>
      <t>北京市延庆区张山营镇水峪村A</t>
    </r>
    <r>
      <rPr>
        <sz val="11"/>
        <color theme="1"/>
        <rFont val="宋体"/>
        <family val="3"/>
        <charset val="134"/>
        <scheme val="minor"/>
      </rPr>
      <t>-01等地块B14旅馆用地、U21排水设施用地</t>
    </r>
    <phoneticPr fontId="225" type="noConversion"/>
  </si>
  <si>
    <t>主体建筑物性质</t>
    <phoneticPr fontId="225" type="noConversion"/>
  </si>
  <si>
    <t>商业</t>
    <phoneticPr fontId="225" type="noConversion"/>
  </si>
  <si>
    <t>建筑总面积</t>
    <phoneticPr fontId="225" type="noConversion"/>
  </si>
  <si>
    <t>签订日期</t>
    <phoneticPr fontId="225" type="noConversion"/>
  </si>
  <si>
    <t>附件4</t>
    <phoneticPr fontId="225" type="noConversion"/>
  </si>
  <si>
    <t>补充协议</t>
    <phoneticPr fontId="225" type="noConversion"/>
  </si>
  <si>
    <t>总面积</t>
    <phoneticPr fontId="225" type="noConversion"/>
  </si>
  <si>
    <t>出让宗地面积</t>
    <phoneticPr fontId="225" type="noConversion"/>
  </si>
  <si>
    <t>其中</t>
    <phoneticPr fontId="225" type="noConversion"/>
  </si>
  <si>
    <t>地上</t>
    <phoneticPr fontId="225" type="noConversion"/>
  </si>
  <si>
    <t>全部为商业办公</t>
    <phoneticPr fontId="225" type="noConversion"/>
  </si>
  <si>
    <t>规划用途</t>
    <phoneticPr fontId="225" type="noConversion"/>
  </si>
  <si>
    <r>
      <t>B</t>
    </r>
    <r>
      <rPr>
        <sz val="11"/>
        <color theme="1"/>
        <rFont val="宋体"/>
        <family val="3"/>
        <charset val="134"/>
        <scheme val="minor"/>
      </rPr>
      <t>14旅馆用地</t>
    </r>
    <phoneticPr fontId="225" type="noConversion"/>
  </si>
  <si>
    <t>出让年限</t>
    <phoneticPr fontId="225" type="noConversion"/>
  </si>
  <si>
    <r>
      <t>商业4</t>
    </r>
    <r>
      <rPr>
        <sz val="11"/>
        <color theme="1"/>
        <rFont val="宋体"/>
        <family val="3"/>
        <charset val="134"/>
        <scheme val="minor"/>
      </rPr>
      <t>0、办公50</t>
    </r>
    <phoneticPr fontId="225" type="noConversion"/>
  </si>
  <si>
    <t>出让价款</t>
    <phoneticPr fontId="225" type="noConversion"/>
  </si>
  <si>
    <t>楼面单价</t>
    <phoneticPr fontId="225" type="noConversion"/>
  </si>
  <si>
    <r>
      <t>3</t>
    </r>
    <r>
      <rPr>
        <sz val="11"/>
        <color theme="1"/>
        <rFont val="宋体"/>
        <family val="3"/>
        <charset val="134"/>
        <scheme val="minor"/>
      </rPr>
      <t>875元/平方米</t>
    </r>
    <phoneticPr fontId="225" type="noConversion"/>
  </si>
  <si>
    <t>89500万元</t>
    <phoneticPr fontId="225" type="noConversion"/>
  </si>
  <si>
    <t>开工</t>
    <phoneticPr fontId="225" type="noConversion"/>
  </si>
  <si>
    <t>竣工</t>
    <phoneticPr fontId="225" type="noConversion"/>
  </si>
  <si>
    <t>附件5</t>
    <phoneticPr fontId="225" type="noConversion"/>
  </si>
  <si>
    <t>补充协议</t>
    <phoneticPr fontId="225" type="noConversion"/>
  </si>
  <si>
    <t>受让人变更</t>
    <phoneticPr fontId="225" type="noConversion"/>
  </si>
  <si>
    <t>北京辉煌凯盛房地产开发有限公司</t>
    <phoneticPr fontId="225" type="noConversion"/>
  </si>
  <si>
    <t>附件6</t>
    <phoneticPr fontId="225" type="noConversion"/>
  </si>
  <si>
    <t>规划总建筑面积</t>
    <phoneticPr fontId="225" type="noConversion"/>
  </si>
  <si>
    <t>其中</t>
    <phoneticPr fontId="225" type="noConversion"/>
  </si>
  <si>
    <t>地上规划建筑面积</t>
    <phoneticPr fontId="225" type="noConversion"/>
  </si>
  <si>
    <t>商业及办公</t>
    <phoneticPr fontId="225" type="noConversion"/>
  </si>
  <si>
    <t>康体中心</t>
    <phoneticPr fontId="225" type="noConversion"/>
  </si>
  <si>
    <t>会议中心</t>
    <phoneticPr fontId="225" type="noConversion"/>
  </si>
  <si>
    <t>红酒文化中心</t>
    <phoneticPr fontId="225" type="noConversion"/>
  </si>
  <si>
    <t>游泳馆</t>
    <phoneticPr fontId="225" type="noConversion"/>
  </si>
  <si>
    <t>规划地下建筑面积</t>
    <phoneticPr fontId="225" type="noConversion"/>
  </si>
  <si>
    <t>地下仓储</t>
    <phoneticPr fontId="225" type="noConversion"/>
  </si>
  <si>
    <t>地下办公</t>
    <phoneticPr fontId="225" type="noConversion"/>
  </si>
  <si>
    <t>地下商业</t>
    <phoneticPr fontId="225" type="noConversion"/>
  </si>
  <si>
    <t>非经营性用途</t>
    <phoneticPr fontId="225" type="noConversion"/>
  </si>
  <si>
    <t>公共配套</t>
    <phoneticPr fontId="225" type="noConversion"/>
  </si>
  <si>
    <r>
      <t>1</t>
    </r>
    <r>
      <rPr>
        <sz val="11"/>
        <color theme="1"/>
        <rFont val="宋体"/>
        <family val="3"/>
        <charset val="134"/>
        <scheme val="minor"/>
      </rPr>
      <t>500不在出让建筑面积内</t>
    </r>
    <phoneticPr fontId="225" type="noConversion"/>
  </si>
  <si>
    <t>用途</t>
    <phoneticPr fontId="225" type="noConversion"/>
  </si>
  <si>
    <t>商业、办公、地下仓储</t>
    <phoneticPr fontId="225" type="noConversion"/>
  </si>
  <si>
    <t>年限</t>
    <phoneticPr fontId="225" type="noConversion"/>
  </si>
  <si>
    <r>
      <t>4</t>
    </r>
    <r>
      <rPr>
        <sz val="11"/>
        <color theme="1"/>
        <rFont val="宋体"/>
        <family val="3"/>
        <charset val="134"/>
        <scheme val="minor"/>
      </rPr>
      <t>0、50、50</t>
    </r>
    <phoneticPr fontId="225" type="noConversion"/>
  </si>
  <si>
    <t>政府土地收益</t>
    <phoneticPr fontId="225" type="noConversion"/>
  </si>
  <si>
    <t>由77287.72到77777.5888</t>
    <phoneticPr fontId="225" type="noConversion"/>
  </si>
  <si>
    <t>新增</t>
    <phoneticPr fontId="225" type="noConversion"/>
  </si>
  <si>
    <t>签订时间</t>
    <phoneticPr fontId="225" type="noConversion"/>
  </si>
  <si>
    <t>附件7</t>
    <phoneticPr fontId="225" type="noConversion"/>
  </si>
  <si>
    <t>受让人变更</t>
    <phoneticPr fontId="225" type="noConversion"/>
  </si>
  <si>
    <t>北京辉煌凯盛旅游产业有限公司</t>
    <phoneticPr fontId="225" type="noConversion"/>
  </si>
  <si>
    <t>出让宗地建筑面积</t>
    <phoneticPr fontId="225" type="noConversion"/>
  </si>
  <si>
    <t>其中地上规划建筑面积</t>
    <phoneticPr fontId="225" type="noConversion"/>
  </si>
  <si>
    <t>其中商业及办公</t>
    <phoneticPr fontId="225" type="noConversion"/>
  </si>
  <si>
    <t>康体中心</t>
    <phoneticPr fontId="225" type="noConversion"/>
  </si>
  <si>
    <t>会议中心</t>
    <phoneticPr fontId="225" type="noConversion"/>
  </si>
  <si>
    <t>旅游馆</t>
    <phoneticPr fontId="225" type="noConversion"/>
  </si>
  <si>
    <t>客房式酒店</t>
    <phoneticPr fontId="225" type="noConversion"/>
  </si>
  <si>
    <t>规划地下建筑面积</t>
    <phoneticPr fontId="225" type="noConversion"/>
  </si>
  <si>
    <t>其中地下仓储</t>
    <phoneticPr fontId="225" type="noConversion"/>
  </si>
  <si>
    <t>地下一层商业</t>
    <phoneticPr fontId="225" type="noConversion"/>
  </si>
  <si>
    <t>地下二层商业</t>
    <phoneticPr fontId="225" type="noConversion"/>
  </si>
  <si>
    <r>
      <t>由7</t>
    </r>
    <r>
      <rPr>
        <sz val="11"/>
        <color theme="1"/>
        <rFont val="宋体"/>
        <family val="3"/>
        <charset val="134"/>
        <scheme val="minor"/>
      </rPr>
      <t>7777.5888到77901.2887</t>
    </r>
    <phoneticPr fontId="225" type="noConversion"/>
  </si>
  <si>
    <t>签订时间</t>
    <phoneticPr fontId="225" type="noConversion"/>
  </si>
  <si>
    <t>附件8</t>
    <phoneticPr fontId="225" type="noConversion"/>
  </si>
  <si>
    <t>竣工时间</t>
    <phoneticPr fontId="225" type="noConversion"/>
  </si>
  <si>
    <t>签订时间</t>
    <phoneticPr fontId="225" type="noConversion"/>
  </si>
  <si>
    <t>地价款</t>
    <phoneticPr fontId="225" type="noConversion"/>
  </si>
  <si>
    <t>税票</t>
    <phoneticPr fontId="225" type="noConversion"/>
  </si>
  <si>
    <t>《不动产权证书》</t>
    <phoneticPr fontId="225" type="noConversion"/>
  </si>
  <si>
    <t>证号</t>
    <phoneticPr fontId="225" type="noConversion"/>
  </si>
  <si>
    <r>
      <t>A</t>
    </r>
    <r>
      <rPr>
        <sz val="11"/>
        <color theme="1"/>
        <rFont val="宋体"/>
        <family val="3"/>
        <charset val="134"/>
        <scheme val="minor"/>
      </rPr>
      <t>-03</t>
    </r>
    <phoneticPr fontId="225" type="noConversion"/>
  </si>
  <si>
    <r>
      <t>京2</t>
    </r>
    <r>
      <rPr>
        <sz val="11"/>
        <color theme="1"/>
        <rFont val="宋体"/>
        <family val="3"/>
        <charset val="134"/>
        <scheme val="minor"/>
      </rPr>
      <t>022延不动产权第0002122号</t>
    </r>
    <phoneticPr fontId="225" type="noConversion"/>
  </si>
  <si>
    <t>权利人</t>
    <phoneticPr fontId="225" type="noConversion"/>
  </si>
  <si>
    <t>坐落</t>
    <phoneticPr fontId="225" type="noConversion"/>
  </si>
  <si>
    <r>
      <t>北京市延庆区张山营镇水峪村A</t>
    </r>
    <r>
      <rPr>
        <sz val="11"/>
        <color theme="1"/>
        <rFont val="宋体"/>
        <family val="3"/>
        <charset val="134"/>
        <scheme val="minor"/>
      </rPr>
      <t>-03地块</t>
    </r>
    <phoneticPr fontId="225" type="noConversion"/>
  </si>
  <si>
    <t>权利性质</t>
    <phoneticPr fontId="225" type="noConversion"/>
  </si>
  <si>
    <t>出让</t>
  </si>
  <si>
    <t>出让</t>
    <phoneticPr fontId="225" type="noConversion"/>
  </si>
  <si>
    <t>用途</t>
    <phoneticPr fontId="225" type="noConversion"/>
  </si>
  <si>
    <t>商业、办公、地下仓储</t>
    <phoneticPr fontId="225" type="noConversion"/>
  </si>
  <si>
    <t>面积</t>
    <phoneticPr fontId="225" type="noConversion"/>
  </si>
  <si>
    <t>使用期限</t>
    <phoneticPr fontId="225" type="noConversion"/>
  </si>
  <si>
    <r>
      <t>D</t>
    </r>
    <r>
      <rPr>
        <sz val="11"/>
        <color theme="1"/>
        <rFont val="宋体"/>
        <family val="3"/>
        <charset val="134"/>
        <scheme val="minor"/>
      </rPr>
      <t>-03</t>
    </r>
    <phoneticPr fontId="225" type="noConversion"/>
  </si>
  <si>
    <r>
      <t>京2</t>
    </r>
    <r>
      <rPr>
        <sz val="11"/>
        <color theme="1"/>
        <rFont val="宋体"/>
        <family val="3"/>
        <charset val="134"/>
        <scheme val="minor"/>
      </rPr>
      <t>021延不动产权第0000906号</t>
    </r>
    <phoneticPr fontId="225" type="noConversion"/>
  </si>
  <si>
    <r>
      <t>D</t>
    </r>
    <r>
      <rPr>
        <sz val="11"/>
        <color theme="1"/>
        <rFont val="宋体"/>
        <family val="3"/>
        <charset val="134"/>
        <scheme val="minor"/>
      </rPr>
      <t>-04</t>
    </r>
    <phoneticPr fontId="225" type="noConversion"/>
  </si>
  <si>
    <r>
      <t>京（2</t>
    </r>
    <r>
      <rPr>
        <sz val="11"/>
        <color theme="1"/>
        <rFont val="宋体"/>
        <family val="3"/>
        <charset val="134"/>
        <scheme val="minor"/>
      </rPr>
      <t>021）延不动产权第0000904号</t>
    </r>
    <phoneticPr fontId="225" type="noConversion"/>
  </si>
  <si>
    <t>北京市延庆区张山营镇水峪村D-04地块</t>
    <phoneticPr fontId="225" type="noConversion"/>
  </si>
  <si>
    <r>
      <t>D</t>
    </r>
    <r>
      <rPr>
        <sz val="11"/>
        <color theme="1"/>
        <rFont val="宋体"/>
        <family val="3"/>
        <charset val="134"/>
        <scheme val="minor"/>
      </rPr>
      <t>-05</t>
    </r>
    <phoneticPr fontId="225" type="noConversion"/>
  </si>
  <si>
    <r>
      <t>京2</t>
    </r>
    <r>
      <rPr>
        <sz val="11"/>
        <color theme="1"/>
        <rFont val="宋体"/>
        <family val="3"/>
        <charset val="134"/>
        <scheme val="minor"/>
      </rPr>
      <t>021延不动产权第0000903号</t>
    </r>
    <phoneticPr fontId="225" type="noConversion"/>
  </si>
  <si>
    <t>地块名称</t>
  </si>
  <si>
    <t>区县</t>
  </si>
  <si>
    <t>板块</t>
  </si>
  <si>
    <t>用地性质</t>
  </si>
  <si>
    <t>建设用地面积(㎡)</t>
  </si>
  <si>
    <t>规划建筑面积(㎡)</t>
  </si>
  <si>
    <t>详细规划</t>
  </si>
  <si>
    <t>成交特殊政策</t>
  </si>
  <si>
    <t>成交日期</t>
  </si>
  <si>
    <t>受让单位</t>
  </si>
  <si>
    <t>拿地企业</t>
  </si>
  <si>
    <t>成交价(万元)</t>
  </si>
  <si>
    <t>成交每亩价(万元/亩)</t>
  </si>
  <si>
    <t>成交楼面价(元/㎡)</t>
  </si>
  <si>
    <t>溢价率(%)</t>
  </si>
  <si>
    <t>出让年限(年)</t>
  </si>
  <si>
    <t xml:space="preserve">北京市延庆区张山营镇西大庄科村YQ06-0400-0016地块F3其他类多功能用地    </t>
  </si>
  <si>
    <t xml:space="preserve"> 延庆区</t>
  </si>
  <si>
    <t xml:space="preserve"> 张山营</t>
  </si>
  <si>
    <t xml:space="preserve"> 商业/办公用地</t>
  </si>
  <si>
    <t xml:space="preserve"> ≤1.01</t>
  </si>
  <si>
    <t xml:space="preserve"> F3其他类多功能用地</t>
  </si>
  <si>
    <t xml:space="preserve"> --</t>
  </si>
  <si>
    <t xml:space="preserve"> 北京北控智开实业发展有限公司  </t>
  </si>
  <si>
    <t xml:space="preserve"> 北控置业</t>
  </si>
  <si>
    <t xml:space="preserve"> 商业40年、办公50年</t>
  </si>
  <si>
    <t xml:space="preserve">北京市延庆区延庆新城03街区会展中心东侧地块土地一级开发项目(二期)YQ00-0003-0024地块B4综合性商业金融服务业用地    </t>
  </si>
  <si>
    <t xml:space="preserve"> 延庆</t>
  </si>
  <si>
    <t xml:space="preserve"> 2.50</t>
  </si>
  <si>
    <t xml:space="preserve"> B4综合性商业金融服务业用地</t>
  </si>
  <si>
    <t xml:space="preserve"> 含租赁用地</t>
  </si>
  <si>
    <t xml:space="preserve"> 大连万达商业管理集团股份有限公司  </t>
  </si>
  <si>
    <t xml:space="preserve"> 大连万达</t>
  </si>
  <si>
    <t xml:space="preserve">北京市延庆区张山营镇水峪村A-01等地块B14旅馆用地、U21排水设施用地    </t>
  </si>
  <si>
    <t xml:space="preserve"> 0.69</t>
  </si>
  <si>
    <t xml:space="preserve"> B14旅馆用地、U21排水设施用地</t>
  </si>
  <si>
    <t xml:space="preserve"> 北京辉煌益境房地产开发有限公司  </t>
  </si>
  <si>
    <t xml:space="preserve"> 辉煌集团</t>
  </si>
  <si>
    <t xml:space="preserve">延庆县旧县镇三里庄村西北地块C8旅游设施用地    </t>
  </si>
  <si>
    <t xml:space="preserve"> 旧县</t>
  </si>
  <si>
    <t xml:space="preserve"> 0.70</t>
  </si>
  <si>
    <t xml:space="preserve"> C8旅游设施用地</t>
  </si>
  <si>
    <t xml:space="preserve"> 北京天润霞葡萄酒庄有限公司  </t>
  </si>
  <si>
    <t xml:space="preserve"> 商业40年、综合50年</t>
  </si>
  <si>
    <t xml:space="preserve">延庆县张山营镇西羊坊村B地块旅游设施、市政公共设施用地    </t>
  </si>
  <si>
    <t xml:space="preserve"> 0.79</t>
  </si>
  <si>
    <t xml:space="preserve"> C8旅游设施用地、U市政公共设施用地</t>
  </si>
  <si>
    <t xml:space="preserve"> 北京华氏庄园葡萄酒有限公司  </t>
  </si>
  <si>
    <t xml:space="preserve"> 商业40年综合50年</t>
  </si>
  <si>
    <t xml:space="preserve">延庆县张山营镇西羊坊村A地块C8旅游设施用地    </t>
  </si>
  <si>
    <t xml:space="preserve"> 北京卓龙庄园葡萄酒庄有限公司  </t>
  </si>
  <si>
    <t xml:space="preserve">延庆县香营乡山底下村东部地块C8旅游设施用地    </t>
  </si>
  <si>
    <t xml:space="preserve"> 榆垡</t>
  </si>
  <si>
    <t xml:space="preserve"> 0.50</t>
  </si>
  <si>
    <t xml:space="preserve"> 北京天池葡萄酒庄有限公司  </t>
  </si>
  <si>
    <t xml:space="preserve">延庆县张山营镇姚家营村西侧地块旅游设施、市政公共设施用地    </t>
  </si>
  <si>
    <t xml:space="preserve"> 1.18</t>
  </si>
  <si>
    <t xml:space="preserve"> 北京中坤落樱庄园葡萄酒有限公司  </t>
  </si>
  <si>
    <t xml:space="preserve">延庆县延庆镇F3其他类多功能及C6教育科研设计项目用地  </t>
  </si>
  <si>
    <t xml:space="preserve"> 教育科研设计及其他类多功能用地</t>
  </si>
  <si>
    <t xml:space="preserve"> 北京夏都信达国有资产经营管理中心和北京市建筑设计研究院联合体  </t>
  </si>
  <si>
    <t xml:space="preserve">延庆县八达岭镇石佛寺村延庆音乐文化营地项目  </t>
  </si>
  <si>
    <t xml:space="preserve"> 0.90</t>
  </si>
  <si>
    <t xml:space="preserve"> 旅游休闲</t>
  </si>
  <si>
    <t xml:space="preserve"> 北京探戈坞旅游开发有限公司  </t>
  </si>
  <si>
    <t xml:space="preserve"> 商业40年</t>
  </si>
  <si>
    <t xml:space="preserve">延庆县张山营镇旅游设施项目用地  </t>
  </si>
  <si>
    <t xml:space="preserve"> 0.40</t>
  </si>
  <si>
    <t xml:space="preserve"> 旅游设施用地</t>
  </si>
  <si>
    <t xml:space="preserve"> 北京辉煌世纪房地产开发有限公司  </t>
  </si>
  <si>
    <t xml:space="preserve">延庆县东外大街65号办公用地  </t>
  </si>
  <si>
    <t xml:space="preserve"> 2</t>
  </si>
  <si>
    <t xml:space="preserve"> 办公用地</t>
  </si>
  <si>
    <t xml:space="preserve"> 中国移动通信集团北京有限公司  </t>
  </si>
  <si>
    <t xml:space="preserve"> 综合50年</t>
  </si>
  <si>
    <t xml:space="preserve">延庆县妫水南街8号酒店项目用地  </t>
  </si>
  <si>
    <t xml:space="preserve"> 1.80</t>
  </si>
  <si>
    <t xml:space="preserve"> 商用</t>
  </si>
  <si>
    <t xml:space="preserve"> 北京夏都融侨贸易有限公司  </t>
  </si>
  <si>
    <t xml:space="preserve"> 商业40年(旅馆业)</t>
  </si>
  <si>
    <t xml:space="preserve">延庆县京张路口南营业厅项目用地  </t>
  </si>
  <si>
    <t xml:space="preserve"> 1.50</t>
  </si>
  <si>
    <t xml:space="preserve"> 北京日上金属结构有限公司  </t>
  </si>
  <si>
    <t xml:space="preserve">绿韵广场项目用地  </t>
  </si>
  <si>
    <t xml:space="preserve"> 1.64</t>
  </si>
  <si>
    <t xml:space="preserve"> 办公及酒店</t>
  </si>
  <si>
    <t xml:space="preserve"> 北京天道房地产开发有限公司  </t>
  </si>
  <si>
    <t xml:space="preserve">北京市怀柔区怀北、雁栖镇HR00-0211-6031地块〔城市客厅B地块(北侧地块)〕F3其他类多功能用地(怀柔科学城核心区及周边土地一级开发项目)   </t>
  </si>
  <si>
    <t xml:space="preserve">北京市怀柔区北房镇、怀北镇HR00-0211-6027、6028、6029、6030地块(城市客厅C地块)F3其他类多功能用地(怀柔科学城核心区及周边土地一级开发项目)   </t>
  </si>
  <si>
    <t xml:space="preserve">北京市怀柔区怀北镇雁柏山庄北侧地块B1商业用地    </t>
  </si>
  <si>
    <t xml:space="preserve">北京市怀柔科学城核心区及周边土地一级开发项目HR00-0211-6002、6009、6010、6011、6019地块(城市客厅A)F3其他类多功能用地    </t>
  </si>
  <si>
    <t xml:space="preserve">北京市怀柔区怀北镇雁柏山庄南侧地块B1商业用地    </t>
  </si>
  <si>
    <t xml:space="preserve">北京市怀柔区怀北镇栖湖组团F3其他类多功能用地    </t>
  </si>
  <si>
    <t xml:space="preserve"> 怀柔区</t>
  </si>
  <si>
    <t xml:space="preserve"> 怀北、怀柔</t>
  </si>
  <si>
    <t xml:space="preserve"> 雁栖</t>
  </si>
  <si>
    <t xml:space="preserve"> ≤0.45</t>
  </si>
  <si>
    <t xml:space="preserve"> ≤1.9</t>
  </si>
  <si>
    <t xml:space="preserve"> ≤0.16</t>
  </si>
  <si>
    <t xml:space="preserve"> ≤0.68</t>
  </si>
  <si>
    <t xml:space="preserve"> B1商业用地</t>
  </si>
  <si>
    <t xml:space="preserve"> 北京怀柔科学城城开三部开发建设有限公司  </t>
  </si>
  <si>
    <t xml:space="preserve"> 北京怀柔科学城城开四部开发建设有限公司  </t>
  </si>
  <si>
    <t xml:space="preserve"> 北京雁柏山庄有限责任公司  </t>
  </si>
  <si>
    <t xml:space="preserve"> 北京怀柔科学城城开一部开发建设有限公司  </t>
  </si>
  <si>
    <t xml:space="preserve"> 北京栖湖饭店有限责任公司  </t>
  </si>
  <si>
    <t xml:space="preserve"> 怀柔科学城</t>
  </si>
  <si>
    <t>商业办公</t>
  </si>
  <si>
    <t>商业办公</t>
    <phoneticPr fontId="26" type="noConversion"/>
  </si>
  <si>
    <t>总用地面积</t>
    <phoneticPr fontId="225" type="noConversion"/>
  </si>
  <si>
    <t>总建筑面积</t>
    <phoneticPr fontId="225" type="noConversion"/>
  </si>
  <si>
    <t>地上</t>
  </si>
  <si>
    <t>地上</t>
    <phoneticPr fontId="225" type="noConversion"/>
  </si>
  <si>
    <t>地下</t>
  </si>
  <si>
    <t>地下</t>
    <phoneticPr fontId="225" type="noConversion"/>
  </si>
  <si>
    <t>人防</t>
    <phoneticPr fontId="225" type="noConversion"/>
  </si>
  <si>
    <t>占地</t>
    <phoneticPr fontId="225" type="noConversion"/>
  </si>
  <si>
    <t>密度</t>
    <phoneticPr fontId="225" type="noConversion"/>
  </si>
  <si>
    <t>容积率</t>
    <phoneticPr fontId="225" type="noConversion"/>
  </si>
  <si>
    <t>客房数量</t>
    <phoneticPr fontId="225" type="noConversion"/>
  </si>
  <si>
    <t>标间</t>
    <phoneticPr fontId="225" type="noConversion"/>
  </si>
  <si>
    <t>套间</t>
    <phoneticPr fontId="225" type="noConversion"/>
  </si>
  <si>
    <t>无障碍客房</t>
    <phoneticPr fontId="225" type="noConversion"/>
  </si>
  <si>
    <t>高度</t>
    <phoneticPr fontId="225" type="noConversion"/>
  </si>
  <si>
    <t>楼层</t>
    <phoneticPr fontId="225" type="noConversion"/>
  </si>
  <si>
    <t>地上</t>
    <phoneticPr fontId="225" type="noConversion"/>
  </si>
  <si>
    <t>地下</t>
    <phoneticPr fontId="225" type="noConversion"/>
  </si>
  <si>
    <t>绿地面积</t>
    <phoneticPr fontId="225" type="noConversion"/>
  </si>
  <si>
    <t>绿地率</t>
    <phoneticPr fontId="225" type="noConversion"/>
  </si>
  <si>
    <t>机动车停车位</t>
    <phoneticPr fontId="225" type="noConversion"/>
  </si>
  <si>
    <t>无障碍车位</t>
    <phoneticPr fontId="225" type="noConversion"/>
  </si>
  <si>
    <t>充电桩车位</t>
    <phoneticPr fontId="225" type="noConversion"/>
  </si>
  <si>
    <r>
      <t>2</t>
    </r>
    <r>
      <rPr>
        <sz val="11"/>
        <color theme="1"/>
        <rFont val="宋体"/>
        <family val="3"/>
        <charset val="134"/>
        <scheme val="minor"/>
      </rPr>
      <t>/3</t>
    </r>
    <phoneticPr fontId="225" type="noConversion"/>
  </si>
  <si>
    <t>崔锴</t>
  </si>
  <si>
    <t>郑燚</t>
  </si>
  <si>
    <t>交通银行</t>
    <phoneticPr fontId="6" type="noConversion"/>
  </si>
  <si>
    <t>抵押价格</t>
  </si>
  <si>
    <t>企业</t>
  </si>
  <si>
    <t>《不动产权证书》[]</t>
    <phoneticPr fontId="6" type="noConversion"/>
  </si>
  <si>
    <t>商业</t>
  </si>
  <si>
    <t>酒店</t>
  </si>
  <si>
    <t>酒店</t>
    <phoneticPr fontId="6" type="noConversion"/>
  </si>
  <si>
    <t>《建设工程规划许可证》[]</t>
    <phoneticPr fontId="6" type="noConversion"/>
  </si>
  <si>
    <t>一致</t>
  </si>
  <si>
    <t>符合</t>
  </si>
  <si>
    <t>地下仓储</t>
  </si>
  <si>
    <t>《建设工程规划许可证》[]</t>
    <phoneticPr fontId="3" type="noConversion"/>
  </si>
  <si>
    <t>《不动产权证书》[]</t>
    <phoneticPr fontId="3" type="noConversion"/>
  </si>
  <si>
    <t>否</t>
  </si>
  <si>
    <t>商业项目</t>
  </si>
  <si>
    <t>无</t>
  </si>
  <si>
    <t>场地平整</t>
  </si>
  <si>
    <t>平整</t>
  </si>
  <si>
    <t>通路</t>
  </si>
  <si>
    <t>通电</t>
  </si>
  <si>
    <t>通讯</t>
  </si>
  <si>
    <t>通上水</t>
  </si>
  <si>
    <t>通下水</t>
  </si>
  <si>
    <t>燃气</t>
  </si>
  <si>
    <t>十一级</t>
  </si>
  <si>
    <t>基准地价</t>
    <phoneticPr fontId="9" type="noConversion"/>
  </si>
  <si>
    <t>商业</t>
    <phoneticPr fontId="7" type="noConversion"/>
  </si>
  <si>
    <t>工程进度</t>
  </si>
  <si>
    <t>不动产收益法</t>
  </si>
  <si>
    <t>利息：取LPR加浮动点数</t>
  </si>
  <si>
    <t>一般</t>
  </si>
  <si>
    <t>一般</t>
    <phoneticPr fontId="3" type="noConversion"/>
  </si>
  <si>
    <t>一般</t>
    <phoneticPr fontId="3" type="noConversion"/>
  </si>
  <si>
    <t>一般</t>
    <phoneticPr fontId="3" type="noConversion"/>
  </si>
  <si>
    <t>七通</t>
  </si>
  <si>
    <t>较好</t>
  </si>
  <si>
    <t>较好</t>
    <phoneticPr fontId="3"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</si>
  <si>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</si>
  <si>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</si>
  <si>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</si>
  <si>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</si>
  <si>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</si>
  <si>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</si>
  <si>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</si>
  <si>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</si>
  <si>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楼面地价</t>
  </si>
  <si>
    <t>比较法-住宅、综合</t>
  </si>
  <si>
    <t>剩余法-待开发</t>
  </si>
  <si>
    <t>表1-1                       项目主要技术经济指标</t>
  </si>
  <si>
    <t>项目名称</t>
  </si>
  <si>
    <t>单位</t>
  </si>
  <si>
    <t>指标</t>
  </si>
  <si>
    <t>备注</t>
  </si>
  <si>
    <t>地块总占地面积</t>
  </si>
  <si>
    <t>平方米</t>
  </si>
  <si>
    <t>A-03地块</t>
  </si>
  <si>
    <t>D-03地块</t>
  </si>
  <si>
    <t>D-04地块</t>
  </si>
  <si>
    <t>D-05地块</t>
  </si>
  <si>
    <t>地块总建设面积</t>
  </si>
  <si>
    <t>本项目总建筑面积</t>
  </si>
  <si>
    <t>地上建筑面积</t>
  </si>
  <si>
    <t>3.1.1</t>
  </si>
  <si>
    <t>3.1.2</t>
  </si>
  <si>
    <t>3.1.3</t>
  </si>
  <si>
    <t>3.1.4</t>
  </si>
  <si>
    <t>地下建筑面积</t>
  </si>
  <si>
    <t>3.2.1</t>
  </si>
  <si>
    <t>3.2.2</t>
  </si>
  <si>
    <t>3.2.3</t>
  </si>
  <si>
    <t>客房数</t>
  </si>
  <si>
    <t>间</t>
  </si>
  <si>
    <t>绿地率</t>
  </si>
  <si>
    <t>%</t>
  </si>
  <si>
    <t>建筑密度</t>
  </si>
  <si>
    <t>建筑层数</t>
  </si>
  <si>
    <t>层</t>
  </si>
  <si>
    <t>建筑高度</t>
  </si>
  <si>
    <t>米</t>
  </si>
  <si>
    <t>机动车位</t>
  </si>
  <si>
    <t>辆</t>
  </si>
  <si>
    <t>　</t>
  </si>
  <si>
    <t>表1-3                     项目总投资情况表                 单位：万元</t>
  </si>
  <si>
    <t>投资额</t>
  </si>
  <si>
    <t>建设费用</t>
  </si>
  <si>
    <t>工程建设费</t>
  </si>
  <si>
    <t>工程建设其他费</t>
  </si>
  <si>
    <t>预备费</t>
  </si>
  <si>
    <t>财务费用</t>
  </si>
  <si>
    <t>项目投入总资金</t>
  </si>
  <si>
    <t>延庆区目前在营高端民宿房间价常年均价普遍在700元至于1900元之间，平均房间价格为1100元左右。本项目作为新建高端民宿，室内建设标准按高端标准建设，考虑到项目所在区位的独特性，不含私汤的民宿类型房间价格全年根据节气定价浮动范围在700元至1500元之间，全年民宿房间均价为1200元左右，其中含住宿温泉餐饮休闲于一体的一价全包亲子游价格为1250元左右。本项目含私汤的高端民宿属于市场稀缺产品，因此价格全年根据节气定价浮动范围在1800元至3000元之间，全年民宿房间均价为2000元左右，其中含住宿温泉餐饮休闲于一体的一价全包亲子游价格为2500元左右。</t>
  </si>
  <si>
    <t>土地（套用方法）</t>
  </si>
  <si>
    <t>自定义</t>
  </si>
  <si>
    <t>按租金收入计税</t>
  </si>
  <si>
    <t>钢混</t>
  </si>
  <si>
    <t>地上</t>
    <phoneticPr fontId="9" type="noConversion"/>
  </si>
  <si>
    <t>综合</t>
    <phoneticPr fontId="9" type="noConversion"/>
  </si>
  <si>
    <t>总价</t>
    <phoneticPr fontId="9" type="noConversion"/>
  </si>
  <si>
    <r>
      <t>5</t>
    </r>
    <r>
      <rPr>
        <sz val="10"/>
        <color indexed="8"/>
        <rFont val="宋体"/>
        <family val="3"/>
        <charset val="134"/>
      </rPr>
      <t>星</t>
    </r>
    <phoneticPr fontId="3" type="noConversion"/>
  </si>
  <si>
    <t>万元</t>
    <phoneticPr fontId="3" type="noConversion"/>
  </si>
  <si>
    <t>总建筑面积</t>
    <phoneticPr fontId="3" type="noConversion"/>
  </si>
  <si>
    <t>平方米</t>
    <phoneticPr fontId="3" type="noConversion"/>
  </si>
  <si>
    <t>可研</t>
    <phoneticPr fontId="3" type="noConversion"/>
  </si>
  <si>
    <t>表9-1                         工程建设费估算表                             单位：万元</t>
  </si>
  <si>
    <t>数量</t>
  </si>
  <si>
    <t>单方造价</t>
  </si>
  <si>
    <t>金额</t>
  </si>
  <si>
    <t>一</t>
  </si>
  <si>
    <t>建安工程费</t>
  </si>
  <si>
    <t>m2</t>
  </si>
  <si>
    <t>结构工程</t>
  </si>
  <si>
    <t>采用装配式钢结构</t>
  </si>
  <si>
    <t>室外装饰工程</t>
  </si>
  <si>
    <t>室内装饰工程</t>
  </si>
  <si>
    <t>1.3.1</t>
  </si>
  <si>
    <t>地上室内装饰工程</t>
  </si>
  <si>
    <t>四星级装饰标准</t>
  </si>
  <si>
    <t>1.3.2</t>
  </si>
  <si>
    <t>A-03地块地上部分</t>
  </si>
  <si>
    <t>1.3.3</t>
  </si>
  <si>
    <t>地下室内装饰工程</t>
  </si>
  <si>
    <t>给排水工程（含消防）</t>
  </si>
  <si>
    <t>采暖工程</t>
  </si>
  <si>
    <t>通风工程</t>
  </si>
  <si>
    <t>强电工程</t>
  </si>
  <si>
    <t>弱电工程</t>
  </si>
  <si>
    <t>燃气工程</t>
  </si>
  <si>
    <t>电梯工程</t>
  </si>
  <si>
    <t>基础设施建设费</t>
  </si>
  <si>
    <t>电力工程</t>
  </si>
  <si>
    <t>给水工程</t>
  </si>
  <si>
    <t>排污工程</t>
  </si>
  <si>
    <t>道路工程</t>
  </si>
  <si>
    <t>路灯工程</t>
  </si>
  <si>
    <t>绿化及景观工程</t>
  </si>
  <si>
    <t>通讯工程</t>
  </si>
  <si>
    <t>有线电视工程</t>
  </si>
  <si>
    <t>中水工程</t>
  </si>
  <si>
    <t>休闲配套设施工程</t>
  </si>
  <si>
    <t>建筑内地下设施及设备</t>
  </si>
  <si>
    <t>二</t>
  </si>
  <si>
    <t>建安工程费</t>
    <phoneticPr fontId="3" type="noConversion"/>
  </si>
  <si>
    <t>该项目前期工作费用为9887万元，前期工作费用估算详见表9-2。</t>
  </si>
  <si>
    <t>表9-2                    前期工作费用估算表</t>
  </si>
  <si>
    <t>费用（万元）</t>
  </si>
  <si>
    <t>土地费</t>
  </si>
  <si>
    <t>按地上面积分摊</t>
  </si>
  <si>
    <t>勘察费</t>
  </si>
  <si>
    <t>设计费</t>
  </si>
  <si>
    <t>环境影响咨询费</t>
  </si>
  <si>
    <t>水影响编制费</t>
  </si>
  <si>
    <t>项目申请报告编制费</t>
  </si>
  <si>
    <t>节能评估报告编制费用</t>
  </si>
  <si>
    <t>交易服务费</t>
  </si>
  <si>
    <t>施工监理费</t>
  </si>
  <si>
    <t>施工图审图费</t>
  </si>
  <si>
    <t>招投标费</t>
  </si>
  <si>
    <t>造价咨询费</t>
  </si>
  <si>
    <t>工程保险费</t>
  </si>
  <si>
    <t>建设单位管理费</t>
  </si>
  <si>
    <t>城市基础设施配套费</t>
  </si>
  <si>
    <t>可研</t>
    <phoneticPr fontId="3" type="noConversion"/>
  </si>
  <si>
    <t>测算</t>
    <phoneticPr fontId="3" type="noConversion"/>
  </si>
  <si>
    <t>拆分</t>
    <phoneticPr fontId="3" type="noConversion"/>
  </si>
  <si>
    <t>名称</t>
  </si>
  <si>
    <t>平均价格（元）</t>
  </si>
  <si>
    <t>日均使用率</t>
  </si>
  <si>
    <t>年收入</t>
  </si>
  <si>
    <t>民宿</t>
  </si>
  <si>
    <t>房间</t>
  </si>
  <si>
    <t>D03地块民宿</t>
  </si>
  <si>
    <t>含私汤</t>
  </si>
  <si>
    <t>D04地块民宿</t>
  </si>
  <si>
    <t>D05地块民宿</t>
  </si>
  <si>
    <t>优惠套票收入</t>
  </si>
  <si>
    <t>万人</t>
  </si>
  <si>
    <t>住宿单享全</t>
  </si>
  <si>
    <t>包优惠费</t>
  </si>
  <si>
    <t>休闲配套设施施套票</t>
  </si>
  <si>
    <t>散客收入</t>
  </si>
  <si>
    <t>A03地块餐饮</t>
  </si>
  <si>
    <r>
      <t>约占客房收入</t>
    </r>
    <r>
      <rPr>
        <sz val="9"/>
        <rFont val="Arial"/>
        <family val="2"/>
      </rPr>
      <t>59%</t>
    </r>
  </si>
  <si>
    <t>停车位</t>
  </si>
  <si>
    <t>个</t>
  </si>
  <si>
    <r>
      <t>按</t>
    </r>
    <r>
      <rPr>
        <sz val="9"/>
        <rFont val="Arial"/>
        <family val="2"/>
      </rPr>
      <t>10</t>
    </r>
    <r>
      <rPr>
        <sz val="9"/>
        <rFont val="宋体"/>
        <family val="3"/>
        <charset val="134"/>
      </rPr>
      <t>小时计取</t>
    </r>
  </si>
  <si>
    <t>表10-2                 项目经营成本价格及经营成本                      单位：万元</t>
  </si>
  <si>
    <t>员工</t>
  </si>
  <si>
    <t>人</t>
  </si>
  <si>
    <t>平均工资价格　</t>
  </si>
  <si>
    <t>餐饮物料成本</t>
  </si>
  <si>
    <r>
      <t>餐饮收入的</t>
    </r>
    <r>
      <rPr>
        <sz val="9"/>
        <rFont val="Arial"/>
        <family val="2"/>
      </rPr>
      <t>39.87%</t>
    </r>
  </si>
  <si>
    <t>民宿日用品</t>
  </si>
  <si>
    <r>
      <t>按</t>
    </r>
    <r>
      <rPr>
        <sz val="9"/>
        <rFont val="Arial"/>
        <family val="2"/>
      </rPr>
      <t>60%</t>
    </r>
    <r>
      <rPr>
        <sz val="9"/>
        <rFont val="宋体"/>
        <family val="3"/>
        <charset val="134"/>
      </rPr>
      <t>入住率测算</t>
    </r>
  </si>
  <si>
    <t>电费</t>
  </si>
  <si>
    <t>万千瓦时</t>
  </si>
  <si>
    <t>水费</t>
  </si>
  <si>
    <t>万吨</t>
  </si>
  <si>
    <t>含生活及温泉用水</t>
  </si>
  <si>
    <t>天然气</t>
  </si>
  <si>
    <t>万立方米</t>
  </si>
  <si>
    <t>康养设施材料费</t>
  </si>
  <si>
    <t>按康养设施收</t>
  </si>
  <si>
    <t>入的27.86%计</t>
  </si>
  <si>
    <t>经营管理费</t>
  </si>
  <si>
    <t>含其他经营管理</t>
  </si>
  <si>
    <t>费和修理费等</t>
  </si>
  <si>
    <t>仓储</t>
  </si>
  <si>
    <t xml:space="preserve">A03未开工、主要看的东侧，地块内有树木植被，拿地净地，无待拆除建筑
</t>
    <phoneticPr fontId="225" type="noConversion"/>
  </si>
  <si>
    <t xml:space="preserve">D03未开工、平整
</t>
    <phoneticPr fontId="225" type="noConversion"/>
  </si>
  <si>
    <t>D04已开工，正在进行…3.28开工</t>
    <phoneticPr fontId="225" type="noConversion"/>
  </si>
  <si>
    <t>本次范围共4块地</t>
    <phoneticPr fontId="225" type="noConversion"/>
  </si>
  <si>
    <t xml:space="preserve">
D05未开工
</t>
    <phoneticPr fontId="225" type="noConversion"/>
  </si>
  <si>
    <t>40</t>
    <phoneticPr fontId="26" type="noConversion"/>
  </si>
  <si>
    <t>40</t>
    <phoneticPr fontId="26" type="noConversion"/>
  </si>
  <si>
    <t>40</t>
    <phoneticPr fontId="26" type="noConversion"/>
  </si>
  <si>
    <t>较规则</t>
  </si>
  <si>
    <t>较适宜</t>
  </si>
  <si>
    <t>六通</t>
  </si>
  <si>
    <t>四通</t>
  </si>
  <si>
    <t>三通</t>
  </si>
  <si>
    <t>较不规则</t>
  </si>
  <si>
    <t>地上面积</t>
    <phoneticPr fontId="225" type="noConversion"/>
  </si>
  <si>
    <t>其他收入</t>
    <phoneticPr fontId="225" type="noConversion"/>
  </si>
  <si>
    <t>净收益</t>
    <phoneticPr fontId="225" type="noConversion"/>
  </si>
  <si>
    <t>表10-1                 项目经营价格及经营收入                        单位：万元</t>
    <phoneticPr fontId="225" type="noConversion"/>
  </si>
  <si>
    <t xml:space="preserve"> </t>
    <phoneticPr fontId="225" type="noConversion"/>
  </si>
  <si>
    <t>企业预期年收入</t>
    <phoneticPr fontId="225" type="noConversion"/>
  </si>
  <si>
    <t>旅馆</t>
  </si>
  <si>
    <t>旅馆</t>
    <phoneticPr fontId="26" type="noConversion"/>
  </si>
  <si>
    <t xml:space="preserve">北京市怀柔科学城核心区及周边土地一级开发项目HR00-0211-6002、6009、6010、6011、6019地块(城市客厅A)F3其他类多功能用地    </t>
    <phoneticPr fontId="225" type="noConversion"/>
  </si>
  <si>
    <t xml:space="preserve">北京市怀柔区北房镇、怀北镇HR00-0211-6027、6028、6029、6030地块(城市客厅C地块)F3其他类多功能用地(怀柔科学城核心区及周边土地一级开发项目)   </t>
    <phoneticPr fontId="225" type="noConversion"/>
  </si>
  <si>
    <t xml:space="preserve">北京市延庆区张山营镇西大庄科村YQ06-0400-0016地块F3其他类多功能用地    </t>
    <phoneticPr fontId="225" type="noConversion"/>
  </si>
  <si>
    <t>自持</t>
    <phoneticPr fontId="26" type="noConversion"/>
  </si>
  <si>
    <t>有</t>
    <phoneticPr fontId="26" type="noConversion"/>
  </si>
  <si>
    <t>无</t>
    <phoneticPr fontId="26" type="noConversion"/>
  </si>
  <si>
    <t>有</t>
    <phoneticPr fontId="26" type="noConversion"/>
  </si>
  <si>
    <t>无</t>
    <phoneticPr fontId="26" type="noConversion"/>
  </si>
  <si>
    <t>有</t>
    <phoneticPr fontId="26" type="noConversion"/>
  </si>
  <si>
    <t>按比例</t>
  </si>
  <si>
    <t>折算至地上单价</t>
    <phoneticPr fontId="225" type="noConversion"/>
  </si>
  <si>
    <t>日毛收益</t>
    <phoneticPr fontId="225" type="noConversion"/>
  </si>
  <si>
    <t>日净收益</t>
    <phoneticPr fontId="225" type="noConversion"/>
  </si>
  <si>
    <t>可研</t>
    <phoneticPr fontId="15" type="noConversion"/>
  </si>
  <si>
    <t>建安</t>
    <phoneticPr fontId="15" type="noConversion"/>
  </si>
  <si>
    <t>基础设施</t>
    <phoneticPr fontId="15" type="noConversion"/>
  </si>
  <si>
    <t>配套工程</t>
    <phoneticPr fontId="15" type="noConversion"/>
  </si>
  <si>
    <t>设计费等</t>
    <phoneticPr fontId="15" type="noConversion"/>
  </si>
  <si>
    <t>城市基础设施配套费</t>
    <phoneticPr fontId="15" type="noConversion"/>
  </si>
  <si>
    <t>计算值</t>
    <phoneticPr fontId="15" type="noConversion"/>
  </si>
  <si>
    <t>节假日</t>
    <phoneticPr fontId="225" type="noConversion"/>
  </si>
  <si>
    <t>工作日</t>
    <phoneticPr fontId="225" type="noConversion"/>
  </si>
  <si>
    <t>出租率</t>
    <phoneticPr fontId="225" type="noConversion"/>
  </si>
  <si>
    <t>折地上</t>
    <phoneticPr fontId="9" type="noConversion"/>
  </si>
  <si>
    <t>北京辉煌凯盛旅游产业有限公司</t>
    <phoneticPr fontId="225" type="noConversion"/>
  </si>
  <si>
    <r>
      <t>北京市延庆区张山营镇水峪村D</t>
    </r>
    <r>
      <rPr>
        <sz val="11"/>
        <color theme="1"/>
        <rFont val="宋体"/>
        <family val="3"/>
        <charset val="134"/>
        <scheme val="minor"/>
      </rPr>
      <t>-03地块</t>
    </r>
    <phoneticPr fontId="225" type="noConversion"/>
  </si>
  <si>
    <t>北京市延庆区张山营镇水峪村D-05地块</t>
    <phoneticPr fontId="225" type="noConversion"/>
  </si>
  <si>
    <t>地上建筑面积</t>
    <phoneticPr fontId="26" type="noConversion"/>
  </si>
  <si>
    <t>地下建筑面积</t>
    <phoneticPr fontId="26" type="noConversion"/>
  </si>
  <si>
    <t>比较法结果</t>
    <phoneticPr fontId="26" type="noConversion"/>
  </si>
  <si>
    <t>拆分结果</t>
    <phoneticPr fontId="26" type="noConversion"/>
  </si>
  <si>
    <r>
      <t>宗地编号</t>
    </r>
    <r>
      <rPr>
        <sz val="9"/>
        <color rgb="FFE36C0A"/>
        <rFont val="Arial"/>
        <family val="2"/>
      </rPr>
      <t>/</t>
    </r>
    <r>
      <rPr>
        <sz val="9"/>
        <color rgb="FFE36C0A"/>
        <rFont val="华文细黑"/>
        <family val="3"/>
        <charset val="134"/>
      </rPr>
      <t>不动产单元号</t>
    </r>
  </si>
  <si>
    <r>
      <t>土地使用证编号</t>
    </r>
    <r>
      <rPr>
        <sz val="9"/>
        <color theme="1"/>
        <rFont val="Arial"/>
        <family val="2"/>
      </rPr>
      <t>/</t>
    </r>
    <r>
      <rPr>
        <sz val="9"/>
        <color theme="1"/>
        <rFont val="华文细黑"/>
        <family val="3"/>
        <charset val="134"/>
      </rPr>
      <t>不动产权证书编号</t>
    </r>
  </si>
  <si>
    <r>
      <t>（剩余）土地使用年限</t>
    </r>
    <r>
      <rPr>
        <sz val="9"/>
        <color theme="1"/>
        <rFont val="Arial"/>
        <family val="2"/>
      </rPr>
      <t>/</t>
    </r>
    <r>
      <rPr>
        <sz val="9"/>
        <color theme="1"/>
        <rFont val="华文细黑"/>
        <family val="3"/>
        <charset val="134"/>
      </rPr>
      <t>年</t>
    </r>
  </si>
  <si>
    <r>
      <t>（分摊）</t>
    </r>
    <r>
      <rPr>
        <sz val="9"/>
        <color theme="1"/>
        <rFont val="华文细黑"/>
        <family val="3"/>
        <charset val="134"/>
      </rPr>
      <t>土地面积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</si>
  <si>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</si>
  <si>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单位面积地价</t>
    </r>
    <r>
      <rPr>
        <sz val="9"/>
        <color theme="1"/>
        <rFont val="Arial"/>
        <family val="2"/>
      </rPr>
      <t>/</t>
    </r>
  </si>
  <si>
    <r>
      <t>元</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</si>
  <si>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</si>
  <si>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</si>
  <si>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</si>
  <si>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（或批准）</t>
  </si>
  <si>
    <t>实际</t>
  </si>
  <si>
    <t>币种：人民币</t>
  </si>
  <si>
    <t>D05平整费用</t>
    <phoneticPr fontId="9" type="noConversion"/>
  </si>
  <si>
    <t>A03平整费用</t>
    <phoneticPr fontId="9" type="noConversion"/>
  </si>
  <si>
    <t>拆分</t>
    <phoneticPr fontId="225" type="noConversion"/>
  </si>
  <si>
    <t>地面单价</t>
    <phoneticPr fontId="225" type="noConversion"/>
  </si>
  <si>
    <t>平整费用</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</si>
</sst>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2"/>
      <color rgb="FFFF0000"/>
      <name val="宋体"/>
      <family val="2"/>
      <scheme val="minor"/>
    </font>
    <font>
      <sz val="9"/>
      <color rgb="FFFF0000"/>
      <name val="Arial"/>
      <family val="2"/>
    </font>
    <font>
      <sz val="11"/>
      <color indexed="53"/>
      <name val="宋体"/>
      <family val="3"/>
      <charset val="134"/>
    </font>
    <font>
      <sz val="9"/>
      <color theme="1"/>
      <name val="华文细黑"/>
      <family val="3"/>
      <charset val="134"/>
    </font>
    <font>
      <sz val="9"/>
      <color rgb="FFE36C0A"/>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7" tint="0.59999389629810485"/>
        <bgColor indexed="64"/>
      </patternFill>
    </fill>
  </fills>
  <borders count="16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8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2" fillId="0" borderId="0" xfId="0" applyFont="1" applyAlignment="1">
      <alignment horizontal="left" vertical="center"/>
    </xf>
    <xf numFmtId="14" fontId="0" fillId="0" borderId="0" xfId="0" applyNumberFormat="1" applyAlignment="1">
      <alignment horizontal="left" vertical="center"/>
    </xf>
    <xf numFmtId="14" fontId="142" fillId="0" borderId="0" xfId="0" applyNumberFormat="1" applyFont="1" applyAlignment="1">
      <alignment horizontal="left" vertical="center"/>
    </xf>
    <xf numFmtId="0" fontId="142" fillId="6" borderId="0" xfId="0" applyFont="1" applyFill="1" applyAlignment="1">
      <alignment horizontal="left" vertical="center"/>
    </xf>
    <xf numFmtId="0" fontId="0" fillId="6" borderId="0" xfId="0" applyFill="1" applyAlignment="1">
      <alignment horizontal="left" vertical="center"/>
    </xf>
    <xf numFmtId="9" fontId="0" fillId="0" borderId="0" xfId="0" applyNumberFormat="1">
      <alignment vertical="center"/>
    </xf>
    <xf numFmtId="0" fontId="142" fillId="21" borderId="0" xfId="0" applyFont="1" applyFill="1" applyAlignment="1">
      <alignment horizontal="left" vertical="center"/>
    </xf>
    <xf numFmtId="14" fontId="0" fillId="0" borderId="0" xfId="0" applyNumberFormat="1">
      <alignment vertical="center"/>
    </xf>
    <xf numFmtId="0" fontId="142" fillId="0" borderId="0" xfId="0" applyFont="1" applyAlignment="1">
      <alignment vertical="center" wrapText="1"/>
    </xf>
    <xf numFmtId="0" fontId="280" fillId="0" borderId="0" xfId="16" applyNumberFormat="1"/>
    <xf numFmtId="14" fontId="280" fillId="0" borderId="0" xfId="16" applyNumberFormat="1"/>
    <xf numFmtId="0" fontId="280" fillId="21" borderId="0" xfId="16" applyNumberFormat="1" applyFill="1"/>
    <xf numFmtId="14" fontId="280" fillId="21" borderId="0" xfId="16" applyNumberFormat="1" applyFill="1"/>
    <xf numFmtId="0" fontId="281" fillId="0" borderId="0" xfId="0" applyNumberFormat="1" applyFont="1" applyAlignment="1"/>
    <xf numFmtId="14" fontId="269" fillId="0" borderId="0" xfId="0" applyNumberFormat="1" applyFont="1" applyAlignment="1"/>
    <xf numFmtId="0" fontId="141" fillId="0" borderId="6" xfId="0" applyNumberFormat="1" applyFont="1" applyFill="1" applyBorder="1" applyAlignment="1" applyProtection="1">
      <alignment horizontal="center" vertical="center" wrapText="1"/>
      <protection locked="0"/>
    </xf>
    <xf numFmtId="10" fontId="0" fillId="0" borderId="0" xfId="0" applyNumberFormat="1">
      <alignment vertical="center"/>
    </xf>
    <xf numFmtId="49" fontId="142" fillId="0" borderId="0" xfId="0" applyNumberFormat="1" applyFont="1">
      <alignment vertical="center"/>
    </xf>
    <xf numFmtId="0" fontId="183" fillId="0" borderId="17" xfId="0" applyNumberFormat="1" applyFont="1" applyFill="1" applyBorder="1" applyAlignment="1" applyProtection="1">
      <alignment horizontal="left" vertical="center"/>
      <protection locked="0"/>
    </xf>
    <xf numFmtId="49" fontId="184" fillId="6" borderId="2" xfId="0" applyNumberFormat="1" applyFont="1" applyFill="1" applyBorder="1" applyAlignment="1" applyProtection="1">
      <alignment horizontal="center" vertical="center" wrapText="1"/>
      <protection locked="0"/>
    </xf>
    <xf numFmtId="0" fontId="79" fillId="5" borderId="0" xfId="0" applyFont="1" applyFill="1" applyProtection="1">
      <alignment vertical="center"/>
      <protection locked="0"/>
    </xf>
    <xf numFmtId="49" fontId="256" fillId="0" borderId="12" xfId="0" applyNumberFormat="1" applyFont="1" applyFill="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0" fontId="0" fillId="6" borderId="0" xfId="0" applyFill="1">
      <alignment vertical="center"/>
    </xf>
    <xf numFmtId="180" fontId="78" fillId="12" borderId="0" xfId="0" applyNumberFormat="1" applyFont="1" applyFill="1" applyAlignment="1" applyProtection="1">
      <alignment vertical="center"/>
      <protection locked="0"/>
    </xf>
    <xf numFmtId="0" fontId="78" fillId="12" borderId="0" xfId="0" applyFont="1" applyFill="1" applyAlignment="1" applyProtection="1">
      <alignment vertical="center"/>
      <protection locked="0"/>
    </xf>
    <xf numFmtId="0" fontId="3" fillId="0" borderId="0" xfId="6" applyFont="1" applyAlignment="1" applyProtection="1">
      <alignment horizontal="left" vertical="center"/>
      <protection locked="0"/>
    </xf>
    <xf numFmtId="0" fontId="3" fillId="10" borderId="4" xfId="6" applyFont="1" applyFill="1" applyBorder="1" applyAlignment="1" applyProtection="1">
      <alignment horizontal="left"/>
      <protection locked="0"/>
    </xf>
    <xf numFmtId="0" fontId="3" fillId="10" borderId="14" xfId="6" applyFont="1" applyFill="1" applyBorder="1" applyAlignment="1" applyProtection="1">
      <alignment horizontal="left"/>
      <protection locked="0"/>
    </xf>
    <xf numFmtId="0" fontId="277" fillId="10" borderId="14" xfId="6" applyFont="1" applyFill="1" applyBorder="1" applyAlignment="1" applyProtection="1">
      <alignment horizontal="left"/>
      <protection locked="0"/>
    </xf>
    <xf numFmtId="0" fontId="277" fillId="10" borderId="14" xfId="6" applyFont="1" applyFill="1" applyBorder="1" applyAlignment="1" applyProtection="1">
      <alignment horizontal="left" vertical="center"/>
      <protection locked="0"/>
    </xf>
    <xf numFmtId="0" fontId="277" fillId="10" borderId="32" xfId="6" applyFont="1" applyFill="1" applyBorder="1" applyAlignment="1" applyProtection="1">
      <alignment horizontal="left" vertical="center"/>
      <protection locked="0"/>
    </xf>
    <xf numFmtId="0" fontId="3" fillId="10" borderId="13" xfId="6" applyFont="1" applyFill="1" applyBorder="1" applyAlignment="1" applyProtection="1">
      <alignment horizontal="left"/>
      <protection locked="0"/>
    </xf>
    <xf numFmtId="0" fontId="3" fillId="10" borderId="0" xfId="6" applyFont="1" applyFill="1" applyBorder="1" applyAlignment="1" applyProtection="1">
      <alignment horizontal="left"/>
      <protection locked="0"/>
    </xf>
    <xf numFmtId="0" fontId="3" fillId="10" borderId="0" xfId="6" applyFont="1" applyFill="1" applyBorder="1" applyAlignment="1" applyProtection="1">
      <alignment horizontal="left" vertical="center"/>
      <protection locked="0"/>
    </xf>
    <xf numFmtId="0" fontId="3" fillId="10" borderId="18" xfId="6" applyFont="1" applyFill="1" applyBorder="1" applyAlignment="1" applyProtection="1">
      <alignment horizontal="left" vertical="center"/>
      <protection locked="0"/>
    </xf>
    <xf numFmtId="0" fontId="277" fillId="10" borderId="0" xfId="6" applyFont="1" applyFill="1" applyBorder="1" applyAlignment="1" applyProtection="1">
      <alignment horizontal="left" vertical="center"/>
      <protection locked="0"/>
    </xf>
    <xf numFmtId="9" fontId="277" fillId="10" borderId="0" xfId="6" applyNumberFormat="1" applyFont="1" applyFill="1" applyBorder="1" applyAlignment="1" applyProtection="1">
      <alignment horizontal="left" vertical="center"/>
      <protection locked="0"/>
    </xf>
    <xf numFmtId="0" fontId="277" fillId="10" borderId="18" xfId="6" applyFont="1" applyFill="1" applyBorder="1" applyAlignment="1" applyProtection="1">
      <alignment horizontal="left" vertical="center"/>
      <protection locked="0"/>
    </xf>
    <xf numFmtId="0" fontId="277" fillId="10" borderId="0" xfId="6" applyFont="1" applyFill="1" applyBorder="1" applyAlignment="1" applyProtection="1">
      <alignment horizontal="left"/>
      <protection locked="0"/>
    </xf>
    <xf numFmtId="0" fontId="3" fillId="10" borderId="17" xfId="6" applyFont="1" applyFill="1" applyBorder="1" applyAlignment="1" applyProtection="1">
      <alignment horizontal="left"/>
      <protection locked="0"/>
    </xf>
    <xf numFmtId="0" fontId="3" fillId="10" borderId="19" xfId="6" applyFont="1" applyFill="1" applyBorder="1" applyAlignment="1" applyProtection="1">
      <alignment horizontal="left"/>
      <protection locked="0"/>
    </xf>
    <xf numFmtId="0" fontId="3" fillId="10" borderId="19" xfId="6" applyFont="1" applyFill="1" applyBorder="1" applyAlignment="1" applyProtection="1">
      <alignment horizontal="left" vertical="center"/>
      <protection locked="0"/>
    </xf>
    <xf numFmtId="0" fontId="277" fillId="10" borderId="19" xfId="6" applyFont="1" applyFill="1" applyBorder="1" applyAlignment="1" applyProtection="1">
      <alignment horizontal="left" vertical="center"/>
      <protection locked="0"/>
    </xf>
    <xf numFmtId="0" fontId="3" fillId="10" borderId="20" xfId="6" applyFont="1" applyFill="1" applyBorder="1" applyAlignment="1" applyProtection="1">
      <alignment horizontal="left" vertical="center"/>
      <protection locked="0"/>
    </xf>
    <xf numFmtId="0" fontId="208" fillId="10" borderId="13" xfId="6" applyFont="1" applyFill="1" applyBorder="1" applyAlignment="1" applyProtection="1">
      <alignment horizontal="left"/>
      <protection locked="0"/>
    </xf>
    <xf numFmtId="0" fontId="208" fillId="10" borderId="0" xfId="6" applyFont="1" applyFill="1" applyBorder="1" applyAlignment="1" applyProtection="1">
      <alignment horizontal="left"/>
      <protection locked="0"/>
    </xf>
    <xf numFmtId="0" fontId="282" fillId="10" borderId="0" xfId="6" applyFont="1" applyFill="1" applyBorder="1" applyAlignment="1" applyProtection="1">
      <alignment horizontal="left" vertical="center"/>
      <protection locked="0"/>
    </xf>
    <xf numFmtId="9" fontId="282" fillId="10" borderId="0" xfId="6" applyNumberFormat="1" applyFont="1" applyFill="1" applyBorder="1" applyAlignment="1" applyProtection="1">
      <alignment horizontal="left" vertical="center"/>
      <protection locked="0"/>
    </xf>
    <xf numFmtId="0" fontId="0" fillId="14" borderId="0" xfId="0" applyFill="1">
      <alignment vertical="center"/>
    </xf>
    <xf numFmtId="0" fontId="0" fillId="22" borderId="0" xfId="0" applyFill="1">
      <alignment vertical="center"/>
    </xf>
    <xf numFmtId="0" fontId="208" fillId="10" borderId="18" xfId="6" applyFont="1" applyFill="1" applyBorder="1" applyAlignment="1" applyProtection="1">
      <alignment horizontal="left" vertical="center"/>
      <protection locked="0"/>
    </xf>
    <xf numFmtId="0" fontId="282" fillId="0" borderId="0" xfId="6" applyFont="1" applyAlignment="1" applyProtection="1">
      <alignment horizontal="left" vertical="center"/>
      <protection locked="0"/>
    </xf>
    <xf numFmtId="179" fontId="83" fillId="0" borderId="2" xfId="6" applyNumberFormat="1" applyFont="1" applyFill="1" applyBorder="1" applyAlignment="1" applyProtection="1">
      <alignment horizontal="left" vertical="center"/>
      <protection locked="0"/>
    </xf>
    <xf numFmtId="49" fontId="218" fillId="0" borderId="0" xfId="6" applyNumberFormat="1" applyFont="1" applyFill="1" applyBorder="1" applyAlignment="1" applyProtection="1">
      <protection locked="0"/>
    </xf>
    <xf numFmtId="0" fontId="130" fillId="8" borderId="63" xfId="0" applyFont="1" applyFill="1" applyBorder="1" applyAlignment="1" applyProtection="1">
      <alignment horizontal="left" vertical="center" wrapText="1"/>
      <protection locked="0"/>
    </xf>
    <xf numFmtId="49" fontId="78" fillId="0" borderId="50" xfId="0" applyNumberFormat="1" applyFont="1" applyFill="1" applyBorder="1" applyAlignment="1" applyProtection="1">
      <alignment horizontal="center" vertical="center" wrapText="1"/>
      <protection locked="0"/>
    </xf>
    <xf numFmtId="9" fontId="83" fillId="0" borderId="0" xfId="6" applyNumberFormat="1" applyFont="1" applyAlignment="1" applyProtection="1">
      <alignment horizontal="left" vertical="center"/>
      <protection locked="0"/>
    </xf>
    <xf numFmtId="180" fontId="83" fillId="0" borderId="0" xfId="6" applyNumberFormat="1" applyFont="1" applyFill="1" applyBorder="1" applyAlignment="1" applyProtection="1">
      <alignment horizontal="left" vertical="center"/>
      <protection locked="0"/>
    </xf>
    <xf numFmtId="180" fontId="83" fillId="0" borderId="0" xfId="6" applyNumberFormat="1" applyFont="1" applyFill="1" applyBorder="1" applyAlignment="1" applyProtection="1">
      <alignment horizontal="center" vertical="center"/>
      <protection locked="0"/>
    </xf>
    <xf numFmtId="185" fontId="83" fillId="16" borderId="44" xfId="6" applyNumberFormat="1" applyFont="1" applyFill="1" applyBorder="1" applyAlignment="1">
      <alignment horizontal="left" vertical="center"/>
    </xf>
    <xf numFmtId="178" fontId="124" fillId="16" borderId="0" xfId="6" applyNumberFormat="1" applyFont="1" applyFill="1" applyAlignment="1">
      <alignment horizontal="left"/>
    </xf>
    <xf numFmtId="0" fontId="220" fillId="0" borderId="0" xfId="0" applyFont="1" applyFill="1" applyProtection="1">
      <alignment vertical="center"/>
      <protection locked="0"/>
    </xf>
    <xf numFmtId="0" fontId="78" fillId="0" borderId="0" xfId="0" applyFont="1" applyFill="1" applyAlignment="1" applyProtection="1">
      <protection locked="0"/>
    </xf>
    <xf numFmtId="178" fontId="77" fillId="0" borderId="0" xfId="0" applyNumberFormat="1" applyFont="1" applyFill="1" applyProtection="1">
      <alignment vertical="center"/>
      <protection locked="0"/>
    </xf>
    <xf numFmtId="0" fontId="124" fillId="0" borderId="0" xfId="6" applyFont="1" applyAlignment="1" applyProtection="1">
      <alignment horizontal="left" vertical="center"/>
      <protection locked="0"/>
    </xf>
    <xf numFmtId="9" fontId="83" fillId="16" borderId="2" xfId="6" applyNumberFormat="1" applyFont="1" applyFill="1" applyBorder="1" applyAlignment="1" applyProtection="1">
      <alignment horizontal="left" vertical="center"/>
      <protection locked="0"/>
    </xf>
    <xf numFmtId="9" fontId="149" fillId="16" borderId="2" xfId="6" applyNumberFormat="1" applyFont="1" applyFill="1" applyBorder="1" applyAlignment="1" applyProtection="1">
      <alignment horizontal="left" vertical="center"/>
      <protection locked="0"/>
    </xf>
    <xf numFmtId="0" fontId="207" fillId="0" borderId="0" xfId="0" applyFont="1" applyProtection="1">
      <alignment vertical="center"/>
      <protection locked="0"/>
    </xf>
    <xf numFmtId="0" fontId="199" fillId="0" borderId="11" xfId="0" applyFont="1" applyBorder="1" applyAlignment="1" applyProtection="1">
      <alignment horizontal="center" vertical="center" wrapText="1"/>
      <protection locked="0"/>
    </xf>
    <xf numFmtId="0" fontId="283" fillId="5" borderId="0" xfId="0" applyFont="1" applyFill="1" applyAlignment="1" applyProtection="1">
      <alignment horizontal="center" vertical="center"/>
      <protection locked="0"/>
    </xf>
    <xf numFmtId="0" fontId="83" fillId="5" borderId="0" xfId="0" applyFont="1" applyFill="1" applyAlignment="1" applyProtection="1">
      <alignment horizontal="center" vertical="center"/>
      <protection locked="0"/>
    </xf>
    <xf numFmtId="0" fontId="284" fillId="0" borderId="163" xfId="0" applyFont="1" applyBorder="1" applyAlignment="1">
      <alignment vertical="center" wrapText="1"/>
    </xf>
    <xf numFmtId="0" fontId="284" fillId="0" borderId="164" xfId="0" applyFont="1" applyBorder="1" applyAlignment="1">
      <alignment vertical="center" wrapText="1"/>
    </xf>
    <xf numFmtId="0" fontId="0" fillId="0" borderId="165" xfId="0" applyBorder="1" applyAlignment="1">
      <alignment vertical="center" wrapText="1"/>
    </xf>
    <xf numFmtId="0" fontId="284" fillId="0" borderId="165" xfId="0" applyFont="1" applyBorder="1" applyAlignment="1">
      <alignment vertical="center" wrapText="1"/>
    </xf>
    <xf numFmtId="0" fontId="171" fillId="0" borderId="161" xfId="0" applyFont="1" applyBorder="1" applyAlignment="1">
      <alignment vertical="center" wrapText="1"/>
    </xf>
    <xf numFmtId="0" fontId="170" fillId="0" borderId="165" xfId="0" applyFont="1" applyBorder="1" applyAlignment="1">
      <alignment vertical="center" wrapText="1"/>
    </xf>
    <xf numFmtId="0" fontId="171" fillId="0" borderId="165" xfId="0" applyFont="1" applyBorder="1" applyAlignment="1">
      <alignment vertical="center" wrapText="1"/>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85" fillId="0" borderId="167" xfId="0" applyFont="1" applyBorder="1" applyAlignment="1">
      <alignment vertical="center" wrapText="1"/>
    </xf>
    <xf numFmtId="0" fontId="285" fillId="0" borderId="166" xfId="0" applyFont="1" applyBorder="1" applyAlignment="1">
      <alignment vertical="center" wrapText="1"/>
    </xf>
    <xf numFmtId="0" fontId="285" fillId="0" borderId="162" xfId="0" applyFont="1" applyBorder="1" applyAlignment="1">
      <alignment vertical="center" wrapText="1"/>
    </xf>
    <xf numFmtId="0" fontId="284" fillId="0" borderId="167" xfId="0" applyFont="1" applyBorder="1" applyAlignment="1">
      <alignment vertical="center" wrapText="1"/>
    </xf>
    <xf numFmtId="0" fontId="284" fillId="0" borderId="166" xfId="0" applyFont="1" applyBorder="1" applyAlignment="1">
      <alignment vertical="center" wrapText="1"/>
    </xf>
    <xf numFmtId="0" fontId="284" fillId="0" borderId="162" xfId="0" applyFont="1" applyBorder="1" applyAlignment="1">
      <alignment vertical="center" wrapText="1"/>
    </xf>
    <xf numFmtId="0" fontId="284" fillId="0" borderId="168" xfId="0" applyFont="1" applyBorder="1" applyAlignment="1">
      <alignment vertical="center" wrapText="1"/>
    </xf>
    <xf numFmtId="0" fontId="284" fillId="0" borderId="159" xfId="0" applyFont="1" applyBorder="1" applyAlignment="1">
      <alignment vertical="center" wrapText="1"/>
    </xf>
    <xf numFmtId="0" fontId="284" fillId="0" borderId="160" xfId="0" applyFont="1" applyBorder="1" applyAlignment="1">
      <alignment vertical="center" wrapText="1"/>
    </xf>
    <xf numFmtId="0" fontId="284" fillId="0" borderId="161" xfId="0" applyFont="1" applyBorder="1" applyAlignment="1">
      <alignment vertical="center" wrapText="1"/>
    </xf>
    <xf numFmtId="0" fontId="285" fillId="0" borderId="159" xfId="0" applyFont="1" applyBorder="1" applyAlignment="1">
      <alignment vertical="center" wrapText="1"/>
    </xf>
    <xf numFmtId="0" fontId="285" fillId="0" borderId="160" xfId="0" applyFont="1" applyBorder="1" applyAlignment="1">
      <alignment vertical="center" wrapText="1"/>
    </xf>
    <xf numFmtId="0" fontId="285" fillId="0" borderId="161" xfId="0" applyFont="1" applyBorder="1" applyAlignment="1">
      <alignment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4" fillId="0" borderId="31" xfId="6" applyFont="1" applyFill="1" applyBorder="1" applyAlignment="1" applyProtection="1">
      <alignment horizontal="center" vertical="center"/>
      <protection locked="0"/>
    </xf>
    <xf numFmtId="0" fontId="124" fillId="0" borderId="0" xfId="6" applyFont="1" applyFill="1" applyBorder="1" applyAlignment="1" applyProtection="1">
      <alignment horizontal="center" vertical="center"/>
      <protection locked="0"/>
    </xf>
    <xf numFmtId="0" fontId="124" fillId="0" borderId="65" xfId="6" applyFont="1" applyFill="1" applyBorder="1" applyAlignment="1" applyProtection="1">
      <alignment horizontal="center"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227886</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14286" cy="6209524"/>
        </a:xfrm>
        <a:prstGeom prst="rect">
          <a:avLst/>
        </a:prstGeom>
      </xdr:spPr>
    </xdr:pic>
    <xdr:clientData/>
  </xdr:twoCellAnchor>
  <xdr:twoCellAnchor editAs="oneCell">
    <xdr:from>
      <xdr:col>9</xdr:col>
      <xdr:colOff>0</xdr:colOff>
      <xdr:row>0</xdr:row>
      <xdr:rowOff>0</xdr:rowOff>
    </xdr:from>
    <xdr:to>
      <xdr:col>20</xdr:col>
      <xdr:colOff>237152</xdr:colOff>
      <xdr:row>4</xdr:row>
      <xdr:rowOff>18962</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7780952" cy="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85724</xdr:colOff>
      <xdr:row>0</xdr:row>
      <xdr:rowOff>0</xdr:rowOff>
    </xdr:from>
    <xdr:to>
      <xdr:col>9</xdr:col>
      <xdr:colOff>104151</xdr:colOff>
      <xdr:row>14</xdr:row>
      <xdr:rowOff>31879</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49" y="0"/>
          <a:ext cx="3523627" cy="2432179"/>
        </a:xfrm>
        <a:prstGeom prst="rect">
          <a:avLst/>
        </a:prstGeom>
      </xdr:spPr>
    </xdr:pic>
    <xdr:clientData/>
  </xdr:twoCellAnchor>
  <xdr:twoCellAnchor editAs="oneCell">
    <xdr:from>
      <xdr:col>4</xdr:col>
      <xdr:colOff>0</xdr:colOff>
      <xdr:row>14</xdr:row>
      <xdr:rowOff>0</xdr:rowOff>
    </xdr:from>
    <xdr:to>
      <xdr:col>10</xdr:col>
      <xdr:colOff>609000</xdr:colOff>
      <xdr:row>51</xdr:row>
      <xdr:rowOff>94445</xdr:rowOff>
    </xdr:to>
    <xdr:pic>
      <xdr:nvPicPr>
        <xdr:cNvPr id="3" name="图片 2"/>
        <xdr:cNvPicPr>
          <a:picLocks noChangeAspect="1"/>
        </xdr:cNvPicPr>
      </xdr:nvPicPr>
      <xdr:blipFill>
        <a:blip xmlns:r="http://schemas.openxmlformats.org/officeDocument/2006/relationships" r:embed="rId2"/>
        <a:stretch>
          <a:fillRect/>
        </a:stretch>
      </xdr:blipFill>
      <xdr:spPr>
        <a:xfrm>
          <a:off x="4772025" y="2400300"/>
          <a:ext cx="4800000" cy="6438095"/>
        </a:xfrm>
        <a:prstGeom prst="rect">
          <a:avLst/>
        </a:prstGeom>
      </xdr:spPr>
    </xdr:pic>
    <xdr:clientData/>
  </xdr:twoCellAnchor>
  <xdr:twoCellAnchor editAs="oneCell">
    <xdr:from>
      <xdr:col>0</xdr:col>
      <xdr:colOff>0</xdr:colOff>
      <xdr:row>19</xdr:row>
      <xdr:rowOff>0</xdr:rowOff>
    </xdr:from>
    <xdr:to>
      <xdr:col>3</xdr:col>
      <xdr:colOff>123284</xdr:colOff>
      <xdr:row>23</xdr:row>
      <xdr:rowOff>114200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4323809" cy="800000"/>
        </a:xfrm>
        <a:prstGeom prst="rect">
          <a:avLst/>
        </a:prstGeom>
      </xdr:spPr>
    </xdr:pic>
    <xdr:clientData/>
  </xdr:twoCellAnchor>
  <xdr:twoCellAnchor editAs="oneCell">
    <xdr:from>
      <xdr:col>2</xdr:col>
      <xdr:colOff>66675</xdr:colOff>
      <xdr:row>62</xdr:row>
      <xdr:rowOff>94226</xdr:rowOff>
    </xdr:from>
    <xdr:to>
      <xdr:col>4</xdr:col>
      <xdr:colOff>8805</xdr:colOff>
      <xdr:row>69</xdr:row>
      <xdr:rowOff>132808</xdr:rowOff>
    </xdr:to>
    <xdr:pic>
      <xdr:nvPicPr>
        <xdr:cNvPr id="5" name="图片 4"/>
        <xdr:cNvPicPr>
          <a:picLocks noChangeAspect="1"/>
        </xdr:cNvPicPr>
      </xdr:nvPicPr>
      <xdr:blipFill>
        <a:blip xmlns:r="http://schemas.openxmlformats.org/officeDocument/2006/relationships" r:embed="rId4"/>
        <a:stretch>
          <a:fillRect/>
        </a:stretch>
      </xdr:blipFill>
      <xdr:spPr>
        <a:xfrm>
          <a:off x="3467100" y="10724126"/>
          <a:ext cx="1647105" cy="1238732"/>
        </a:xfrm>
        <a:prstGeom prst="rect">
          <a:avLst/>
        </a:prstGeom>
      </xdr:spPr>
    </xdr:pic>
    <xdr:clientData/>
  </xdr:twoCellAnchor>
  <xdr:twoCellAnchor editAs="oneCell">
    <xdr:from>
      <xdr:col>4</xdr:col>
      <xdr:colOff>19050</xdr:colOff>
      <xdr:row>62</xdr:row>
      <xdr:rowOff>155908</xdr:rowOff>
    </xdr:from>
    <xdr:to>
      <xdr:col>6</xdr:col>
      <xdr:colOff>189912</xdr:colOff>
      <xdr:row>69</xdr:row>
      <xdr:rowOff>132900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24450" y="10785808"/>
          <a:ext cx="1542462" cy="1177142"/>
        </a:xfrm>
        <a:prstGeom prst="rect">
          <a:avLst/>
        </a:prstGeom>
      </xdr:spPr>
    </xdr:pic>
    <xdr:clientData/>
  </xdr:twoCellAnchor>
  <xdr:twoCellAnchor editAs="oneCell">
    <xdr:from>
      <xdr:col>6</xdr:col>
      <xdr:colOff>257175</xdr:colOff>
      <xdr:row>64</xdr:row>
      <xdr:rowOff>32876</xdr:rowOff>
    </xdr:from>
    <xdr:to>
      <xdr:col>9</xdr:col>
      <xdr:colOff>323075</xdr:colOff>
      <xdr:row>69</xdr:row>
      <xdr:rowOff>152055</xdr:rowOff>
    </xdr:to>
    <xdr:pic>
      <xdr:nvPicPr>
        <xdr:cNvPr id="7" name="图片 6"/>
        <xdr:cNvPicPr>
          <a:picLocks noChangeAspect="1"/>
        </xdr:cNvPicPr>
      </xdr:nvPicPr>
      <xdr:blipFill>
        <a:blip xmlns:r="http://schemas.openxmlformats.org/officeDocument/2006/relationships" r:embed="rId6"/>
        <a:stretch>
          <a:fillRect/>
        </a:stretch>
      </xdr:blipFill>
      <xdr:spPr>
        <a:xfrm>
          <a:off x="6734175" y="11005676"/>
          <a:ext cx="2199500" cy="976429"/>
        </a:xfrm>
        <a:prstGeom prst="rect">
          <a:avLst/>
        </a:prstGeom>
      </xdr:spPr>
    </xdr:pic>
    <xdr:clientData/>
  </xdr:twoCellAnchor>
  <xdr:twoCellAnchor editAs="oneCell">
    <xdr:from>
      <xdr:col>9</xdr:col>
      <xdr:colOff>350648</xdr:colOff>
      <xdr:row>57</xdr:row>
      <xdr:rowOff>76200</xdr:rowOff>
    </xdr:from>
    <xdr:to>
      <xdr:col>12</xdr:col>
      <xdr:colOff>27894</xdr:colOff>
      <xdr:row>69</xdr:row>
      <xdr:rowOff>132520</xdr:rowOff>
    </xdr:to>
    <xdr:pic>
      <xdr:nvPicPr>
        <xdr:cNvPr id="8" name="图片 7"/>
        <xdr:cNvPicPr>
          <a:picLocks noChangeAspect="1"/>
        </xdr:cNvPicPr>
      </xdr:nvPicPr>
      <xdr:blipFill>
        <a:blip xmlns:r="http://schemas.openxmlformats.org/officeDocument/2006/relationships" r:embed="rId7"/>
        <a:stretch>
          <a:fillRect/>
        </a:stretch>
      </xdr:blipFill>
      <xdr:spPr>
        <a:xfrm>
          <a:off x="8961248" y="9848850"/>
          <a:ext cx="1734646" cy="2113720"/>
        </a:xfrm>
        <a:prstGeom prst="rect">
          <a:avLst/>
        </a:prstGeom>
      </xdr:spPr>
    </xdr:pic>
    <xdr:clientData/>
  </xdr:twoCellAnchor>
  <xdr:twoCellAnchor editAs="oneCell">
    <xdr:from>
      <xdr:col>10</xdr:col>
      <xdr:colOff>0</xdr:colOff>
      <xdr:row>0</xdr:row>
      <xdr:rowOff>0</xdr:rowOff>
    </xdr:from>
    <xdr:to>
      <xdr:col>17</xdr:col>
      <xdr:colOff>27971</xdr:colOff>
      <xdr:row>14</xdr:row>
      <xdr:rowOff>133033</xdr:rowOff>
    </xdr:to>
    <xdr:pic>
      <xdr:nvPicPr>
        <xdr:cNvPr id="9" name="图片 8"/>
        <xdr:cNvPicPr>
          <a:picLocks noChangeAspect="1"/>
        </xdr:cNvPicPr>
      </xdr:nvPicPr>
      <xdr:blipFill>
        <a:blip xmlns:r="http://schemas.openxmlformats.org/officeDocument/2006/relationships" r:embed="rId8"/>
        <a:stretch>
          <a:fillRect/>
        </a:stretch>
      </xdr:blipFill>
      <xdr:spPr>
        <a:xfrm>
          <a:off x="9296400" y="0"/>
          <a:ext cx="4828571" cy="2533333"/>
        </a:xfrm>
        <a:prstGeom prst="rect">
          <a:avLst/>
        </a:prstGeom>
      </xdr:spPr>
    </xdr:pic>
    <xdr:clientData/>
  </xdr:twoCellAnchor>
  <xdr:twoCellAnchor editAs="oneCell">
    <xdr:from>
      <xdr:col>12</xdr:col>
      <xdr:colOff>0</xdr:colOff>
      <xdr:row>15</xdr:row>
      <xdr:rowOff>0</xdr:rowOff>
    </xdr:from>
    <xdr:to>
      <xdr:col>15</xdr:col>
      <xdr:colOff>618790</xdr:colOff>
      <xdr:row>28</xdr:row>
      <xdr:rowOff>104483</xdr:rowOff>
    </xdr:to>
    <xdr:pic>
      <xdr:nvPicPr>
        <xdr:cNvPr id="10" name="图片 9"/>
        <xdr:cNvPicPr>
          <a:picLocks noChangeAspect="1"/>
        </xdr:cNvPicPr>
      </xdr:nvPicPr>
      <xdr:blipFill>
        <a:blip xmlns:r="http://schemas.openxmlformats.org/officeDocument/2006/relationships" r:embed="rId9"/>
        <a:stretch>
          <a:fillRect/>
        </a:stretch>
      </xdr:blipFill>
      <xdr:spPr>
        <a:xfrm>
          <a:off x="10668000" y="2571750"/>
          <a:ext cx="2676190" cy="23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616944</xdr:colOff>
      <xdr:row>15</xdr:row>
      <xdr:rowOff>142518</xdr:rowOff>
    </xdr:to>
    <xdr:pic>
      <xdr:nvPicPr>
        <xdr:cNvPr id="2" name="图片 1"/>
        <xdr:cNvPicPr>
          <a:picLocks noChangeAspect="1"/>
        </xdr:cNvPicPr>
      </xdr:nvPicPr>
      <xdr:blipFill>
        <a:blip xmlns:r="http://schemas.openxmlformats.org/officeDocument/2006/relationships" r:embed="rId1"/>
        <a:stretch>
          <a:fillRect/>
        </a:stretch>
      </xdr:blipFill>
      <xdr:spPr>
        <a:xfrm>
          <a:off x="15554325" y="0"/>
          <a:ext cx="2209524" cy="2857143"/>
        </a:xfrm>
        <a:prstGeom prst="rect">
          <a:avLst/>
        </a:prstGeom>
      </xdr:spPr>
    </xdr:pic>
    <xdr:clientData/>
  </xdr:twoCellAnchor>
  <xdr:twoCellAnchor editAs="oneCell">
    <xdr:from>
      <xdr:col>17</xdr:col>
      <xdr:colOff>0</xdr:colOff>
      <xdr:row>16</xdr:row>
      <xdr:rowOff>0</xdr:rowOff>
    </xdr:from>
    <xdr:to>
      <xdr:col>20</xdr:col>
      <xdr:colOff>266305</xdr:colOff>
      <xdr:row>24</xdr:row>
      <xdr:rowOff>37914</xdr:rowOff>
    </xdr:to>
    <xdr:pic>
      <xdr:nvPicPr>
        <xdr:cNvPr id="3" name="图片 2"/>
        <xdr:cNvPicPr>
          <a:picLocks noChangeAspect="1"/>
        </xdr:cNvPicPr>
      </xdr:nvPicPr>
      <xdr:blipFill>
        <a:blip xmlns:r="http://schemas.openxmlformats.org/officeDocument/2006/relationships" r:embed="rId2"/>
        <a:stretch>
          <a:fillRect/>
        </a:stretch>
      </xdr:blipFill>
      <xdr:spPr>
        <a:xfrm>
          <a:off x="15554325" y="2895600"/>
          <a:ext cx="3161905" cy="1485714"/>
        </a:xfrm>
        <a:prstGeom prst="rect">
          <a:avLst/>
        </a:prstGeom>
      </xdr:spPr>
    </xdr:pic>
    <xdr:clientData/>
  </xdr:twoCellAnchor>
  <xdr:twoCellAnchor editAs="oneCell">
    <xdr:from>
      <xdr:col>17</xdr:col>
      <xdr:colOff>47625</xdr:colOff>
      <xdr:row>24</xdr:row>
      <xdr:rowOff>171450</xdr:rowOff>
    </xdr:from>
    <xdr:to>
      <xdr:col>20</xdr:col>
      <xdr:colOff>313930</xdr:colOff>
      <xdr:row>36</xdr:row>
      <xdr:rowOff>75940</xdr:rowOff>
    </xdr:to>
    <xdr:pic>
      <xdr:nvPicPr>
        <xdr:cNvPr id="4" name="图片 3"/>
        <xdr:cNvPicPr>
          <a:picLocks noChangeAspect="1"/>
        </xdr:cNvPicPr>
      </xdr:nvPicPr>
      <xdr:blipFill>
        <a:blip xmlns:r="http://schemas.openxmlformats.org/officeDocument/2006/relationships" r:embed="rId3"/>
        <a:stretch>
          <a:fillRect/>
        </a:stretch>
      </xdr:blipFill>
      <xdr:spPr>
        <a:xfrm>
          <a:off x="16002000" y="4514850"/>
          <a:ext cx="3161905" cy="2076190"/>
        </a:xfrm>
        <a:prstGeom prst="rect">
          <a:avLst/>
        </a:prstGeom>
      </xdr:spPr>
    </xdr:pic>
    <xdr:clientData/>
  </xdr:twoCellAnchor>
  <xdr:twoCellAnchor editAs="oneCell">
    <xdr:from>
      <xdr:col>10</xdr:col>
      <xdr:colOff>0</xdr:colOff>
      <xdr:row>27</xdr:row>
      <xdr:rowOff>0</xdr:rowOff>
    </xdr:from>
    <xdr:to>
      <xdr:col>16</xdr:col>
      <xdr:colOff>904136</xdr:colOff>
      <xdr:row>33</xdr:row>
      <xdr:rowOff>152245</xdr:rowOff>
    </xdr:to>
    <xdr:pic>
      <xdr:nvPicPr>
        <xdr:cNvPr id="5" name="图片 4"/>
        <xdr:cNvPicPr>
          <a:picLocks noChangeAspect="1"/>
        </xdr:cNvPicPr>
      </xdr:nvPicPr>
      <xdr:blipFill>
        <a:blip xmlns:r="http://schemas.openxmlformats.org/officeDocument/2006/relationships" r:embed="rId4"/>
        <a:stretch>
          <a:fillRect/>
        </a:stretch>
      </xdr:blipFill>
      <xdr:spPr>
        <a:xfrm>
          <a:off x="9124950" y="4886325"/>
          <a:ext cx="5914286" cy="12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86135/Desktop/&#24037;&#20316;-&#24247;&#27491;/&#24310;&#24198;&#22303;&#22320;/&#65288;&#27979;&#31639;&#34920;&#65289;&#36745;&#29004;&#20113;&#26646;&#35895;&#27665;&#23487;-A-0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资料"/>
      <sheetName val="土地案例"/>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9">
          <cell r="D49">
            <v>2000</v>
          </cell>
        </row>
        <row r="50">
          <cell r="D50">
            <v>2600</v>
          </cell>
        </row>
        <row r="51">
          <cell r="D51">
            <v>5149.7700000000004</v>
          </cell>
        </row>
        <row r="52">
          <cell r="D52">
            <v>7607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2370</v>
      </c>
      <c r="B1" s="2530" t="s">
        <v>2467</v>
      </c>
    </row>
    <row r="2" spans="1:55" s="2534" customFormat="1" ht="15" thickTop="1">
      <c r="A2" s="2532" t="s">
        <v>2374</v>
      </c>
      <c r="B2" s="2533" t="str">
        <f>'预评函-封皮'!B37</f>
        <v>北京市北京市延庆区张山营镇水峪村D-03地块出让国有建设用地使用权抵押价格预评估</v>
      </c>
      <c r="AX2" s="2535"/>
      <c r="AZ2" s="2535"/>
      <c r="BA2" s="2536"/>
      <c r="BC2" s="2536"/>
    </row>
    <row r="3" spans="1:55" s="2537" customFormat="1">
      <c r="A3" s="2516" t="s">
        <v>2375</v>
      </c>
      <c r="B3" s="2519" t="str">
        <f>'预评函-封皮'!B40</f>
        <v>北京辉煌凯盛旅游产业有限公司</v>
      </c>
    </row>
    <row r="4" spans="1:55" s="2518" customFormat="1">
      <c r="A4" s="2516" t="s">
        <v>2376</v>
      </c>
      <c r="B4" s="2517" t="str">
        <f>'预评函-封皮'!B46</f>
        <v>崔锴、郑燚</v>
      </c>
      <c r="N4" s="2518" t="str">
        <f>'预评函-1'!A28</f>
        <v/>
      </c>
    </row>
    <row r="5" spans="1:55" s="2531" customFormat="1" ht="15" thickBot="1">
      <c r="A5" s="2538" t="s">
        <v>2377</v>
      </c>
      <c r="B5" s="2539" t="str">
        <f>'预评函-封皮'!B49</f>
        <v>康正预评字号</v>
      </c>
    </row>
    <row r="6" spans="1:55" s="2540" customFormat="1" ht="15" thickTop="1">
      <c r="A6" s="2532" t="s">
        <v>2419</v>
      </c>
      <c r="B6" s="2533" t="str">
        <f>'预评函-1'!A4</f>
        <v>受贵公司委托，我公司对北京市北京市延庆区张山营镇水峪村D-03地块出让国有建设用地使用权抵押价格进行了预评估。</v>
      </c>
      <c r="AM6" s="2541"/>
    </row>
    <row r="7" spans="1:55" s="2515" customFormat="1">
      <c r="A7" s="2516" t="s">
        <v>2371</v>
      </c>
      <c r="B7" s="2517" t="str">
        <f>'预评函-1'!A6</f>
        <v>估价对象为北京辉煌凯盛旅游产业有限公司使用的、位于北京市北京市延庆区张山营镇水峪村D-03地块出让国有建设用地使用权。根据《不动产权证书》[]，估价对象（分摊）出让国有建设用地使用权面积为30101.08平方米。根据《建设工程规划许可证》[]，估价对象规划建筑面积为26725.12平方米。</v>
      </c>
    </row>
    <row r="8" spans="1:55" s="2515" customFormat="1">
      <c r="A8" s="2516" t="s">
        <v>2372</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2422</v>
      </c>
      <c r="B9" s="2517" t="str">
        <f>'预评函-1'!A9</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55" s="2515" customFormat="1">
      <c r="A10" s="2516" t="s">
        <v>2373</v>
      </c>
      <c r="B10" s="2517" t="str">
        <f>'预评函-1'!A11</f>
        <v>2022年5月24日（评估专业人员勘察现场之日）</v>
      </c>
    </row>
    <row r="11" spans="1:55" s="2515" customFormat="1">
      <c r="A11" s="2516" t="s">
        <v>2379</v>
      </c>
      <c r="B11" s="2517" t="str">
        <f>'预评函-1'!A14</f>
        <v>根据《不动产权证书》[]，本次评估估价对象证载（地类）用途为商业、办公、地下仓储。</v>
      </c>
    </row>
    <row r="12" spans="1:55" s="2515" customFormat="1">
      <c r="A12" s="2516" t="s">
        <v>2380</v>
      </c>
      <c r="B12" s="2517" t="str">
        <f>'预评函-1'!A15</f>
        <v>本次评估设定用途即为证载用途酒店。</v>
      </c>
    </row>
    <row r="13" spans="1:55" s="2515" customFormat="1">
      <c r="A13" s="2516" t="s">
        <v>2381</v>
      </c>
      <c r="B13" s="2517" t="str">
        <f>'预评函-1'!A17</f>
        <v>根据委托估价方介绍及评估专业人员现场勘查，本次评估估价对象实际土地开发程度为红线外市政基础设施达“六通”（即通路、通电、通讯、通上水、通下水、——）、宗地红线内场地平整。</v>
      </c>
    </row>
    <row r="14" spans="1:55" s="2515" customFormat="1">
      <c r="A14" s="2516" t="s">
        <v>2382</v>
      </c>
      <c r="B14" s="2517" t="str">
        <f>'预评函-1'!A18</f>
        <v>本次评估设定土地开发程度为红线外市政基础设施达“六通”、宗地红线内场地平整。</v>
      </c>
    </row>
    <row r="15" spans="1:55" s="2515" customFormat="1">
      <c r="A15" s="2516" t="s">
        <v>2378</v>
      </c>
      <c r="B15" s="2517" t="str">
        <f>'预评函-1'!A20</f>
        <v>根据《不动产权证书》[]，估价对象（分摊）出让国有建设用地使用权面积为30101.08平方米。根据《建设工程规划许可证》[]，估价对象规划建筑面积为26725.12平方米。</v>
      </c>
    </row>
    <row r="16" spans="1:55" s="2515" customFormat="1">
      <c r="A16" s="2516" t="s">
        <v>2383</v>
      </c>
      <c r="B16" s="2517" t="str">
        <f>'预评函-1'!A22</f>
        <v>本次估价对象为出让国有建设用地使用权，《不动产权证书》[]证载土地终止日期为商业2058年4月2日、办公2068年4月2日地下仓储2068年4月2日。截至估价期日，出让国有建设用地使用权剩余土地使用年限为。</v>
      </c>
    </row>
    <row r="17" spans="1:48" s="2515" customFormat="1">
      <c r="A17" s="2516" t="s">
        <v>2384</v>
      </c>
      <c r="B17" s="2517" t="str">
        <f>'预评函-1'!A23</f>
        <v>本次评估设定估价对象剩余土地使用年限为。</v>
      </c>
    </row>
    <row r="18" spans="1:48" s="2515" customFormat="1">
      <c r="A18" s="2516" t="s">
        <v>2385</v>
      </c>
      <c r="B18" s="2517" t="str">
        <f>'预评函-1'!A25</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row>
    <row r="19" spans="1:48" s="2515" customFormat="1">
      <c r="A19" s="2516" t="s">
        <v>2386</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2387</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2388</v>
      </c>
      <c r="B21" s="2539" t="str">
        <f>'预评函-1'!A28</f>
        <v/>
      </c>
    </row>
    <row r="22" spans="1:48" ht="15" thickTop="1">
      <c r="A22" s="2527" t="s">
        <v>2389</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2390</v>
      </c>
      <c r="B23" s="2517" t="str">
        <f>'预评函-2'!K2</f>
        <v>估价期日：2022年5月24日</v>
      </c>
    </row>
    <row r="24" spans="1:48">
      <c r="A24" s="2516" t="s">
        <v>2391</v>
      </c>
      <c r="B24" s="2517" t="str">
        <f>'预评函-2'!R2</f>
        <v>估价期日的国有建设用地使用权性质：出让</v>
      </c>
    </row>
    <row r="25" spans="1:48">
      <c r="A25" s="2516" t="s">
        <v>2447</v>
      </c>
      <c r="B25" s="2517" t="str">
        <f>'预评函-2'!A3</f>
        <v>估价期日土地使用者</v>
      </c>
    </row>
    <row r="26" spans="1:48">
      <c r="A26" s="2516" t="s">
        <v>2423</v>
      </c>
      <c r="B26" s="2517" t="str">
        <f>'预评函-2'!A5</f>
        <v>中信开发</v>
      </c>
    </row>
    <row r="27" spans="1:48">
      <c r="A27" s="2516" t="s">
        <v>2448</v>
      </c>
      <c r="B27" s="2517" t="str">
        <f>'预评函-2'!B3</f>
        <v>宗地编号/不动产单元号</v>
      </c>
    </row>
    <row r="28" spans="1:48">
      <c r="A28" s="2516" t="s">
        <v>2424</v>
      </c>
      <c r="B28" s="2517" t="str">
        <f>'预评函-2'!B5</f>
        <v>11111111111</v>
      </c>
    </row>
    <row r="29" spans="1:48">
      <c r="A29" s="2516" t="s">
        <v>2450</v>
      </c>
      <c r="B29" s="2517">
        <f>'预评函-2'!C5</f>
        <v>22</v>
      </c>
    </row>
    <row r="30" spans="1:48">
      <c r="A30" s="2516" t="s">
        <v>2451</v>
      </c>
      <c r="B30" s="2517" t="str">
        <f>'预评函-2'!D3</f>
        <v>土地使用证编号/不动产权证书编号</v>
      </c>
    </row>
    <row r="31" spans="1:48">
      <c r="A31" s="2516" t="s">
        <v>2425</v>
      </c>
      <c r="B31" s="2517" t="str">
        <f>'预评函-2'!D5</f>
        <v>京国土字第111号</v>
      </c>
    </row>
    <row r="32" spans="1:48">
      <c r="A32" s="2516" t="s">
        <v>2426</v>
      </c>
      <c r="B32" s="2517" t="str">
        <f>'预评函-2'!E5</f>
        <v>商业、办公、地下仓储</v>
      </c>
      <c r="AV32" s="2521"/>
    </row>
    <row r="33" spans="1:2">
      <c r="A33" s="2516" t="s">
        <v>2427</v>
      </c>
      <c r="B33" s="2517">
        <f>'预评函-2'!F5</f>
        <v>258</v>
      </c>
    </row>
    <row r="34" spans="1:2">
      <c r="A34" s="2516" t="s">
        <v>2428</v>
      </c>
      <c r="B34" s="2517" t="str">
        <f>'预评函-2'!G5</f>
        <v>酒店</v>
      </c>
    </row>
    <row r="35" spans="1:2">
      <c r="A35" s="2516" t="s">
        <v>2429</v>
      </c>
      <c r="B35" s="2517">
        <f>'预评函-2'!H5</f>
        <v>1.5</v>
      </c>
    </row>
    <row r="36" spans="1:2">
      <c r="A36" s="2516" t="s">
        <v>2430</v>
      </c>
      <c r="B36" s="2517">
        <f>'预评函-2'!I5</f>
        <v>1.5</v>
      </c>
    </row>
    <row r="37" spans="1:2">
      <c r="A37" s="2516" t="s">
        <v>2431</v>
      </c>
      <c r="B37" s="2517">
        <f>'预评函-2'!J5</f>
        <v>1.5</v>
      </c>
    </row>
    <row r="38" spans="1:2">
      <c r="A38" s="2516" t="s">
        <v>2432</v>
      </c>
      <c r="B38" s="2517" t="str">
        <f>'预评函-2'!K5</f>
        <v>红线外六通、宗地红线内场地平整</v>
      </c>
    </row>
    <row r="39" spans="1:2">
      <c r="A39" s="2516" t="s">
        <v>2433</v>
      </c>
      <c r="B39" s="2517" t="str">
        <f>'预评函-2'!L5</f>
        <v>红线外六通、宗地红线内场地平整</v>
      </c>
    </row>
    <row r="40" spans="1:2">
      <c r="A40" s="2516" t="s">
        <v>2452</v>
      </c>
      <c r="B40" s="2517" t="str">
        <f>'预评函-2'!M3</f>
        <v>（剩余）土地使用年限/年</v>
      </c>
    </row>
    <row r="41" spans="1:2">
      <c r="A41" s="2516" t="s">
        <v>2434</v>
      </c>
      <c r="B41" s="2517">
        <f>'预评函-2'!M5</f>
        <v>0</v>
      </c>
    </row>
    <row r="42" spans="1:2">
      <c r="A42" s="2516" t="s">
        <v>2453</v>
      </c>
      <c r="B42" s="2517" t="str">
        <f>'预评函-2'!N3</f>
        <v>（分摊）出让国有建设用地使用权面积/㎡</v>
      </c>
    </row>
    <row r="43" spans="1:2">
      <c r="A43" s="2516" t="s">
        <v>2435</v>
      </c>
      <c r="B43" s="2517">
        <f>'预评函-2'!N5</f>
        <v>30101.08</v>
      </c>
    </row>
    <row r="44" spans="1:2">
      <c r="A44" s="2516" t="s">
        <v>2454</v>
      </c>
      <c r="B44" s="2517" t="str">
        <f>'预评函-2'!O3</f>
        <v>规划建筑面积/㎡</v>
      </c>
    </row>
    <row r="45" spans="1:2">
      <c r="A45" s="2516" t="s">
        <v>2436</v>
      </c>
      <c r="B45" s="2517">
        <f>'预评函-2'!O5</f>
        <v>26725.120000000003</v>
      </c>
    </row>
    <row r="46" spans="1:2">
      <c r="A46" s="2516" t="s">
        <v>2437</v>
      </c>
      <c r="B46" s="2517">
        <f ca="1">'预评函-2'!P5</f>
        <v>5649</v>
      </c>
    </row>
    <row r="47" spans="1:2">
      <c r="A47" s="2516" t="s">
        <v>2438</v>
      </c>
      <c r="B47" s="2517">
        <f ca="1">'预评函-2'!Q5</f>
        <v>6362</v>
      </c>
    </row>
    <row r="48" spans="1:2">
      <c r="A48" s="2516" t="s">
        <v>2439</v>
      </c>
      <c r="B48" s="2517">
        <f ca="1">'预评函-2'!R5</f>
        <v>17003</v>
      </c>
    </row>
    <row r="49" spans="1:2">
      <c r="A49" s="2516" t="s">
        <v>2455</v>
      </c>
      <c r="B49" s="2517" t="str">
        <f>'预评函-2'!A6</f>
        <v>抵押价格</v>
      </c>
    </row>
    <row r="50" spans="1:2">
      <c r="A50" s="2516" t="s">
        <v>2440</v>
      </c>
      <c r="B50" s="2517">
        <f ca="1">'预评函-2'!R6</f>
        <v>17003</v>
      </c>
    </row>
    <row r="51" spans="1:2">
      <c r="A51" s="2516" t="s">
        <v>2456</v>
      </c>
      <c r="B51" s="2517" t="str">
        <f>'预评函-2'!A7</f>
        <v>——</v>
      </c>
    </row>
    <row r="52" spans="1:2">
      <c r="A52" s="2516" t="s">
        <v>2441</v>
      </c>
      <c r="B52" s="2517" t="str">
        <f>'预评函-2'!R7</f>
        <v>——</v>
      </c>
    </row>
    <row r="53" spans="1:2">
      <c r="A53" s="2516" t="s">
        <v>2457</v>
      </c>
      <c r="B53" s="2517" t="str">
        <f>'预评函-2'!A8</f>
        <v>——</v>
      </c>
    </row>
    <row r="54" spans="1:2" s="2531" customFormat="1" ht="15" thickBot="1">
      <c r="A54" s="2538" t="s">
        <v>2442</v>
      </c>
      <c r="B54" s="2539" t="str">
        <f>'预评函-2'!R8</f>
        <v>——</v>
      </c>
    </row>
    <row r="55" spans="1:2" ht="15" thickTop="1">
      <c r="A55" s="2527" t="s">
        <v>2392</v>
      </c>
      <c r="B55" s="2528" t="str">
        <f>'预评函-3'!A2</f>
        <v>1.权利限制：根据估价对象《不动产权证书》复印件、，截至估价期日，估价对象抵押权未见登记。未设定租赁等其他他项权利。</v>
      </c>
    </row>
    <row r="56" spans="1:2">
      <c r="A56" s="2516" t="s">
        <v>2393</v>
      </c>
      <c r="B56" s="2517" t="str">
        <f>'预评函-3'!A3</f>
        <v>2.基础设施条件：估价对象实际开发程度为红线外六通、宗地红线内场地平整；本次评估设定开发程度为红线外六通、宗地红线内场地平整。</v>
      </c>
    </row>
    <row r="57" spans="1:2">
      <c r="A57" s="2516" t="s">
        <v>2394</v>
      </c>
      <c r="B57" s="2517" t="str">
        <f>'预评函-3'!A4</f>
        <v>3.估价规划限制条件：详见《建设工程规划许可证》[]。</v>
      </c>
    </row>
    <row r="58" spans="1:2" s="2531" customFormat="1" ht="15" thickBot="1">
      <c r="A58" s="2538" t="s">
        <v>2443</v>
      </c>
      <c r="B58" s="2539" t="str">
        <f>'预评函-3'!A5</f>
        <v>4.影响价格的其他限定条件：无。</v>
      </c>
    </row>
    <row r="59" spans="1:2" ht="15" thickTop="1">
      <c r="A59" s="2527" t="s">
        <v>2395</v>
      </c>
      <c r="B59" s="2528" t="str">
        <f>'预评函-3'!A8</f>
        <v>2.本《评估意见函》仅供金融机构进行内部审核使用，不做其他目的之用。</v>
      </c>
    </row>
    <row r="60" spans="1:2">
      <c r="A60" s="2516" t="s">
        <v>2396</v>
      </c>
      <c r="B60" s="2517" t="str">
        <f>'预评函-3'!A9</f>
        <v>3.抵押双方在办理抵押登记手续时，应使用本公司出具的正式《土地估价报告》，特提请报告使用者注意。</v>
      </c>
    </row>
    <row r="61" spans="1:2">
      <c r="A61" s="2516" t="s">
        <v>2398</v>
      </c>
      <c r="B61" s="2517" t="str">
        <f>'预评函-3'!A10</f>
        <v>4.估价师所知悉的法定优先受偿款情况为：</v>
      </c>
    </row>
    <row r="62" spans="1:2">
      <c r="A62" s="2516" t="s">
        <v>2397</v>
      </c>
      <c r="B62" s="2517" t="str">
        <f>'预评函-3'!A11</f>
        <v>（1）根据估价对象《不动产权证书》复印件、，截至估价期日，估价对象抵押权未见登记。</v>
      </c>
    </row>
    <row r="63" spans="1:2">
      <c r="A63" s="2516" t="s">
        <v>2399</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2400</v>
      </c>
      <c r="B64" s="2522" t="str">
        <f>'预评函-3'!A13</f>
        <v>（3）。</v>
      </c>
    </row>
    <row r="65" spans="1:2">
      <c r="A65" s="2516" t="s">
        <v>2401</v>
      </c>
      <c r="B65" s="2523" t="str">
        <f>'预评函-3'!A14</f>
        <v>综上，本次评估不存在估价师知悉的法定优先受偿款</v>
      </c>
    </row>
    <row r="66" spans="1:2">
      <c r="A66" s="2516" t="s">
        <v>2402</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2403</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2406</v>
      </c>
      <c r="B68" s="2542">
        <f>'预评函-3'!D30</f>
        <v>42558</v>
      </c>
    </row>
    <row r="69" spans="1:2" ht="15" thickTop="1">
      <c r="A69" s="2527" t="s">
        <v>2404</v>
      </c>
      <c r="B69" s="2528" t="str">
        <f>'预评函-3'!A20</f>
        <v>崔锴</v>
      </c>
    </row>
    <row r="70" spans="1:2">
      <c r="A70" s="2516" t="s">
        <v>2404</v>
      </c>
      <c r="B70" s="2523">
        <f ca="1">'预评函-3'!B20</f>
        <v>2010110070</v>
      </c>
    </row>
    <row r="71" spans="1:2">
      <c r="A71" s="2516" t="s">
        <v>2405</v>
      </c>
      <c r="B71" s="2517" t="str">
        <f>'预评函-3'!A21</f>
        <v>郑燚</v>
      </c>
    </row>
    <row r="72" spans="1:2" s="2531" customFormat="1" ht="15" thickBot="1">
      <c r="A72" s="2538" t="s">
        <v>2405</v>
      </c>
      <c r="B72" s="2544">
        <f ca="1">'预评函-3'!B21</f>
        <v>2014110011</v>
      </c>
    </row>
    <row r="73" spans="1:2" ht="15" thickTop="1">
      <c r="A73" s="2527" t="s">
        <v>2464</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2465</v>
      </c>
      <c r="B74" s="2524" t="str">
        <f>'预评函-1 (储备)'!A18</f>
        <v>由于本次评估估价目的是评估储备国有建设用地使用权的“抵押价格”，因此本次评估设定土地开发程度为红线外市政基础设施达“六通”、宗地红线内场地平整。</v>
      </c>
    </row>
    <row r="75" spans="1:2" s="2531" customFormat="1" ht="15" thickBot="1">
      <c r="A75" s="2538" t="s">
        <v>2466</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2500</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F52" sqref="F52"/>
    </sheetView>
  </sheetViews>
  <sheetFormatPr defaultColWidth="10" defaultRowHeight="14.25"/>
  <cols>
    <col min="1" max="1" width="15.375" style="1567" customWidth="1"/>
    <col min="2" max="2" width="11.375" style="1567" customWidth="1"/>
    <col min="3" max="3" width="12.625" style="1567" customWidth="1"/>
    <col min="4" max="4" width="14.8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1" t="s">
        <v>1729</v>
      </c>
      <c r="B1" s="3575" t="str">
        <f>IF(B10="北京市","北京市",C10)&amp;F10&amp;B16&amp;"国有建设用地使用权"&amp;B9&amp;"预评估"</f>
        <v>北京市北京市延庆区张山营镇水峪村D-03地块出让国有建设用地使用权抵押价格预评估</v>
      </c>
      <c r="C1" s="3576"/>
      <c r="D1" s="3576"/>
      <c r="E1" s="3576"/>
      <c r="F1" s="3576"/>
      <c r="G1" s="3576"/>
      <c r="H1" s="3576"/>
      <c r="I1" s="3577"/>
      <c r="J1" s="2981"/>
      <c r="K1" s="2263" t="str">
        <f>IF(B10="北京市","北京市",C10)&amp;F10&amp;B16&amp;"国有建设用地使用权"&amp;B9</f>
        <v>北京市北京市延庆区张山营镇水峪村D-03地块出让国有建设用地使用权抵押价格</v>
      </c>
      <c r="L1" s="2960"/>
      <c r="M1" s="2960"/>
      <c r="N1" s="2961"/>
      <c r="O1" s="2962"/>
      <c r="P1" s="2961"/>
      <c r="Q1" s="2961"/>
      <c r="R1" s="2961"/>
      <c r="S1" s="2961"/>
      <c r="T1" s="2961"/>
      <c r="U1" s="2961"/>
    </row>
    <row r="2" spans="1:21">
      <c r="A2" s="1542" t="s">
        <v>1730</v>
      </c>
      <c r="B2" s="1709"/>
      <c r="D2" s="2981"/>
      <c r="E2" s="2981"/>
      <c r="F2" s="2981"/>
      <c r="G2" s="2981"/>
      <c r="H2" s="2982"/>
      <c r="I2" s="2983"/>
      <c r="J2" s="2981"/>
      <c r="K2" s="2263" t="str">
        <f>IF(B10="北京市","北京市",C10)&amp;F10&amp;B16&amp;"国有建设用地使用权"</f>
        <v>北京市北京市延庆区张山营镇水峪村D-03地块出让国有建设用地使用权</v>
      </c>
      <c r="L2" s="2960"/>
      <c r="M2" s="2960"/>
      <c r="N2" s="2961"/>
      <c r="O2" s="2962"/>
      <c r="P2" s="2961"/>
      <c r="Q2" s="2961"/>
      <c r="R2" s="2961"/>
      <c r="S2" s="2961"/>
      <c r="T2" s="2961"/>
      <c r="U2" s="2961"/>
    </row>
    <row r="3" spans="1:21">
      <c r="A3" s="1543" t="s">
        <v>1731</v>
      </c>
      <c r="B3" s="1544">
        <v>44705</v>
      </c>
      <c r="C3" s="2904" t="s">
        <v>1785</v>
      </c>
      <c r="D3" s="1544">
        <f>B3</f>
        <v>44705</v>
      </c>
      <c r="E3" s="2981"/>
      <c r="F3" s="2981"/>
      <c r="G3" s="2981"/>
      <c r="H3" s="2982"/>
      <c r="I3" s="2983"/>
      <c r="J3" s="2981"/>
      <c r="K3" s="2964"/>
      <c r="L3" s="2960"/>
      <c r="M3" s="2960"/>
      <c r="N3" s="2961"/>
      <c r="O3" s="2962"/>
      <c r="P3" s="2961"/>
      <c r="Q3" s="2961"/>
      <c r="R3" s="2961"/>
      <c r="S3" s="2961"/>
      <c r="T3" s="2961"/>
      <c r="U3" s="2961"/>
    </row>
    <row r="4" spans="1:21" ht="15" thickBot="1">
      <c r="A4" s="1546" t="s">
        <v>1732</v>
      </c>
      <c r="B4" s="1710" t="s">
        <v>3330</v>
      </c>
      <c r="C4" s="1713">
        <f ca="1">SUMIF(土地估价师,B4,估价师及机构信息!E3:E17)</f>
        <v>2010110070</v>
      </c>
      <c r="D4" s="1710" t="s">
        <v>3331</v>
      </c>
      <c r="E4" s="1713">
        <f ca="1">SUMIF(土地估价师,D4,估价师及机构信息!E3:E17)</f>
        <v>2014110011</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崔锴、郑燚</v>
      </c>
      <c r="L4" s="2960"/>
      <c r="M4" s="2960"/>
      <c r="N4" s="2961"/>
      <c r="O4" s="2962"/>
      <c r="P4" s="2961"/>
      <c r="Q4" s="2961"/>
      <c r="R4" s="2961"/>
      <c r="S4" s="2961"/>
      <c r="T4" s="2961"/>
      <c r="U4" s="2961"/>
    </row>
    <row r="5" spans="1:21" ht="15" thickTop="1">
      <c r="A5" s="1547" t="s">
        <v>1733</v>
      </c>
      <c r="B5" s="1657" t="str">
        <f>资料!C72</f>
        <v>北京辉煌凯盛旅游产业有限公司</v>
      </c>
      <c r="C5" s="1548"/>
      <c r="D5" s="1549"/>
      <c r="E5" s="2981"/>
      <c r="F5" s="2981"/>
      <c r="G5" s="2981"/>
      <c r="H5" s="2982"/>
      <c r="I5" s="2983"/>
      <c r="J5" s="2981"/>
      <c r="K5" s="2964"/>
      <c r="L5" s="2960"/>
      <c r="M5" s="2960"/>
      <c r="N5" s="2961"/>
      <c r="O5" s="2962"/>
      <c r="P5" s="2961"/>
      <c r="Q5" s="2961"/>
      <c r="R5" s="2961"/>
      <c r="S5" s="2961"/>
      <c r="T5" s="2961"/>
      <c r="U5" s="2961"/>
    </row>
    <row r="6" spans="1:21" ht="26.25">
      <c r="A6" s="1545" t="s">
        <v>2420</v>
      </c>
      <c r="B6" s="1657" t="s">
        <v>3332</v>
      </c>
      <c r="C6" s="1632"/>
      <c r="D6" s="1550"/>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1" t="s">
        <v>2421</v>
      </c>
      <c r="B7" s="1657" t="str">
        <f>B5</f>
        <v>北京辉煌凯盛旅游产业有限公司</v>
      </c>
      <c r="C7" s="1632"/>
      <c r="D7" s="1550"/>
      <c r="E7" s="2981"/>
      <c r="F7" s="2981"/>
      <c r="G7" s="2981"/>
      <c r="H7" s="2982"/>
      <c r="I7" s="2983"/>
      <c r="J7" s="2981"/>
      <c r="K7" s="2964"/>
      <c r="L7" s="2960"/>
      <c r="M7" s="2960"/>
      <c r="N7" s="2961"/>
      <c r="O7" s="2962"/>
      <c r="P7" s="2961"/>
      <c r="Q7" s="2961"/>
      <c r="R7" s="2961"/>
      <c r="S7" s="2961"/>
      <c r="T7" s="2961"/>
      <c r="U7" s="2961"/>
    </row>
    <row r="8" spans="1:21">
      <c r="A8" s="2905" t="s">
        <v>1734</v>
      </c>
      <c r="B8" s="1552" t="s">
        <v>2677</v>
      </c>
      <c r="C8" s="1553"/>
      <c r="D8" s="3581" t="s">
        <v>1736</v>
      </c>
      <c r="E8" s="1711" t="s">
        <v>3333</v>
      </c>
      <c r="F8" s="1554"/>
      <c r="G8" s="2982"/>
      <c r="H8" s="2982"/>
      <c r="I8" s="2985"/>
      <c r="J8" s="2981"/>
      <c r="K8" s="2964"/>
      <c r="L8" s="2960"/>
      <c r="M8" s="2960"/>
      <c r="N8" s="2961"/>
      <c r="O8" s="2962"/>
      <c r="P8" s="2961"/>
      <c r="Q8" s="2961"/>
      <c r="R8" s="2961"/>
      <c r="S8" s="2961"/>
      <c r="T8" s="2961"/>
      <c r="U8" s="2961"/>
    </row>
    <row r="9" spans="1:21" ht="15" thickBot="1">
      <c r="A9" s="2906" t="s">
        <v>1735</v>
      </c>
      <c r="B9" s="1555" t="s">
        <v>3333</v>
      </c>
      <c r="C9" s="1556"/>
      <c r="D9" s="3582"/>
      <c r="E9" s="1555" t="s">
        <v>931</v>
      </c>
      <c r="F9" s="1618"/>
      <c r="G9" s="2986"/>
      <c r="H9" s="2986"/>
      <c r="I9" s="2987"/>
      <c r="J9" s="2981"/>
      <c r="K9" s="2964"/>
      <c r="L9" s="2960"/>
      <c r="M9" s="2960"/>
      <c r="N9" s="2961"/>
      <c r="O9" s="2962"/>
      <c r="P9" s="2961"/>
      <c r="Q9" s="2961"/>
      <c r="R9" s="2961"/>
      <c r="S9" s="2961"/>
      <c r="T9" s="2961"/>
      <c r="U9" s="2961"/>
    </row>
    <row r="10" spans="1:21" ht="15" thickTop="1">
      <c r="A10" s="2907" t="s">
        <v>1788</v>
      </c>
      <c r="B10" s="1594" t="s">
        <v>1737</v>
      </c>
      <c r="C10" s="1557"/>
      <c r="D10" s="1549"/>
      <c r="E10" s="1558" t="s">
        <v>1738</v>
      </c>
      <c r="F10" s="3464" t="str">
        <f>资料!D73</f>
        <v>北京市延庆区张山营镇水峪村D-03地块</v>
      </c>
      <c r="G10" s="1616"/>
      <c r="H10" s="1617"/>
      <c r="I10" s="1549"/>
      <c r="J10" s="2981"/>
      <c r="K10" s="2964"/>
      <c r="L10" s="2960"/>
      <c r="M10" s="2960"/>
      <c r="N10" s="2961"/>
      <c r="O10" s="2962"/>
      <c r="P10" s="2961"/>
      <c r="Q10" s="2961"/>
      <c r="R10" s="2961"/>
      <c r="S10" s="2961"/>
      <c r="T10" s="2961"/>
      <c r="U10" s="2961"/>
    </row>
    <row r="11" spans="1:21" ht="42.75">
      <c r="A11" s="2908" t="s">
        <v>1789</v>
      </c>
      <c r="B11" s="1573" t="s">
        <v>3334</v>
      </c>
      <c r="C11" s="1559" t="str">
        <f>B5</f>
        <v>北京辉煌凯盛旅游产业有限公司</v>
      </c>
      <c r="D11" s="1633"/>
      <c r="E11" s="2980"/>
      <c r="F11" s="2980"/>
      <c r="G11" s="2980"/>
      <c r="H11" s="2980"/>
      <c r="I11" s="2980"/>
      <c r="J11" s="2981"/>
      <c r="K11" s="2964"/>
      <c r="L11" s="2960"/>
      <c r="M11" s="2960"/>
      <c r="N11" s="2961"/>
      <c r="O11" s="2962"/>
      <c r="P11" s="2961"/>
      <c r="Q11" s="2961"/>
      <c r="R11" s="2961"/>
      <c r="S11" s="2961"/>
      <c r="T11" s="2961"/>
      <c r="U11" s="2961"/>
    </row>
    <row r="12" spans="1:21">
      <c r="A12" s="1653" t="s">
        <v>1847</v>
      </c>
      <c r="B12" s="3578" t="str">
        <f>资料!F74</f>
        <v>商业、办公、地下仓储</v>
      </c>
      <c r="C12" s="3579"/>
      <c r="D12" s="3580"/>
      <c r="E12" s="1574" t="s">
        <v>1850</v>
      </c>
      <c r="F12" s="3596" t="s">
        <v>3335</v>
      </c>
      <c r="G12" s="3597"/>
      <c r="H12" s="3597"/>
      <c r="I12" s="3598"/>
      <c r="J12" s="2981"/>
      <c r="K12" s="2964"/>
      <c r="L12" s="2960"/>
      <c r="M12" s="2960"/>
      <c r="N12" s="2961"/>
      <c r="O12" s="2962"/>
      <c r="P12" s="2961"/>
      <c r="Q12" s="2961"/>
      <c r="R12" s="2961"/>
      <c r="S12" s="2961"/>
      <c r="T12" s="2961"/>
      <c r="U12" s="2961"/>
    </row>
    <row r="13" spans="1:21">
      <c r="A13" s="1565" t="s">
        <v>1848</v>
      </c>
      <c r="B13" s="3578" t="s">
        <v>3338</v>
      </c>
      <c r="C13" s="3579"/>
      <c r="D13" s="3580"/>
      <c r="E13" s="1574" t="s">
        <v>1850</v>
      </c>
      <c r="F13" s="3596" t="s">
        <v>3339</v>
      </c>
      <c r="G13" s="3597"/>
      <c r="H13" s="3597"/>
      <c r="I13" s="3598"/>
      <c r="J13" s="2981"/>
      <c r="K13" s="2964"/>
      <c r="L13" s="2960"/>
      <c r="M13" s="2960"/>
      <c r="N13" s="2961"/>
      <c r="O13" s="2962"/>
      <c r="P13" s="2961"/>
      <c r="Q13" s="2961"/>
      <c r="R13" s="2961"/>
      <c r="S13" s="2961"/>
      <c r="T13" s="2961"/>
      <c r="U13" s="2961"/>
    </row>
    <row r="14" spans="1:21">
      <c r="A14" s="1543" t="s">
        <v>1851</v>
      </c>
      <c r="B14" s="1574"/>
      <c r="C14" s="1712" t="s">
        <v>3340</v>
      </c>
      <c r="D14" s="1608" t="str">
        <f>IF(C14="不一致","是否符合证载地类范围","")</f>
        <v/>
      </c>
      <c r="E14" s="1574"/>
      <c r="F14" s="1658" t="s">
        <v>3341</v>
      </c>
      <c r="G14" s="1603"/>
      <c r="H14" s="1603"/>
      <c r="I14" s="1705"/>
      <c r="J14" s="2981"/>
      <c r="K14" s="2964"/>
      <c r="L14" s="2960"/>
      <c r="M14" s="2960"/>
      <c r="N14" s="2961"/>
      <c r="O14" s="2962"/>
      <c r="P14" s="2961"/>
      <c r="Q14" s="2961"/>
      <c r="R14" s="2961"/>
      <c r="S14" s="2961"/>
      <c r="T14" s="2961"/>
      <c r="U14" s="2961"/>
    </row>
    <row r="15" spans="1:21" hidden="1">
      <c r="A15" s="2408"/>
      <c r="B15" s="1545"/>
      <c r="C15" s="1545"/>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42.75">
      <c r="A16" s="2909" t="s">
        <v>1739</v>
      </c>
      <c r="B16" s="1560" t="s">
        <v>3184</v>
      </c>
      <c r="C16" s="1574" t="s">
        <v>1740</v>
      </c>
      <c r="D16" s="2409" t="s">
        <v>1741</v>
      </c>
      <c r="E16" s="1597" t="s">
        <v>3336</v>
      </c>
      <c r="F16" s="1597" t="s">
        <v>1477</v>
      </c>
      <c r="G16" s="1597"/>
      <c r="H16" s="1597" t="s">
        <v>3342</v>
      </c>
      <c r="I16" s="1564" t="s">
        <v>1746</v>
      </c>
      <c r="J16" s="2981"/>
      <c r="K16" s="2264" t="str">
        <f>IF(D17="","",D16&amp;TEXT(D17,"yyyy年m月d日;;"))</f>
        <v/>
      </c>
      <c r="L16" s="1574" t="str">
        <f>IF(OR(K16="",M16=""),"","、")</f>
        <v/>
      </c>
      <c r="M16" s="2264" t="str">
        <f>IF(E17="","",E16&amp;TEXT(E17,"yyyy年m月d日;;"))</f>
        <v>商业2058年4月2日</v>
      </c>
      <c r="N16" s="1574" t="str">
        <f>IF(OR(M16="",O16=""),"","、")</f>
        <v>、</v>
      </c>
      <c r="O16" s="2264" t="str">
        <f>IF(F17="","",F16&amp;TEXT(F17,"yyyy年m月d日;;"))</f>
        <v>办公2068年4月2日</v>
      </c>
      <c r="P16" s="1574" t="str">
        <f>IF(OR(O16="",Q16=""),"","、")</f>
        <v/>
      </c>
      <c r="Q16" s="2264" t="str">
        <f>IF(G17="","",G16&amp;TEXT(G17,"yyyy年m月d日;;"))</f>
        <v/>
      </c>
      <c r="R16" s="1574" t="str">
        <f>IF(OR(Q16="",S16=""),"","、")</f>
        <v/>
      </c>
      <c r="S16" s="2264" t="str">
        <f>IF(H17="","",H16&amp;TEXT(H17,"yyyy年m月d日;;"))</f>
        <v>地下仓储2068年4月2日</v>
      </c>
      <c r="T16" s="1574" t="str">
        <f>IF(OR(S16="",U16=""),"","、")</f>
        <v/>
      </c>
      <c r="U16" s="2264" t="str">
        <f>IF(I17="","",I16&amp;TEXT(I17,"yyyy年m月d日;;"))</f>
        <v/>
      </c>
    </row>
    <row r="17" spans="1:21">
      <c r="A17" s="1634"/>
      <c r="B17" s="1561"/>
      <c r="C17" s="2910" t="s">
        <v>1747</v>
      </c>
      <c r="D17" s="1575"/>
      <c r="E17" s="1575">
        <f>资料!H74</f>
        <v>57802</v>
      </c>
      <c r="F17" s="1575">
        <f>资料!I74</f>
        <v>61455</v>
      </c>
      <c r="G17" s="1575"/>
      <c r="H17" s="1575">
        <f>F17</f>
        <v>61455</v>
      </c>
      <c r="I17" s="1575"/>
      <c r="J17" s="2981"/>
      <c r="K17" s="2959" t="str">
        <f>CONCATENATE(K16,L16,M16,N16,O16,P16,Q16,R16,S16,T16,,U16)</f>
        <v>商业2058年4月2日、办公2068年4月2日地下仓储2068年4月2日</v>
      </c>
      <c r="L17" s="2960"/>
      <c r="M17" s="2960"/>
      <c r="N17" s="2961"/>
      <c r="O17" s="2962"/>
      <c r="P17" s="2961"/>
      <c r="Q17" s="2961"/>
      <c r="R17" s="2961"/>
      <c r="S17" s="2961"/>
      <c r="T17" s="2961"/>
      <c r="U17" s="2961"/>
    </row>
    <row r="18" spans="1:21">
      <c r="A18" s="1634"/>
      <c r="B18" s="1561"/>
      <c r="C18" s="2910" t="s">
        <v>1748</v>
      </c>
      <c r="D18" s="1562"/>
      <c r="E18" s="1562">
        <v>40</v>
      </c>
      <c r="F18" s="1562">
        <v>50</v>
      </c>
      <c r="G18" s="1562"/>
      <c r="H18" s="1562">
        <v>50</v>
      </c>
      <c r="I18" s="1562"/>
      <c r="J18" s="2981"/>
      <c r="K18" s="2964"/>
      <c r="L18" s="2960"/>
      <c r="M18" s="2960"/>
      <c r="N18" s="2961"/>
      <c r="O18" s="2962"/>
      <c r="P18" s="2961"/>
      <c r="Q18" s="2961"/>
      <c r="R18" s="2961"/>
      <c r="S18" s="2961"/>
      <c r="T18" s="2961"/>
      <c r="U18" s="2961"/>
    </row>
    <row r="19" spans="1:21">
      <c r="A19" s="1634"/>
      <c r="B19" s="1561"/>
      <c r="C19" s="1542" t="s">
        <v>1749</v>
      </c>
      <c r="D19" s="1629" t="str">
        <f>IF(B16="出让",IF(D17="","",ROUNDDOWN(MIN((D17-$D$3)/365,D18),2)),D18)</f>
        <v/>
      </c>
      <c r="E19" s="1563">
        <f>IF(B16="出让",IF(E17="","",ROUNDDOWN(MIN((E17-$D$3)/365,E18),2)),E18)</f>
        <v>35.880000000000003</v>
      </c>
      <c r="F19" s="1563">
        <f>IF(B16="出让",IF(F17="","",ROUNDDOWN(MIN((F17-$D$3)/365,F18),2)),F18)</f>
        <v>45.89</v>
      </c>
      <c r="G19" s="1563" t="str">
        <f>IF(B16="出让",IF(G17="","",ROUNDDOWN(MIN((G17-$D$3)/365,G18),2)),G18)</f>
        <v/>
      </c>
      <c r="H19" s="1563">
        <f>IF(B16="出让",IF(H17="","",ROUNDDOWN(MIN((H17-$D$3)/365,H18),2)),H18)</f>
        <v>45.89</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1849</v>
      </c>
      <c r="D20" s="3593"/>
      <c r="E20" s="3594"/>
      <c r="F20" s="3594"/>
      <c r="G20" s="3594"/>
      <c r="H20" s="3594"/>
      <c r="I20" s="3595"/>
      <c r="J20" s="2981"/>
      <c r="K20" s="2964"/>
      <c r="L20" s="2960"/>
      <c r="M20" s="2960"/>
      <c r="N20" s="2961"/>
      <c r="O20" s="2962"/>
      <c r="P20" s="2961"/>
      <c r="Q20" s="2961"/>
      <c r="R20" s="2961"/>
      <c r="S20" s="2961"/>
      <c r="T20" s="2961"/>
      <c r="U20" s="2961"/>
    </row>
    <row r="21" spans="1:21">
      <c r="A21" s="1634" t="s">
        <v>1750</v>
      </c>
      <c r="B21" s="1635" t="s">
        <v>1751</v>
      </c>
      <c r="C21" s="1630">
        <f>'数据-汇总表'!E3</f>
        <v>26725.120000000003</v>
      </c>
      <c r="D21" s="1631" t="s">
        <v>1752</v>
      </c>
      <c r="E21" s="3583" t="s">
        <v>3343</v>
      </c>
      <c r="F21" s="3584"/>
      <c r="G21" s="3584"/>
      <c r="H21" s="3584"/>
      <c r="I21" s="3585"/>
      <c r="J21" s="2981"/>
      <c r="K21" s="2964"/>
      <c r="L21" s="2960"/>
      <c r="M21" s="2960"/>
      <c r="N21" s="2961"/>
      <c r="O21" s="2962"/>
      <c r="P21" s="2961"/>
      <c r="Q21" s="2961"/>
      <c r="R21" s="2961"/>
      <c r="S21" s="2961"/>
      <c r="T21" s="2961"/>
      <c r="U21" s="2961"/>
    </row>
    <row r="22" spans="1:21">
      <c r="A22" s="2719" t="s">
        <v>931</v>
      </c>
      <c r="B22" s="1543" t="s">
        <v>1753</v>
      </c>
      <c r="C22" s="1564">
        <f>'数据-汇总表'!D3</f>
        <v>30101.08</v>
      </c>
      <c r="D22" s="1565" t="s">
        <v>1752</v>
      </c>
      <c r="E22" s="3583" t="s">
        <v>3344</v>
      </c>
      <c r="F22" s="3584"/>
      <c r="G22" s="3584"/>
      <c r="H22" s="3584"/>
      <c r="I22" s="3585"/>
      <c r="J22" s="2981"/>
      <c r="K22" s="2964"/>
      <c r="L22" s="2960"/>
      <c r="M22" s="2960"/>
      <c r="N22" s="2961"/>
      <c r="O22" s="2962"/>
      <c r="P22" s="2961"/>
      <c r="Q22" s="2961"/>
      <c r="R22" s="2961"/>
      <c r="S22" s="2961"/>
      <c r="T22" s="2961"/>
      <c r="U22" s="2961"/>
    </row>
    <row r="23" spans="1:21" ht="29.25" thickBot="1">
      <c r="A23" s="1636" t="s">
        <v>1754</v>
      </c>
      <c r="B23" s="1576" t="s">
        <v>1755</v>
      </c>
      <c r="C23" s="1577" t="s">
        <v>3345</v>
      </c>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86" t="s">
        <v>1758</v>
      </c>
      <c r="C24" s="3587"/>
      <c r="D24" s="3588" t="s">
        <v>1759</v>
      </c>
      <c r="E24" s="3589"/>
      <c r="F24" s="1583" t="s">
        <v>1760</v>
      </c>
      <c r="G24" s="2981"/>
      <c r="H24" s="2981"/>
      <c r="I24" s="2985"/>
      <c r="J24" s="2981"/>
      <c r="K24" s="3574" t="s">
        <v>1761</v>
      </c>
      <c r="L24" s="226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598"/>
      <c r="N24" s="2961"/>
      <c r="O24" s="2962"/>
      <c r="P24" s="2961"/>
      <c r="Q24" s="2961"/>
      <c r="R24" s="2961"/>
      <c r="S24" s="2961"/>
      <c r="T24" s="2961"/>
      <c r="U24" s="2961"/>
    </row>
    <row r="25" spans="1:21" ht="28.5">
      <c r="A25" s="1622"/>
      <c r="B25" s="1619" t="s">
        <v>2112</v>
      </c>
      <c r="C25" s="1584" t="s">
        <v>2113</v>
      </c>
      <c r="D25" s="1585"/>
      <c r="E25" s="1586" t="s">
        <v>931</v>
      </c>
      <c r="F25" s="1587"/>
      <c r="G25" s="2981"/>
      <c r="H25" s="2981"/>
      <c r="I25" s="2985"/>
      <c r="J25" s="2981"/>
      <c r="K25" s="3574"/>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98"/>
      <c r="N25" s="2961"/>
      <c r="O25" s="2962"/>
      <c r="P25" s="2961"/>
      <c r="Q25" s="2961"/>
      <c r="R25" s="2961"/>
      <c r="S25" s="2961"/>
      <c r="T25" s="2961"/>
      <c r="U25" s="2961"/>
    </row>
    <row r="26" spans="1:21" ht="15" thickBot="1">
      <c r="A26" s="1623"/>
      <c r="B26" s="1620"/>
      <c r="C26" s="1584"/>
      <c r="D26" s="2982"/>
      <c r="E26" s="2982"/>
      <c r="F26" s="2988"/>
      <c r="G26" s="2981"/>
      <c r="H26" s="2981"/>
      <c r="I26" s="2985"/>
      <c r="J26" s="2981"/>
      <c r="K26" s="3574"/>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1762</v>
      </c>
      <c r="B27" s="1624" t="s">
        <v>1763</v>
      </c>
      <c r="C27" s="1588"/>
      <c r="D27" s="2414" t="s">
        <v>1763</v>
      </c>
      <c r="E27" s="1589"/>
      <c r="F27" s="2988"/>
      <c r="G27" s="2981"/>
      <c r="H27" s="2981"/>
      <c r="I27" s="2985"/>
      <c r="J27" s="2981"/>
      <c r="K27" s="2964"/>
      <c r="L27" s="2960"/>
      <c r="M27" s="2960"/>
      <c r="N27" s="2961"/>
      <c r="O27" s="2962"/>
      <c r="P27" s="2961"/>
      <c r="Q27" s="2961"/>
      <c r="R27" s="2961"/>
      <c r="S27" s="2961"/>
      <c r="T27" s="2961"/>
      <c r="U27" s="2961"/>
    </row>
    <row r="28" spans="1:21">
      <c r="A28" s="1627"/>
      <c r="B28" s="1624" t="s">
        <v>1764</v>
      </c>
      <c r="C28" s="1590"/>
      <c r="D28" s="2415" t="s">
        <v>1764</v>
      </c>
      <c r="E28" s="1591"/>
      <c r="F28" s="2988"/>
      <c r="G28" s="2981"/>
      <c r="H28" s="2981"/>
      <c r="I28" s="2985"/>
      <c r="J28" s="2981"/>
      <c r="K28" s="2964"/>
      <c r="L28" s="2960"/>
      <c r="M28" s="2960"/>
      <c r="N28" s="2961"/>
      <c r="O28" s="2962"/>
      <c r="P28" s="2961"/>
      <c r="Q28" s="2961"/>
      <c r="R28" s="2961"/>
      <c r="S28" s="2961"/>
      <c r="T28" s="2961"/>
      <c r="U28" s="2961"/>
    </row>
    <row r="29" spans="1:21">
      <c r="A29" s="1627"/>
      <c r="B29" s="1624" t="s">
        <v>1765</v>
      </c>
      <c r="C29" s="1590"/>
      <c r="D29" s="2415" t="s">
        <v>1765</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1766</v>
      </c>
      <c r="C30" s="1592"/>
      <c r="D30" s="2416" t="s">
        <v>1766</v>
      </c>
      <c r="E30" s="1593"/>
      <c r="F30" s="2989"/>
      <c r="G30" s="2986"/>
      <c r="H30" s="2986"/>
      <c r="I30" s="2987"/>
      <c r="J30" s="2981"/>
      <c r="K30" s="2964"/>
      <c r="L30" s="2960"/>
      <c r="M30" s="2960"/>
      <c r="N30" s="2961"/>
      <c r="O30" s="2962"/>
      <c r="P30" s="2961"/>
      <c r="Q30" s="2961"/>
      <c r="R30" s="2961"/>
      <c r="S30" s="2961"/>
      <c r="T30" s="2961"/>
      <c r="U30" s="2961"/>
    </row>
    <row r="31" spans="1:21" ht="15" thickTop="1">
      <c r="A31" s="3560" t="s">
        <v>1790</v>
      </c>
      <c r="B31" s="1635" t="s">
        <v>1791</v>
      </c>
      <c r="C31" s="3599" t="s">
        <v>3346</v>
      </c>
      <c r="D31" s="3600"/>
      <c r="E31" s="2981"/>
      <c r="F31" s="2981"/>
      <c r="G31" s="2981"/>
      <c r="H31" s="2981"/>
      <c r="I31" s="2985"/>
      <c r="J31" s="2981"/>
      <c r="K31" s="2967"/>
      <c r="L31" s="2961"/>
      <c r="M31" s="2961"/>
      <c r="N31" s="2961"/>
      <c r="O31" s="2961"/>
      <c r="P31" s="2961"/>
      <c r="Q31" s="2961"/>
      <c r="R31" s="2961"/>
      <c r="S31" s="2961"/>
      <c r="T31" s="2961"/>
      <c r="U31" s="2961"/>
    </row>
    <row r="32" spans="1:21">
      <c r="A32" s="3560"/>
      <c r="B32" s="1543" t="s">
        <v>1792</v>
      </c>
      <c r="C32" s="1594" t="s">
        <v>3347</v>
      </c>
      <c r="D32" s="1595"/>
      <c r="E32" s="2981"/>
      <c r="F32" s="2981"/>
      <c r="G32" s="2981"/>
      <c r="H32" s="2981"/>
      <c r="I32" s="2985"/>
      <c r="J32" s="2981"/>
      <c r="K32" s="2967"/>
      <c r="L32" s="2961"/>
      <c r="M32" s="2961"/>
      <c r="N32" s="2961"/>
      <c r="O32" s="2961"/>
      <c r="P32" s="2961"/>
      <c r="Q32" s="2961"/>
      <c r="R32" s="2961"/>
      <c r="S32" s="2961"/>
      <c r="T32" s="2961"/>
      <c r="U32" s="2961"/>
    </row>
    <row r="33" spans="1:28">
      <c r="A33" s="3560"/>
      <c r="B33" s="1543" t="s">
        <v>1793</v>
      </c>
      <c r="C33" s="1596" t="s">
        <v>3345</v>
      </c>
      <c r="D33" s="1706"/>
      <c r="E33" s="2981"/>
      <c r="F33" s="2981"/>
      <c r="G33" s="2981"/>
      <c r="H33" s="2981"/>
      <c r="I33" s="2985"/>
      <c r="J33" s="2981"/>
      <c r="K33" s="2967"/>
      <c r="L33" s="2961"/>
      <c r="M33" s="2961"/>
      <c r="N33" s="2961"/>
      <c r="O33" s="2961"/>
      <c r="P33" s="2961"/>
      <c r="Q33" s="2961"/>
      <c r="R33" s="2961"/>
      <c r="S33" s="2961"/>
      <c r="T33" s="2961"/>
      <c r="U33" s="2961"/>
    </row>
    <row r="34" spans="1:28">
      <c r="A34" s="3561"/>
      <c r="B34" s="1543" t="s">
        <v>1794</v>
      </c>
      <c r="C34" s="3562"/>
      <c r="D34" s="3563"/>
      <c r="E34" s="2981"/>
      <c r="F34" s="2981"/>
      <c r="G34" s="2981"/>
      <c r="H34" s="2981"/>
      <c r="I34" s="2985"/>
      <c r="J34" s="2981"/>
      <c r="K34" s="2967"/>
      <c r="L34" s="2961"/>
      <c r="M34" s="2961"/>
      <c r="N34" s="2961"/>
      <c r="O34" s="2961"/>
      <c r="P34" s="2961"/>
      <c r="Q34" s="2961"/>
      <c r="R34" s="2961"/>
      <c r="S34" s="2961"/>
      <c r="T34" s="2961"/>
      <c r="U34" s="2961"/>
    </row>
    <row r="35" spans="1:28">
      <c r="A35" s="3564" t="s">
        <v>827</v>
      </c>
      <c r="B35" s="1597" t="s">
        <v>3348</v>
      </c>
      <c r="C35" s="1644" t="str">
        <f>IF(B35="场地平整","——","具体情况：")</f>
        <v>——</v>
      </c>
      <c r="D35" s="3566"/>
      <c r="E35" s="3567"/>
      <c r="F35" s="3567"/>
      <c r="G35" s="3567"/>
      <c r="H35" s="3567"/>
      <c r="I35" s="3568"/>
      <c r="J35" s="2981"/>
      <c r="K35" s="2968"/>
      <c r="L35" s="2960"/>
      <c r="M35" s="2960"/>
      <c r="N35" s="2961"/>
      <c r="O35" s="2962"/>
      <c r="P35" s="2961"/>
      <c r="Q35" s="2961"/>
      <c r="R35" s="2961"/>
      <c r="S35" s="2961"/>
      <c r="T35" s="2961"/>
      <c r="U35" s="2961"/>
    </row>
    <row r="36" spans="1:28">
      <c r="A36" s="3560"/>
      <c r="B36" s="3569" t="s">
        <v>1843</v>
      </c>
      <c r="C36" s="3570"/>
      <c r="D36" s="1660" t="s">
        <v>3349</v>
      </c>
      <c r="E36" s="3571"/>
      <c r="F36" s="3571"/>
      <c r="G36" s="1565" t="str">
        <f>IF(B35="场地未平整","估价结果处理","")</f>
        <v/>
      </c>
      <c r="H36" s="3572"/>
      <c r="I36" s="3572"/>
      <c r="J36" s="2981"/>
      <c r="K36" s="2968"/>
      <c r="L36" s="2960"/>
      <c r="M36" s="2960"/>
      <c r="N36" s="2961"/>
      <c r="O36" s="2962"/>
      <c r="P36" s="2961"/>
      <c r="Q36" s="2961"/>
      <c r="R36" s="2961"/>
      <c r="S36" s="2961"/>
      <c r="T36" s="2961"/>
      <c r="U36" s="2961"/>
    </row>
    <row r="37" spans="1:28" ht="28.5">
      <c r="A37" s="3560"/>
      <c r="B37" s="3590"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60"/>
      <c r="B38" s="3591"/>
      <c r="C38" s="1551" t="s">
        <v>830</v>
      </c>
      <c r="D38" s="1659">
        <f>ROUNDDOWN(MIN(('数据-取费表'!$B$2-D37)/365,D34),1)</f>
        <v>122.4</v>
      </c>
      <c r="E38" s="1602" t="s">
        <v>831</v>
      </c>
      <c r="F38" s="2981"/>
      <c r="G38" s="2981"/>
      <c r="H38" s="2981"/>
      <c r="I38" s="2985"/>
      <c r="J38" s="2981"/>
      <c r="K38" s="2968"/>
      <c r="L38" s="2961"/>
      <c r="M38" s="2961"/>
      <c r="N38" s="2961"/>
      <c r="O38" s="2961"/>
      <c r="P38" s="2961"/>
      <c r="Q38" s="2961"/>
      <c r="R38" s="2961"/>
      <c r="S38" s="2961"/>
      <c r="T38" s="2961"/>
      <c r="U38" s="2961"/>
    </row>
    <row r="39" spans="1:28">
      <c r="A39" s="3561"/>
      <c r="B39" s="3592"/>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1767</v>
      </c>
      <c r="B40" s="1566" t="s">
        <v>3350</v>
      </c>
      <c r="C40" s="1566" t="s">
        <v>3351</v>
      </c>
      <c r="D40" s="1566" t="s">
        <v>3352</v>
      </c>
      <c r="E40" s="1566" t="s">
        <v>3353</v>
      </c>
      <c r="F40" s="1566" t="s">
        <v>3354</v>
      </c>
      <c r="G40" s="1566" t="s">
        <v>931</v>
      </c>
      <c r="H40" s="1566" t="s">
        <v>3355</v>
      </c>
      <c r="I40" s="2985"/>
      <c r="J40" s="2981"/>
      <c r="K40" s="2929">
        <f>COUNTIF(B40:H40,"——")</f>
        <v>1</v>
      </c>
      <c r="L40" s="1574" t="s">
        <v>1768</v>
      </c>
      <c r="M40" s="1571" t="s">
        <v>1769</v>
      </c>
      <c r="N40" s="1571" t="s">
        <v>1770</v>
      </c>
      <c r="O40" s="1571" t="s">
        <v>1771</v>
      </c>
      <c r="P40" s="1571" t="s">
        <v>1772</v>
      </c>
      <c r="Q40" s="1571" t="s">
        <v>1773</v>
      </c>
      <c r="R40" s="1571" t="s">
        <v>1774</v>
      </c>
      <c r="S40" s="3573" t="s">
        <v>1775</v>
      </c>
      <c r="T40" s="1606" t="str">
        <f>NUMBERSTRING(7-K40,1)&amp;"通"</f>
        <v>六通</v>
      </c>
      <c r="U40" s="2961"/>
    </row>
    <row r="41" spans="1:28">
      <c r="A41" s="1545"/>
      <c r="B41" s="3565" t="s">
        <v>1521</v>
      </c>
      <c r="C41" s="3565"/>
      <c r="D41" s="3565"/>
      <c r="E41" s="3565"/>
      <c r="F41" s="1607">
        <f>C10</f>
        <v>0</v>
      </c>
      <c r="G41" s="2981"/>
      <c r="H41" s="2981"/>
      <c r="I41" s="2985"/>
      <c r="J41" s="2981"/>
      <c r="K41" s="1574"/>
      <c r="L41" s="1571" t="str">
        <f>B40</f>
        <v>通路</v>
      </c>
      <c r="M41" s="1608" t="str">
        <f>B40&amp;"、"&amp;C40</f>
        <v>通路、通电</v>
      </c>
      <c r="N41" s="1609" t="str">
        <f>B40&amp;"、"&amp;C40&amp;"、"&amp;D40</f>
        <v>通路、通电、通讯</v>
      </c>
      <c r="O41" s="1609" t="str">
        <f>B40&amp;"、"&amp;C40&amp;"、"&amp;D40&amp;"、"&amp;E40</f>
        <v>通路、通电、通讯、通上水</v>
      </c>
      <c r="P41" s="1609" t="str">
        <f>B40&amp;"、"&amp;C40&amp;"、"&amp;D40&amp;"、"&amp;E40&amp;"、"&amp;F40</f>
        <v>通路、通电、通讯、通上水、通下水</v>
      </c>
      <c r="Q41" s="1609" t="str">
        <f>B40&amp;"、"&amp;C40&amp;"、"&amp;D40&amp;"、"&amp;E40&amp;"、"&amp;F40&amp;"、"&amp;G40</f>
        <v>通路、通电、通讯、通上水、通下水、——</v>
      </c>
      <c r="R41" s="1609" t="str">
        <f>B40&amp;"、"&amp;C40&amp;"、"&amp;D40&amp;"、"&amp;E40&amp;"、"&amp;F40&amp;"、"&amp;G40&amp;"、"&amp;H40</f>
        <v>通路、通电、通讯、通上水、通下水、——、燃气</v>
      </c>
      <c r="S41" s="3573"/>
      <c r="T41" s="1608" t="str">
        <f>IF(T40="一通",L41,IF(T40="二通",M41,IF(T40="三通",N41,IF(T40="四通",O41,IF(T40="五通",P41,IF(T40="六通",Q41,R41))))))</f>
        <v>通路、通电、通讯、通上水、通下水、——</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t="s">
        <v>3356</v>
      </c>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3465" t="s">
        <v>1263</v>
      </c>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2598</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1795</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1796</v>
      </c>
      <c r="B48" s="1564" t="s">
        <v>1797</v>
      </c>
      <c r="C48" s="1564" t="s">
        <v>1798</v>
      </c>
      <c r="D48" s="1564" t="s">
        <v>1799</v>
      </c>
      <c r="E48" s="1564" t="s">
        <v>1800</v>
      </c>
      <c r="F48" s="1564" t="s">
        <v>1801</v>
      </c>
      <c r="G48" s="1564" t="s">
        <v>1802</v>
      </c>
      <c r="H48" s="1564" t="s">
        <v>1803</v>
      </c>
      <c r="I48" s="1564" t="s">
        <v>1804</v>
      </c>
      <c r="J48" s="1643" t="s">
        <v>1805</v>
      </c>
      <c r="K48" s="2974" t="s">
        <v>1806</v>
      </c>
      <c r="L48" s="2974" t="s">
        <v>1807</v>
      </c>
      <c r="M48" s="2974" t="s">
        <v>1808</v>
      </c>
      <c r="N48" s="2975" t="s">
        <v>1809</v>
      </c>
      <c r="O48" s="2975" t="s">
        <v>1810</v>
      </c>
      <c r="P48" s="2975" t="s">
        <v>1811</v>
      </c>
      <c r="Q48" s="2966" t="s">
        <v>1812</v>
      </c>
      <c r="R48" s="2966" t="s">
        <v>1813</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L21" sqref="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2" t="s">
        <v>2120</v>
      </c>
      <c r="BA2" s="2173" t="s">
        <v>2119</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f>资料!G76</f>
        <v>30101.08</v>
      </c>
      <c r="B3" s="22">
        <f>IF(C3="否",G5-AT5,G5)</f>
        <v>26725.120000000003</v>
      </c>
      <c r="C3" s="23" t="s">
        <v>3345</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4"/>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26725.120000000003</v>
      </c>
      <c r="H5" s="27">
        <f t="shared" ref="H5:AT5" si="0">SUM(H13:H641)</f>
        <v>26725.120000000003</v>
      </c>
      <c r="I5" s="27">
        <f t="shared" si="0"/>
        <v>17356.77</v>
      </c>
      <c r="J5" s="27">
        <f t="shared" si="0"/>
        <v>0</v>
      </c>
      <c r="K5" s="27">
        <f t="shared" si="0"/>
        <v>9368.35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26725.120000000003</v>
      </c>
      <c r="BA5" s="29">
        <f t="shared" si="1"/>
        <v>26725.120000000003</v>
      </c>
      <c r="BB5" s="29">
        <f t="shared" si="1"/>
        <v>17356.77</v>
      </c>
      <c r="BC5" s="29">
        <f t="shared" si="1"/>
        <v>9368.35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30101.08</v>
      </c>
      <c r="F6" s="27" t="s">
        <v>1</v>
      </c>
      <c r="G6" s="27" t="s">
        <v>2</v>
      </c>
      <c r="H6" s="33">
        <f>SUMIF(I$12:AB$12,"总值",I6:AB6)</f>
        <v>30101.08</v>
      </c>
      <c r="I6" s="27">
        <f t="shared" ref="I6:AB6" si="2">ROUND($A$3*I5/$B$3,2)</f>
        <v>19549.310000000001</v>
      </c>
      <c r="J6" s="27">
        <f t="shared" si="2"/>
        <v>0</v>
      </c>
      <c r="K6" s="27">
        <f t="shared" si="2"/>
        <v>10551.77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30101.08</v>
      </c>
      <c r="AZ6" s="27" t="s">
        <v>3</v>
      </c>
      <c r="BA6" s="27">
        <f>ROUND($AY$6*BA5/$AZ$5,2)</f>
        <v>30101.08</v>
      </c>
      <c r="BB6" s="27">
        <f>ROUND($AY$6*BB5/$AZ$5,2)</f>
        <v>19549.310000000001</v>
      </c>
      <c r="BC6" s="27">
        <f t="shared" ref="BC6:BH6" si="4">ROUND($AY$6*BC5/$AZ$5,2)</f>
        <v>10551.77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0"/>
      <c r="AT8" s="2161"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2" t="s">
        <v>3308</v>
      </c>
      <c r="J9" s="51"/>
      <c r="K9" s="2652" t="s">
        <v>3310</v>
      </c>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2" t="s">
        <v>3336</v>
      </c>
      <c r="J10" s="51"/>
      <c r="K10" s="2654" t="s">
        <v>3538</v>
      </c>
      <c r="L10" s="51"/>
      <c r="M10" s="2654"/>
      <c r="N10" s="51"/>
      <c r="O10" s="66"/>
      <c r="P10" s="51"/>
      <c r="Q10" s="66"/>
      <c r="R10" s="51"/>
      <c r="S10" s="66"/>
      <c r="T10" s="51"/>
      <c r="U10" s="66"/>
      <c r="V10" s="51"/>
      <c r="W10" s="66"/>
      <c r="X10" s="51"/>
      <c r="Y10" s="66"/>
      <c r="Z10" s="51"/>
      <c r="AA10" s="66"/>
      <c r="AB10" s="51"/>
      <c r="AC10" s="55"/>
      <c r="AD10" s="2147" t="s">
        <v>2104</v>
      </c>
      <c r="AE10" s="2169"/>
      <c r="AF10" s="2147" t="s">
        <v>2104</v>
      </c>
      <c r="AG10" s="2169"/>
      <c r="AH10" s="2147" t="s">
        <v>2105</v>
      </c>
      <c r="AI10" s="2169"/>
      <c r="AJ10" s="26" t="s">
        <v>2118</v>
      </c>
      <c r="AK10" s="2166"/>
      <c r="AL10" s="2147" t="s">
        <v>2106</v>
      </c>
      <c r="AM10" s="2148"/>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3" t="s">
        <v>3337</v>
      </c>
      <c r="J11" s="71"/>
      <c r="K11" s="2653" t="s">
        <v>3337</v>
      </c>
      <c r="L11" s="71"/>
      <c r="M11" s="70"/>
      <c r="N11" s="71"/>
      <c r="O11" s="70"/>
      <c r="P11" s="71"/>
      <c r="Q11" s="70"/>
      <c r="R11" s="71"/>
      <c r="S11" s="70"/>
      <c r="T11" s="71"/>
      <c r="U11" s="70"/>
      <c r="V11" s="71"/>
      <c r="W11" s="70"/>
      <c r="X11" s="71"/>
      <c r="Y11" s="70"/>
      <c r="Z11" s="71"/>
      <c r="AA11" s="70"/>
      <c r="AB11" s="71"/>
      <c r="AC11" s="55"/>
      <c r="AD11" s="2167" t="s">
        <v>2117</v>
      </c>
      <c r="AE11" s="973"/>
      <c r="AF11" s="2167" t="s">
        <v>2117</v>
      </c>
      <c r="AG11" s="973"/>
      <c r="AH11" s="2167" t="s">
        <v>2116</v>
      </c>
      <c r="AI11" s="2168"/>
      <c r="AJ11" s="2167" t="s">
        <v>2116</v>
      </c>
      <c r="AK11" s="2166"/>
      <c r="AL11" s="971"/>
      <c r="AM11" s="973"/>
      <c r="AN11" s="971"/>
      <c r="AO11" s="973"/>
      <c r="AP11" s="1135"/>
      <c r="AQ11" s="1137"/>
      <c r="AR11" s="1135"/>
      <c r="AS11" s="1137"/>
      <c r="AT11" s="974"/>
      <c r="AU11" s="45"/>
      <c r="AV11" s="55"/>
      <c r="AW11" s="974"/>
      <c r="AX11" s="55"/>
      <c r="AY11" s="62"/>
      <c r="AZ11" s="62"/>
      <c r="BA11" s="62"/>
      <c r="BB11" s="50" t="str">
        <f>I10</f>
        <v>商业</v>
      </c>
      <c r="BC11" s="50" t="str">
        <f>K10</f>
        <v>仓储</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酒店</v>
      </c>
      <c r="BC12" s="79" t="str">
        <f>K11</f>
        <v>酒店</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7"/>
      <c r="B13" s="2647"/>
      <c r="C13" s="2647"/>
      <c r="D13" s="2648" t="s">
        <v>1478</v>
      </c>
      <c r="E13" s="27">
        <f t="shared" ref="E13:E20" si="6">IF($C$3="是",ROUND($A$3*G13/$B$3,2),ROUND($A$3*(G13-AT13)/$B$3,2))</f>
        <v>30101.08</v>
      </c>
      <c r="F13" s="81"/>
      <c r="G13" s="82">
        <f t="shared" ref="G13:G20" si="7">H13+AC13+AT13</f>
        <v>26725.120000000003</v>
      </c>
      <c r="H13" s="33">
        <f t="shared" ref="H13:H20" si="8">SUMIF(I$12:AB$12,"总值",I13:AB13)</f>
        <v>26725.120000000003</v>
      </c>
      <c r="I13" s="2651">
        <f>指标!D48</f>
        <v>17356.77</v>
      </c>
      <c r="J13" s="2651"/>
      <c r="K13" s="2651">
        <f>指标!D53</f>
        <v>9368.35</v>
      </c>
      <c r="L13" s="2651"/>
      <c r="M13" s="2651"/>
      <c r="N13" s="83"/>
      <c r="O13" s="83"/>
      <c r="P13" s="83"/>
      <c r="Q13" s="83"/>
      <c r="R13" s="83"/>
      <c r="S13" s="83"/>
      <c r="T13" s="83"/>
      <c r="U13" s="83"/>
      <c r="V13" s="83"/>
      <c r="W13" s="83"/>
      <c r="X13" s="83"/>
      <c r="Y13" s="83"/>
      <c r="Z13" s="83"/>
      <c r="AA13" s="83"/>
      <c r="AB13" s="83"/>
      <c r="AC13" s="27">
        <f t="shared" ref="AC13:AC20" si="9">SUMIF(AD$12:AS$12,"总值",AD13:AS13)</f>
        <v>0</v>
      </c>
      <c r="AD13" s="2655"/>
      <c r="AE13" s="2655"/>
      <c r="AF13" s="2655"/>
      <c r="AG13" s="2655"/>
      <c r="AH13" s="2655"/>
      <c r="AI13" s="2655"/>
      <c r="AJ13" s="2655"/>
      <c r="AK13" s="2655"/>
      <c r="AL13" s="2655"/>
      <c r="AM13" s="2655"/>
      <c r="AN13" s="2651">
        <f>指标!AG53</f>
        <v>0</v>
      </c>
      <c r="AO13" s="2655"/>
      <c r="AP13" s="2655"/>
      <c r="AQ13" s="2655"/>
      <c r="AR13" s="2655"/>
      <c r="AS13" s="2655"/>
      <c r="AT13" s="2656"/>
      <c r="AU13" s="2657"/>
      <c r="AV13" s="17">
        <f t="shared" ref="AV13:AX20" si="10">A13</f>
        <v>0</v>
      </c>
      <c r="AW13" s="17">
        <f t="shared" si="10"/>
        <v>0</v>
      </c>
      <c r="AX13" s="17">
        <f t="shared" si="10"/>
        <v>0</v>
      </c>
      <c r="AY13" s="967">
        <f t="shared" ref="AY13:AY20" si="11">ROUND($AY$6*AZ13/$AZ$5,2)</f>
        <v>30101.08</v>
      </c>
      <c r="AZ13" s="27">
        <f t="shared" ref="AZ13:AZ20" si="12">BA13+BL13</f>
        <v>26725.120000000003</v>
      </c>
      <c r="BA13" s="27">
        <f t="shared" ref="BA13:BA20" si="13">SUM(BB13:BK13)</f>
        <v>26725.120000000003</v>
      </c>
      <c r="BB13" s="27">
        <f t="shared" ref="BB13:BB20" si="14">IF($D13="是",I13-J13,0)</f>
        <v>17356.77</v>
      </c>
      <c r="BC13" s="27">
        <f t="shared" ref="BC13:BC20" si="15">IF($D13="是",K13-L13,0)</f>
        <v>9368.35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1" t="s">
        <v>0</v>
      </c>
      <c r="B1" s="3601" t="s">
        <v>4</v>
      </c>
      <c r="C1" s="3601" t="s">
        <v>5</v>
      </c>
      <c r="D1" s="3602" t="s">
        <v>40</v>
      </c>
      <c r="E1" s="3602" t="s">
        <v>41</v>
      </c>
      <c r="F1" s="3602"/>
      <c r="G1" s="3602"/>
      <c r="H1" s="3602"/>
      <c r="I1" s="3602"/>
      <c r="J1" s="3602"/>
      <c r="K1" s="3602"/>
      <c r="L1" s="3602"/>
      <c r="M1" s="3602"/>
    </row>
    <row r="2" spans="1:13" ht="27" customHeight="1">
      <c r="A2" s="3601"/>
      <c r="B2" s="3601"/>
      <c r="C2" s="3601"/>
      <c r="D2" s="3602"/>
      <c r="E2" s="3602" t="s">
        <v>24</v>
      </c>
      <c r="F2" s="3602" t="s">
        <v>25</v>
      </c>
      <c r="G2" s="3602"/>
      <c r="H2" s="3602"/>
      <c r="I2" s="3602"/>
      <c r="J2" s="3602" t="s">
        <v>26</v>
      </c>
      <c r="K2" s="3602"/>
      <c r="L2" s="3602"/>
      <c r="M2" s="3602"/>
    </row>
    <row r="3" spans="1:13" ht="28.5">
      <c r="A3" s="3601"/>
      <c r="B3" s="3601"/>
      <c r="C3" s="3601"/>
      <c r="D3" s="3602"/>
      <c r="E3" s="36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2" t="s">
        <v>42</v>
      </c>
      <c r="B9" s="3602"/>
      <c r="C9" s="36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O97"/>
  <sheetViews>
    <sheetView topLeftCell="A40" workbookViewId="0">
      <selection activeCell="D59" sqref="D59"/>
    </sheetView>
  </sheetViews>
  <sheetFormatPr defaultRowHeight="13.5"/>
  <sheetData>
    <row r="6" spans="10:12">
      <c r="J6" s="3156" t="s">
        <v>3306</v>
      </c>
      <c r="K6">
        <v>8626.16</v>
      </c>
    </row>
    <row r="7" spans="10:12">
      <c r="J7" s="3156" t="s">
        <v>3307</v>
      </c>
      <c r="K7">
        <f>SUM(K8:K9)</f>
        <v>9718.1200000000008</v>
      </c>
    </row>
    <row r="8" spans="10:12">
      <c r="J8" s="3156" t="s">
        <v>3309</v>
      </c>
      <c r="K8">
        <v>5149.7700000000004</v>
      </c>
    </row>
    <row r="9" spans="10:12">
      <c r="J9" s="3156" t="s">
        <v>3311</v>
      </c>
      <c r="K9">
        <v>4568.3500000000004</v>
      </c>
      <c r="L9">
        <f>K9-K10</f>
        <v>2346.1400000000003</v>
      </c>
    </row>
    <row r="10" spans="10:12">
      <c r="J10" s="3156" t="s">
        <v>3312</v>
      </c>
      <c r="K10">
        <v>2222.21</v>
      </c>
    </row>
    <row r="11" spans="10:12">
      <c r="J11" s="3156" t="s">
        <v>3313</v>
      </c>
      <c r="K11">
        <v>2142.5700000000002</v>
      </c>
    </row>
    <row r="12" spans="10:12">
      <c r="J12" s="3156" t="s">
        <v>3314</v>
      </c>
      <c r="K12" s="3462">
        <v>0.24840000000000001</v>
      </c>
    </row>
    <row r="13" spans="10:12">
      <c r="J13" s="3156" t="s">
        <v>3315</v>
      </c>
      <c r="K13">
        <v>0.6</v>
      </c>
    </row>
    <row r="14" spans="10:12">
      <c r="J14" s="3156" t="s">
        <v>3316</v>
      </c>
      <c r="K14">
        <f>SUM(K15:K17)</f>
        <v>63</v>
      </c>
    </row>
    <row r="15" spans="10:12">
      <c r="J15" s="3156" t="s">
        <v>3317</v>
      </c>
      <c r="K15">
        <v>45</v>
      </c>
    </row>
    <row r="16" spans="10:12">
      <c r="J16" s="3156" t="s">
        <v>3318</v>
      </c>
      <c r="K16">
        <v>17</v>
      </c>
    </row>
    <row r="17" spans="10:11">
      <c r="J17" s="3156" t="s">
        <v>3319</v>
      </c>
      <c r="K17">
        <v>1</v>
      </c>
    </row>
    <row r="18" spans="10:11">
      <c r="J18" s="3156" t="s">
        <v>3320</v>
      </c>
      <c r="K18">
        <v>8.9499999999999993</v>
      </c>
    </row>
    <row r="19" spans="10:11">
      <c r="J19" s="3156" t="s">
        <v>3321</v>
      </c>
    </row>
    <row r="20" spans="10:11">
      <c r="J20" s="3156" t="s">
        <v>3322</v>
      </c>
      <c r="K20" s="3463" t="s">
        <v>3329</v>
      </c>
    </row>
    <row r="21" spans="10:11">
      <c r="J21" s="3156" t="s">
        <v>3323</v>
      </c>
      <c r="K21">
        <v>1</v>
      </c>
    </row>
    <row r="22" spans="10:11">
      <c r="J22" s="3156" t="s">
        <v>3324</v>
      </c>
      <c r="K22">
        <v>2588.04</v>
      </c>
    </row>
    <row r="23" spans="10:11">
      <c r="J23" s="3156" t="s">
        <v>3325</v>
      </c>
      <c r="K23" s="3451">
        <v>0.3</v>
      </c>
    </row>
    <row r="24" spans="10:11">
      <c r="J24" s="3156" t="s">
        <v>3326</v>
      </c>
      <c r="K24">
        <v>40</v>
      </c>
    </row>
    <row r="25" spans="10:11">
      <c r="J25" s="3156" t="s">
        <v>3114</v>
      </c>
    </row>
    <row r="26" spans="10:11">
      <c r="J26" s="3156" t="s">
        <v>3327</v>
      </c>
      <c r="K26">
        <v>1</v>
      </c>
    </row>
    <row r="27" spans="10:11">
      <c r="J27" s="3156" t="s">
        <v>3328</v>
      </c>
      <c r="K27">
        <v>8</v>
      </c>
    </row>
    <row r="39" spans="1:12">
      <c r="A39" t="s">
        <v>3380</v>
      </c>
      <c r="I39" t="s">
        <v>3414</v>
      </c>
    </row>
    <row r="40" spans="1:12">
      <c r="A40" t="s">
        <v>2159</v>
      </c>
      <c r="B40" t="s">
        <v>3381</v>
      </c>
      <c r="C40" t="s">
        <v>3382</v>
      </c>
      <c r="D40" t="s">
        <v>3383</v>
      </c>
      <c r="E40" t="s">
        <v>3384</v>
      </c>
      <c r="I40" t="s">
        <v>2159</v>
      </c>
      <c r="J40" t="s">
        <v>3381</v>
      </c>
      <c r="K40" t="s">
        <v>3415</v>
      </c>
      <c r="L40" t="s">
        <v>3384</v>
      </c>
    </row>
    <row r="41" spans="1:12">
      <c r="A41">
        <v>1</v>
      </c>
      <c r="B41" t="s">
        <v>3385</v>
      </c>
      <c r="C41" t="s">
        <v>3386</v>
      </c>
      <c r="D41">
        <v>30101.07</v>
      </c>
      <c r="E41" t="s">
        <v>3413</v>
      </c>
      <c r="I41">
        <v>1</v>
      </c>
      <c r="J41" t="s">
        <v>3416</v>
      </c>
      <c r="K41">
        <v>41943</v>
      </c>
    </row>
    <row r="42" spans="1:12">
      <c r="A42">
        <v>1.1000000000000001</v>
      </c>
      <c r="B42" t="s">
        <v>3387</v>
      </c>
      <c r="C42" t="s">
        <v>3386</v>
      </c>
      <c r="D42">
        <v>2000</v>
      </c>
      <c r="I42">
        <v>1.1000000000000001</v>
      </c>
      <c r="J42" t="s">
        <v>3417</v>
      </c>
      <c r="K42">
        <v>28243</v>
      </c>
    </row>
    <row r="43" spans="1:12">
      <c r="A43">
        <v>1.2</v>
      </c>
      <c r="B43" t="s">
        <v>3388</v>
      </c>
      <c r="C43" t="s">
        <v>3386</v>
      </c>
      <c r="D43">
        <v>3220.88</v>
      </c>
      <c r="E43" t="s">
        <v>3413</v>
      </c>
      <c r="I43">
        <v>1.2</v>
      </c>
      <c r="J43" t="s">
        <v>3418</v>
      </c>
      <c r="K43">
        <v>9887</v>
      </c>
    </row>
    <row r="44" spans="1:12">
      <c r="A44">
        <v>1.3</v>
      </c>
      <c r="B44" t="s">
        <v>3389</v>
      </c>
      <c r="C44" t="s">
        <v>3386</v>
      </c>
      <c r="D44">
        <v>8626.16</v>
      </c>
      <c r="E44" t="s">
        <v>3413</v>
      </c>
      <c r="I44">
        <v>1.3</v>
      </c>
      <c r="J44" t="s">
        <v>3419</v>
      </c>
      <c r="K44">
        <v>3813</v>
      </c>
    </row>
    <row r="45" spans="1:12">
      <c r="A45">
        <v>1.1000000000000001</v>
      </c>
      <c r="B45" t="s">
        <v>3390</v>
      </c>
      <c r="C45" t="s">
        <v>3386</v>
      </c>
      <c r="D45">
        <v>15213.62</v>
      </c>
      <c r="E45" t="s">
        <v>3413</v>
      </c>
      <c r="I45">
        <v>2</v>
      </c>
      <c r="J45" t="s">
        <v>3420</v>
      </c>
      <c r="K45">
        <v>2940</v>
      </c>
    </row>
    <row r="46" spans="1:12">
      <c r="A46">
        <v>2</v>
      </c>
      <c r="B46" t="s">
        <v>3391</v>
      </c>
      <c r="C46" t="s">
        <v>3386</v>
      </c>
      <c r="D46">
        <v>30101.07</v>
      </c>
      <c r="E46" t="s">
        <v>3413</v>
      </c>
      <c r="I46">
        <v>3</v>
      </c>
      <c r="J46" t="s">
        <v>3421</v>
      </c>
      <c r="K46">
        <v>44833</v>
      </c>
    </row>
    <row r="47" spans="1:12">
      <c r="A47">
        <v>3</v>
      </c>
      <c r="B47" t="s">
        <v>3392</v>
      </c>
      <c r="C47" t="s">
        <v>3386</v>
      </c>
      <c r="D47">
        <v>26725.119999999999</v>
      </c>
      <c r="E47" t="s">
        <v>3413</v>
      </c>
    </row>
    <row r="48" spans="1:12">
      <c r="A48" s="3499">
        <v>3.1</v>
      </c>
      <c r="B48" s="3499" t="s">
        <v>3393</v>
      </c>
      <c r="C48" s="3499" t="s">
        <v>3386</v>
      </c>
      <c r="D48" s="3499">
        <v>17356.77</v>
      </c>
      <c r="E48" t="s">
        <v>3413</v>
      </c>
      <c r="I48" t="s">
        <v>3435</v>
      </c>
    </row>
    <row r="49" spans="1:15">
      <c r="A49" s="3499" t="s">
        <v>3394</v>
      </c>
      <c r="B49" s="3499" t="s">
        <v>3387</v>
      </c>
      <c r="C49" s="3499" t="s">
        <v>3386</v>
      </c>
      <c r="D49" s="3499">
        <v>2000</v>
      </c>
      <c r="G49">
        <f>D49+D54</f>
        <v>3000</v>
      </c>
      <c r="I49" t="s">
        <v>2159</v>
      </c>
      <c r="J49" t="s">
        <v>2160</v>
      </c>
      <c r="K49" t="s">
        <v>3436</v>
      </c>
      <c r="L49" t="s">
        <v>3382</v>
      </c>
      <c r="M49" t="s">
        <v>3437</v>
      </c>
      <c r="N49" t="s">
        <v>3438</v>
      </c>
      <c r="O49" t="s">
        <v>3413</v>
      </c>
    </row>
    <row r="50" spans="1:15">
      <c r="A50" s="3499" t="s">
        <v>3395</v>
      </c>
      <c r="B50" s="3499" t="s">
        <v>3388</v>
      </c>
      <c r="C50" s="3499" t="s">
        <v>3386</v>
      </c>
      <c r="D50" s="3499">
        <v>2600</v>
      </c>
      <c r="E50">
        <v>38</v>
      </c>
      <c r="F50">
        <f>D50/E50</f>
        <v>68.421052631578945</v>
      </c>
      <c r="G50">
        <f>D50</f>
        <v>2600</v>
      </c>
      <c r="I50" t="s">
        <v>3439</v>
      </c>
      <c r="J50" t="s">
        <v>3417</v>
      </c>
      <c r="K50" t="s">
        <v>3413</v>
      </c>
      <c r="L50" t="s">
        <v>3413</v>
      </c>
      <c r="M50" t="s">
        <v>3413</v>
      </c>
      <c r="N50">
        <v>28242.52</v>
      </c>
      <c r="O50" t="s">
        <v>3413</v>
      </c>
    </row>
    <row r="51" spans="1:15">
      <c r="A51" s="3499" t="s">
        <v>3396</v>
      </c>
      <c r="B51" s="3499" t="s">
        <v>3389</v>
      </c>
      <c r="C51" s="3499" t="s">
        <v>3386</v>
      </c>
      <c r="D51" s="3499">
        <v>5149.7700000000004</v>
      </c>
      <c r="E51">
        <v>63</v>
      </c>
      <c r="F51">
        <f t="shared" ref="F51:F52" si="0">D51/E51</f>
        <v>81.742380952380955</v>
      </c>
      <c r="G51">
        <f>D51+D55</f>
        <v>9718.1200000000008</v>
      </c>
      <c r="I51">
        <v>1</v>
      </c>
      <c r="J51" t="s">
        <v>3440</v>
      </c>
      <c r="K51">
        <v>26725.119999999999</v>
      </c>
      <c r="L51" t="s">
        <v>3441</v>
      </c>
      <c r="M51">
        <v>7048.69</v>
      </c>
      <c r="N51" s="3473">
        <v>18837.72</v>
      </c>
      <c r="O51" t="s">
        <v>3413</v>
      </c>
    </row>
    <row r="52" spans="1:15">
      <c r="A52" s="3499" t="s">
        <v>3397</v>
      </c>
      <c r="B52" s="3499" t="s">
        <v>3390</v>
      </c>
      <c r="C52" s="3499" t="s">
        <v>3386</v>
      </c>
      <c r="D52" s="3499">
        <v>7607</v>
      </c>
      <c r="E52">
        <v>111</v>
      </c>
      <c r="F52">
        <f t="shared" si="0"/>
        <v>68.531531531531527</v>
      </c>
      <c r="G52">
        <f>D52+D56</f>
        <v>11407</v>
      </c>
      <c r="I52">
        <v>1.1000000000000001</v>
      </c>
      <c r="J52" t="s">
        <v>3442</v>
      </c>
      <c r="K52">
        <v>26725.119999999999</v>
      </c>
      <c r="L52" t="s">
        <v>3441</v>
      </c>
      <c r="M52">
        <v>2300</v>
      </c>
      <c r="N52">
        <v>6146.78</v>
      </c>
      <c r="O52" t="s">
        <v>3443</v>
      </c>
    </row>
    <row r="53" spans="1:15">
      <c r="A53" s="3500">
        <v>3.2</v>
      </c>
      <c r="B53" s="3500" t="s">
        <v>3398</v>
      </c>
      <c r="C53" s="3500" t="s">
        <v>3386</v>
      </c>
      <c r="D53" s="3500">
        <v>9368.35</v>
      </c>
      <c r="E53" t="s">
        <v>3413</v>
      </c>
      <c r="I53">
        <v>1.2</v>
      </c>
      <c r="J53" t="s">
        <v>3444</v>
      </c>
      <c r="K53">
        <v>26725.119999999999</v>
      </c>
      <c r="L53" t="s">
        <v>3441</v>
      </c>
      <c r="M53">
        <v>600</v>
      </c>
      <c r="N53">
        <v>1603.51</v>
      </c>
      <c r="O53" t="s">
        <v>3413</v>
      </c>
    </row>
    <row r="54" spans="1:15">
      <c r="A54" s="3500" t="s">
        <v>3399</v>
      </c>
      <c r="B54" s="3500" t="s">
        <v>3387</v>
      </c>
      <c r="C54" s="3500" t="s">
        <v>3386</v>
      </c>
      <c r="D54" s="3500">
        <v>1000</v>
      </c>
      <c r="I54">
        <v>1.3</v>
      </c>
      <c r="J54" t="s">
        <v>3445</v>
      </c>
      <c r="K54">
        <v>26725.119999999999</v>
      </c>
      <c r="L54" t="s">
        <v>3441</v>
      </c>
      <c r="M54">
        <v>1470.92</v>
      </c>
      <c r="N54">
        <v>5822.58</v>
      </c>
      <c r="O54" t="s">
        <v>3413</v>
      </c>
    </row>
    <row r="55" spans="1:15">
      <c r="A55" s="3500" t="s">
        <v>3400</v>
      </c>
      <c r="B55" s="3500" t="s">
        <v>3389</v>
      </c>
      <c r="C55" s="3500" t="s">
        <v>3386</v>
      </c>
      <c r="D55" s="3500">
        <v>4568.3500000000004</v>
      </c>
      <c r="E55" t="s">
        <v>3413</v>
      </c>
      <c r="I55" t="s">
        <v>3446</v>
      </c>
      <c r="J55" t="s">
        <v>3447</v>
      </c>
      <c r="K55">
        <v>16356.77</v>
      </c>
      <c r="L55" t="s">
        <v>3441</v>
      </c>
      <c r="M55">
        <v>3200</v>
      </c>
      <c r="N55">
        <v>5234.17</v>
      </c>
      <c r="O55" t="s">
        <v>3448</v>
      </c>
    </row>
    <row r="56" spans="1:15">
      <c r="A56" s="3500" t="s">
        <v>3401</v>
      </c>
      <c r="B56" s="3500" t="s">
        <v>3390</v>
      </c>
      <c r="C56" s="3500" t="s">
        <v>3386</v>
      </c>
      <c r="D56" s="3500">
        <v>3800</v>
      </c>
      <c r="E56" t="s">
        <v>3413</v>
      </c>
      <c r="I56" t="s">
        <v>3449</v>
      </c>
      <c r="J56" t="s">
        <v>3447</v>
      </c>
      <c r="K56">
        <v>2000</v>
      </c>
      <c r="L56" t="s">
        <v>3441</v>
      </c>
      <c r="M56">
        <v>600</v>
      </c>
      <c r="N56">
        <v>120</v>
      </c>
      <c r="O56" t="s">
        <v>3450</v>
      </c>
    </row>
    <row r="57" spans="1:15">
      <c r="A57">
        <v>4</v>
      </c>
      <c r="B57" t="s">
        <v>1821</v>
      </c>
      <c r="C57" t="s">
        <v>3413</v>
      </c>
      <c r="E57" t="s">
        <v>3413</v>
      </c>
      <c r="I57" t="s">
        <v>3451</v>
      </c>
      <c r="J57" t="s">
        <v>3452</v>
      </c>
      <c r="K57">
        <v>9368.35</v>
      </c>
      <c r="L57" t="s">
        <v>3441</v>
      </c>
      <c r="M57">
        <v>500</v>
      </c>
      <c r="N57">
        <v>468.42</v>
      </c>
      <c r="O57" t="s">
        <v>3413</v>
      </c>
    </row>
    <row r="58" spans="1:15">
      <c r="A58">
        <v>4.0999999999999996</v>
      </c>
      <c r="B58" t="s">
        <v>3387</v>
      </c>
      <c r="D58">
        <v>0.66</v>
      </c>
      <c r="I58">
        <v>1.4</v>
      </c>
      <c r="J58" t="s">
        <v>3453</v>
      </c>
      <c r="K58">
        <v>26725.119999999999</v>
      </c>
      <c r="L58" t="s">
        <v>3441</v>
      </c>
      <c r="M58">
        <v>220</v>
      </c>
      <c r="N58">
        <v>587.95000000000005</v>
      </c>
      <c r="O58" t="s">
        <v>3413</v>
      </c>
    </row>
    <row r="59" spans="1:15">
      <c r="A59">
        <v>4.2</v>
      </c>
      <c r="B59" t="s">
        <v>3388</v>
      </c>
      <c r="C59" t="s">
        <v>3413</v>
      </c>
      <c r="D59">
        <v>0.81</v>
      </c>
      <c r="E59" t="s">
        <v>3413</v>
      </c>
      <c r="I59">
        <v>1.5</v>
      </c>
      <c r="J59" t="s">
        <v>3454</v>
      </c>
      <c r="K59">
        <v>26725.119999999999</v>
      </c>
      <c r="L59" t="s">
        <v>3441</v>
      </c>
      <c r="M59">
        <v>300</v>
      </c>
      <c r="N59">
        <v>801.75</v>
      </c>
      <c r="O59" t="s">
        <v>3413</v>
      </c>
    </row>
    <row r="60" spans="1:15">
      <c r="A60">
        <v>4.3</v>
      </c>
      <c r="B60" t="s">
        <v>3389</v>
      </c>
      <c r="C60" t="s">
        <v>3413</v>
      </c>
      <c r="D60">
        <v>0.6</v>
      </c>
      <c r="E60" t="s">
        <v>3413</v>
      </c>
      <c r="I60">
        <v>1.6</v>
      </c>
      <c r="J60" t="s">
        <v>3455</v>
      </c>
      <c r="K60">
        <v>26725.119999999999</v>
      </c>
      <c r="L60" t="s">
        <v>3441</v>
      </c>
      <c r="M60">
        <v>300</v>
      </c>
      <c r="N60">
        <v>801.75</v>
      </c>
      <c r="O60" t="s">
        <v>3413</v>
      </c>
    </row>
    <row r="61" spans="1:15">
      <c r="A61">
        <v>4.4000000000000004</v>
      </c>
      <c r="B61" t="s">
        <v>3390</v>
      </c>
      <c r="C61" t="s">
        <v>3413</v>
      </c>
      <c r="D61">
        <v>0.5</v>
      </c>
      <c r="E61" t="s">
        <v>3413</v>
      </c>
      <c r="I61">
        <v>1.7</v>
      </c>
      <c r="J61" t="s">
        <v>3456</v>
      </c>
      <c r="K61">
        <v>26725.119999999999</v>
      </c>
      <c r="L61" t="s">
        <v>3441</v>
      </c>
      <c r="M61">
        <v>200</v>
      </c>
      <c r="N61">
        <v>534.5</v>
      </c>
      <c r="O61" t="s">
        <v>3413</v>
      </c>
    </row>
    <row r="62" spans="1:15">
      <c r="A62">
        <v>5</v>
      </c>
      <c r="B62" t="s">
        <v>3402</v>
      </c>
      <c r="C62" t="s">
        <v>3403</v>
      </c>
      <c r="D62">
        <v>212</v>
      </c>
      <c r="E62" t="s">
        <v>3413</v>
      </c>
      <c r="I62">
        <v>1.8</v>
      </c>
      <c r="J62" t="s">
        <v>3457</v>
      </c>
      <c r="K62">
        <v>26725.119999999999</v>
      </c>
      <c r="L62" t="s">
        <v>3441</v>
      </c>
      <c r="M62">
        <v>230</v>
      </c>
      <c r="N62">
        <v>614.67999999999995</v>
      </c>
      <c r="O62" t="s">
        <v>3413</v>
      </c>
    </row>
    <row r="63" spans="1:15">
      <c r="A63">
        <v>5.0999999999999996</v>
      </c>
      <c r="B63" t="s">
        <v>3388</v>
      </c>
      <c r="C63" t="s">
        <v>3403</v>
      </c>
      <c r="D63">
        <v>38</v>
      </c>
      <c r="I63">
        <v>1.9</v>
      </c>
      <c r="J63" t="s">
        <v>3458</v>
      </c>
      <c r="K63">
        <v>26725.119999999999</v>
      </c>
      <c r="L63" t="s">
        <v>3441</v>
      </c>
      <c r="M63">
        <v>220</v>
      </c>
      <c r="N63">
        <v>587.95000000000005</v>
      </c>
      <c r="O63" t="s">
        <v>3413</v>
      </c>
    </row>
    <row r="64" spans="1:15">
      <c r="A64">
        <v>5.2</v>
      </c>
      <c r="B64" t="s">
        <v>3389</v>
      </c>
      <c r="C64" t="s">
        <v>3403</v>
      </c>
      <c r="D64">
        <v>63</v>
      </c>
      <c r="I64">
        <v>1.1000000000000001</v>
      </c>
      <c r="J64" t="s">
        <v>3459</v>
      </c>
      <c r="K64">
        <v>26725.119999999999</v>
      </c>
      <c r="L64" t="s">
        <v>3441</v>
      </c>
      <c r="M64">
        <v>500</v>
      </c>
      <c r="N64">
        <v>1336.26</v>
      </c>
      <c r="O64" t="s">
        <v>3413</v>
      </c>
    </row>
    <row r="65" spans="1:15">
      <c r="A65">
        <v>5.3</v>
      </c>
      <c r="B65" t="s">
        <v>3390</v>
      </c>
      <c r="C65" t="s">
        <v>3403</v>
      </c>
      <c r="D65">
        <v>111</v>
      </c>
      <c r="I65">
        <v>2</v>
      </c>
      <c r="J65" t="s">
        <v>3460</v>
      </c>
      <c r="K65">
        <v>26725.119999999999</v>
      </c>
      <c r="L65" t="s">
        <v>3441</v>
      </c>
      <c r="M65">
        <v>890</v>
      </c>
      <c r="N65">
        <v>2378.54</v>
      </c>
      <c r="O65" t="s">
        <v>3413</v>
      </c>
    </row>
    <row r="66" spans="1:15">
      <c r="A66">
        <v>6</v>
      </c>
      <c r="B66" t="s">
        <v>3404</v>
      </c>
      <c r="C66" t="s">
        <v>3405</v>
      </c>
      <c r="D66">
        <v>30</v>
      </c>
      <c r="E66" t="s">
        <v>3413</v>
      </c>
      <c r="I66">
        <v>2.1</v>
      </c>
      <c r="J66" t="s">
        <v>3461</v>
      </c>
      <c r="K66">
        <v>26725.119999999999</v>
      </c>
      <c r="L66" t="s">
        <v>3441</v>
      </c>
      <c r="M66">
        <v>90</v>
      </c>
      <c r="N66">
        <v>240.53</v>
      </c>
      <c r="O66" t="s">
        <v>3413</v>
      </c>
    </row>
    <row r="67" spans="1:15">
      <c r="A67">
        <v>7</v>
      </c>
      <c r="B67" t="s">
        <v>3406</v>
      </c>
      <c r="C67" t="s">
        <v>3405</v>
      </c>
      <c r="E67" t="s">
        <v>3413</v>
      </c>
      <c r="I67">
        <v>2.2000000000000002</v>
      </c>
      <c r="J67" t="s">
        <v>3462</v>
      </c>
      <c r="K67">
        <v>26725.119999999999</v>
      </c>
      <c r="L67" t="s">
        <v>3441</v>
      </c>
      <c r="M67">
        <v>90</v>
      </c>
      <c r="N67">
        <v>240.53</v>
      </c>
      <c r="O67" t="s">
        <v>3413</v>
      </c>
    </row>
    <row r="68" spans="1:15">
      <c r="A68">
        <v>7.1</v>
      </c>
      <c r="B68" t="s">
        <v>3387</v>
      </c>
      <c r="C68" t="s">
        <v>3405</v>
      </c>
      <c r="D68">
        <v>35</v>
      </c>
      <c r="I68">
        <v>2.2999999999999998</v>
      </c>
      <c r="J68" t="s">
        <v>3463</v>
      </c>
      <c r="K68">
        <v>26725.119999999999</v>
      </c>
      <c r="L68" t="s">
        <v>3441</v>
      </c>
      <c r="M68">
        <v>120</v>
      </c>
      <c r="N68">
        <v>320.7</v>
      </c>
      <c r="O68" t="s">
        <v>3413</v>
      </c>
    </row>
    <row r="69" spans="1:15">
      <c r="A69">
        <v>7.2</v>
      </c>
      <c r="B69" t="s">
        <v>3388</v>
      </c>
      <c r="C69" t="s">
        <v>3405</v>
      </c>
      <c r="D69">
        <v>25</v>
      </c>
      <c r="I69">
        <v>2.4</v>
      </c>
      <c r="J69" t="s">
        <v>3464</v>
      </c>
      <c r="K69">
        <v>26725.119999999999</v>
      </c>
      <c r="L69" t="s">
        <v>3441</v>
      </c>
      <c r="M69">
        <v>120</v>
      </c>
      <c r="N69">
        <v>320.7</v>
      </c>
      <c r="O69" t="s">
        <v>3413</v>
      </c>
    </row>
    <row r="70" spans="1:15">
      <c r="A70">
        <v>7.3</v>
      </c>
      <c r="B70" t="s">
        <v>3389</v>
      </c>
      <c r="C70" t="s">
        <v>3405</v>
      </c>
      <c r="D70">
        <v>24.84</v>
      </c>
      <c r="I70">
        <v>2.5</v>
      </c>
      <c r="J70" t="s">
        <v>3465</v>
      </c>
      <c r="K70">
        <v>26725.119999999999</v>
      </c>
      <c r="L70" t="s">
        <v>3441</v>
      </c>
      <c r="M70">
        <v>120</v>
      </c>
      <c r="N70">
        <v>320.7</v>
      </c>
      <c r="O70" t="s">
        <v>3413</v>
      </c>
    </row>
    <row r="71" spans="1:15">
      <c r="A71">
        <v>7.4</v>
      </c>
      <c r="B71" t="s">
        <v>3390</v>
      </c>
      <c r="C71" t="s">
        <v>3405</v>
      </c>
      <c r="D71">
        <v>33.19</v>
      </c>
      <c r="I71">
        <v>2.6</v>
      </c>
      <c r="J71" t="s">
        <v>3466</v>
      </c>
      <c r="K71">
        <v>26725.119999999999</v>
      </c>
      <c r="L71" t="s">
        <v>3441</v>
      </c>
      <c r="M71">
        <v>90</v>
      </c>
      <c r="N71">
        <v>240.53</v>
      </c>
      <c r="O71" t="s">
        <v>3413</v>
      </c>
    </row>
    <row r="72" spans="1:15">
      <c r="A72">
        <v>8</v>
      </c>
      <c r="B72" t="s">
        <v>3407</v>
      </c>
      <c r="E72" t="s">
        <v>3413</v>
      </c>
      <c r="I72">
        <v>2.7</v>
      </c>
      <c r="J72" t="s">
        <v>3467</v>
      </c>
      <c r="K72">
        <v>26725.119999999999</v>
      </c>
      <c r="L72" t="s">
        <v>3441</v>
      </c>
      <c r="M72">
        <v>90</v>
      </c>
      <c r="N72">
        <v>240.53</v>
      </c>
      <c r="O72" t="s">
        <v>3413</v>
      </c>
    </row>
    <row r="73" spans="1:15">
      <c r="A73">
        <v>4.0999999999999996</v>
      </c>
      <c r="B73" t="s">
        <v>3387</v>
      </c>
      <c r="C73" t="s">
        <v>3408</v>
      </c>
      <c r="D73">
        <v>2</v>
      </c>
      <c r="I73">
        <v>2.8</v>
      </c>
      <c r="J73" t="s">
        <v>3468</v>
      </c>
      <c r="K73">
        <v>26725.119999999999</v>
      </c>
      <c r="L73" t="s">
        <v>3441</v>
      </c>
      <c r="M73">
        <v>80</v>
      </c>
      <c r="N73">
        <v>213.8</v>
      </c>
      <c r="O73" t="s">
        <v>3413</v>
      </c>
    </row>
    <row r="74" spans="1:15">
      <c r="A74">
        <v>8.1999999999999993</v>
      </c>
      <c r="B74" t="s">
        <v>3388</v>
      </c>
      <c r="C74" t="s">
        <v>3408</v>
      </c>
      <c r="D74">
        <v>3</v>
      </c>
      <c r="I74">
        <v>2.9</v>
      </c>
      <c r="J74" t="s">
        <v>3469</v>
      </c>
      <c r="K74">
        <v>26725.119999999999</v>
      </c>
      <c r="L74" t="s">
        <v>3441</v>
      </c>
      <c r="M74">
        <v>90</v>
      </c>
      <c r="N74">
        <v>240.53</v>
      </c>
      <c r="O74" t="s">
        <v>3413</v>
      </c>
    </row>
    <row r="75" spans="1:15">
      <c r="A75">
        <v>8.3000000000000007</v>
      </c>
      <c r="B75" t="s">
        <v>3389</v>
      </c>
      <c r="C75" t="s">
        <v>3408</v>
      </c>
      <c r="D75">
        <v>2</v>
      </c>
      <c r="I75">
        <v>3</v>
      </c>
      <c r="J75" t="s">
        <v>3470</v>
      </c>
      <c r="K75">
        <v>9368.35</v>
      </c>
      <c r="L75" t="s">
        <v>3441</v>
      </c>
      <c r="M75">
        <v>7500</v>
      </c>
      <c r="N75">
        <v>7026.26</v>
      </c>
      <c r="O75" t="s">
        <v>3471</v>
      </c>
    </row>
    <row r="76" spans="1:15">
      <c r="A76">
        <v>8.4</v>
      </c>
      <c r="B76" t="s">
        <v>3390</v>
      </c>
      <c r="C76" t="s">
        <v>3408</v>
      </c>
      <c r="D76">
        <v>2</v>
      </c>
      <c r="I76" t="s">
        <v>3472</v>
      </c>
      <c r="J76" t="s">
        <v>24</v>
      </c>
      <c r="K76" t="s">
        <v>3413</v>
      </c>
      <c r="L76" t="s">
        <v>3413</v>
      </c>
      <c r="M76" t="s">
        <v>3413</v>
      </c>
      <c r="N76">
        <v>28242.52</v>
      </c>
      <c r="O76" t="s">
        <v>3413</v>
      </c>
    </row>
    <row r="77" spans="1:15">
      <c r="A77">
        <v>9</v>
      </c>
      <c r="B77" t="s">
        <v>3409</v>
      </c>
      <c r="E77" t="s">
        <v>3413</v>
      </c>
    </row>
    <row r="78" spans="1:15">
      <c r="A78">
        <v>9.1</v>
      </c>
      <c r="B78" t="s">
        <v>3387</v>
      </c>
      <c r="C78" t="s">
        <v>3410</v>
      </c>
      <c r="D78">
        <v>8.9499999999999993</v>
      </c>
      <c r="I78" t="s">
        <v>3474</v>
      </c>
    </row>
    <row r="79" spans="1:15">
      <c r="A79">
        <v>9.1999999999999993</v>
      </c>
      <c r="B79" t="s">
        <v>3388</v>
      </c>
      <c r="C79" t="s">
        <v>3410</v>
      </c>
      <c r="D79">
        <v>8.9499999999999993</v>
      </c>
      <c r="I79" t="s">
        <v>3475</v>
      </c>
    </row>
    <row r="80" spans="1:15">
      <c r="A80">
        <v>9.3000000000000007</v>
      </c>
      <c r="B80" t="s">
        <v>3389</v>
      </c>
      <c r="C80" t="s">
        <v>3410</v>
      </c>
      <c r="D80">
        <v>8.9499999999999993</v>
      </c>
      <c r="I80" t="s">
        <v>2159</v>
      </c>
      <c r="J80" t="s">
        <v>2160</v>
      </c>
      <c r="K80" t="s">
        <v>3476</v>
      </c>
      <c r="L80" t="s">
        <v>3384</v>
      </c>
    </row>
    <row r="81" spans="1:12">
      <c r="A81">
        <v>9.4</v>
      </c>
      <c r="B81" t="s">
        <v>3390</v>
      </c>
      <c r="C81" t="s">
        <v>3410</v>
      </c>
      <c r="D81">
        <v>8.9499999999999993</v>
      </c>
      <c r="I81">
        <v>1</v>
      </c>
      <c r="J81" t="s">
        <v>3477</v>
      </c>
      <c r="K81">
        <v>6932.4</v>
      </c>
      <c r="L81" t="s">
        <v>3478</v>
      </c>
    </row>
    <row r="82" spans="1:12">
      <c r="A82">
        <v>10</v>
      </c>
      <c r="B82" t="s">
        <v>3411</v>
      </c>
      <c r="C82" t="s">
        <v>3412</v>
      </c>
      <c r="D82">
        <v>212</v>
      </c>
      <c r="E82" t="s">
        <v>3413</v>
      </c>
      <c r="I82">
        <v>2</v>
      </c>
      <c r="J82" s="3473" t="s">
        <v>3479</v>
      </c>
      <c r="K82" s="3473">
        <v>300</v>
      </c>
      <c r="L82" t="s">
        <v>3413</v>
      </c>
    </row>
    <row r="83" spans="1:12">
      <c r="A83">
        <v>10.1</v>
      </c>
      <c r="B83" t="s">
        <v>3387</v>
      </c>
      <c r="C83" t="s">
        <v>3412</v>
      </c>
      <c r="D83">
        <v>14</v>
      </c>
      <c r="I83">
        <v>3</v>
      </c>
      <c r="J83" s="3473" t="s">
        <v>3480</v>
      </c>
      <c r="K83" s="3473">
        <v>1000</v>
      </c>
      <c r="L83" t="s">
        <v>3413</v>
      </c>
    </row>
    <row r="84" spans="1:12">
      <c r="A84">
        <v>10.199999999999999</v>
      </c>
      <c r="B84" t="s">
        <v>3388</v>
      </c>
      <c r="C84" t="s">
        <v>3412</v>
      </c>
      <c r="D84">
        <v>23</v>
      </c>
      <c r="I84">
        <v>4</v>
      </c>
      <c r="J84" t="s">
        <v>3481</v>
      </c>
      <c r="K84">
        <v>30</v>
      </c>
      <c r="L84" t="s">
        <v>3413</v>
      </c>
    </row>
    <row r="85" spans="1:12">
      <c r="A85">
        <v>10.3</v>
      </c>
      <c r="B85" t="s">
        <v>3389</v>
      </c>
      <c r="C85" t="s">
        <v>3412</v>
      </c>
      <c r="D85">
        <v>41</v>
      </c>
      <c r="I85">
        <v>5</v>
      </c>
      <c r="J85" t="s">
        <v>3482</v>
      </c>
      <c r="K85">
        <v>30</v>
      </c>
      <c r="L85" t="s">
        <v>3413</v>
      </c>
    </row>
    <row r="86" spans="1:12">
      <c r="A86">
        <v>10.4</v>
      </c>
      <c r="B86" t="s">
        <v>3390</v>
      </c>
      <c r="C86" t="s">
        <v>3412</v>
      </c>
      <c r="D86">
        <v>134</v>
      </c>
      <c r="I86">
        <v>6</v>
      </c>
      <c r="J86" t="s">
        <v>3483</v>
      </c>
      <c r="K86">
        <v>20</v>
      </c>
      <c r="L86" t="s">
        <v>3413</v>
      </c>
    </row>
    <row r="87" spans="1:12">
      <c r="I87">
        <v>7</v>
      </c>
      <c r="J87" t="s">
        <v>3484</v>
      </c>
      <c r="K87">
        <v>30</v>
      </c>
      <c r="L87" t="s">
        <v>3413</v>
      </c>
    </row>
    <row r="88" spans="1:12">
      <c r="I88">
        <v>8</v>
      </c>
      <c r="J88" t="s">
        <v>3485</v>
      </c>
      <c r="K88">
        <v>88</v>
      </c>
      <c r="L88" t="s">
        <v>3413</v>
      </c>
    </row>
    <row r="89" spans="1:12">
      <c r="I89">
        <v>9</v>
      </c>
      <c r="J89" t="s">
        <v>3486</v>
      </c>
      <c r="K89">
        <v>500</v>
      </c>
      <c r="L89" t="s">
        <v>3413</v>
      </c>
    </row>
    <row r="90" spans="1:12">
      <c r="I90">
        <v>10</v>
      </c>
      <c r="J90" t="s">
        <v>3487</v>
      </c>
      <c r="K90">
        <v>16</v>
      </c>
      <c r="L90" t="s">
        <v>3413</v>
      </c>
    </row>
    <row r="91" spans="1:12">
      <c r="I91">
        <v>11</v>
      </c>
      <c r="J91" t="s">
        <v>3488</v>
      </c>
      <c r="K91">
        <v>46</v>
      </c>
      <c r="L91" t="s">
        <v>3413</v>
      </c>
    </row>
    <row r="92" spans="1:12">
      <c r="I92">
        <v>12</v>
      </c>
      <c r="J92" t="s">
        <v>3489</v>
      </c>
      <c r="K92">
        <v>50</v>
      </c>
      <c r="L92" t="s">
        <v>3413</v>
      </c>
    </row>
    <row r="93" spans="1:12">
      <c r="I93">
        <v>13</v>
      </c>
      <c r="J93" t="s">
        <v>3490</v>
      </c>
      <c r="K93">
        <v>75</v>
      </c>
      <c r="L93" t="s">
        <v>3413</v>
      </c>
    </row>
    <row r="94" spans="1:12">
      <c r="I94">
        <v>14</v>
      </c>
      <c r="J94" t="s">
        <v>3491</v>
      </c>
      <c r="K94">
        <v>533</v>
      </c>
      <c r="L94" t="s">
        <v>3413</v>
      </c>
    </row>
    <row r="95" spans="1:12">
      <c r="I95">
        <v>15</v>
      </c>
      <c r="J95" t="s">
        <v>3492</v>
      </c>
      <c r="K95">
        <v>237</v>
      </c>
      <c r="L95" t="s">
        <v>3413</v>
      </c>
    </row>
    <row r="96" spans="1:12">
      <c r="I96">
        <v>16</v>
      </c>
      <c r="J96" t="s">
        <v>24</v>
      </c>
      <c r="K96">
        <v>9887.4</v>
      </c>
      <c r="L96" t="s">
        <v>3413</v>
      </c>
    </row>
    <row r="97" spans="11:11">
      <c r="K97">
        <f>K96-K95</f>
        <v>9650.4</v>
      </c>
    </row>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80" zoomScaleNormal="70" zoomScaleSheetLayoutView="80" workbookViewId="0">
      <selection activeCell="F22" sqref="F22"/>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612" t="s">
        <v>203</v>
      </c>
      <c r="B2" s="3612"/>
      <c r="C2" s="3612"/>
      <c r="D2" s="1842" t="s">
        <v>204</v>
      </c>
      <c r="E2" s="106" t="s">
        <v>205</v>
      </c>
      <c r="F2" s="2990"/>
      <c r="G2" s="1145"/>
      <c r="H2" s="1146"/>
      <c r="I2" s="1147" t="s">
        <v>837</v>
      </c>
      <c r="J2" s="2990"/>
      <c r="K2" s="2990"/>
      <c r="L2" s="2990"/>
      <c r="M2" s="2990"/>
      <c r="N2" s="2990"/>
      <c r="O2" s="2990"/>
      <c r="P2" s="2990"/>
    </row>
    <row r="3" spans="1:16" ht="15.75" thickBot="1">
      <c r="A3" s="3613" t="s">
        <v>206</v>
      </c>
      <c r="B3" s="3613"/>
      <c r="C3" s="3613"/>
      <c r="D3" s="107">
        <f>'数据-基础表'!AY6</f>
        <v>30101.08</v>
      </c>
      <c r="E3" s="107">
        <f>'数据-基础表'!AZ5</f>
        <v>26725.120000000003</v>
      </c>
      <c r="F3" s="2990"/>
      <c r="G3" s="278" t="s">
        <v>838</v>
      </c>
      <c r="H3" s="273" t="s">
        <v>839</v>
      </c>
      <c r="I3" s="1843">
        <f>ROUND('数据-基础表'!B3/'数据-基础表'!A3,2)</f>
        <v>0.89</v>
      </c>
      <c r="J3" s="2990"/>
      <c r="K3" s="2990"/>
      <c r="L3" s="2990"/>
      <c r="M3" s="2990"/>
      <c r="N3" s="2990"/>
      <c r="O3" s="2990"/>
      <c r="P3" s="2990"/>
    </row>
    <row r="4" spans="1:16" ht="15">
      <c r="A4" s="3614"/>
      <c r="B4" s="3615"/>
      <c r="C4" s="3616"/>
      <c r="D4" s="108" t="s">
        <v>204</v>
      </c>
      <c r="E4" s="109" t="s">
        <v>205</v>
      </c>
      <c r="F4" s="2990"/>
      <c r="G4" s="1148"/>
      <c r="H4" s="273" t="s">
        <v>840</v>
      </c>
      <c r="I4" s="1843">
        <f>ROUND(SUMIF('数据-基础表'!I9:AS9,"地上",'数据-基础表'!I5:AS5)/'数据-基础表'!A3,2)</f>
        <v>0.57999999999999996</v>
      </c>
      <c r="J4" s="2990"/>
      <c r="K4" s="2990"/>
      <c r="L4" s="2990"/>
      <c r="M4" s="2990"/>
      <c r="N4" s="2990"/>
      <c r="O4" s="2990"/>
      <c r="P4" s="2990"/>
    </row>
    <row r="5" spans="1:16">
      <c r="A5" s="110" t="s">
        <v>207</v>
      </c>
      <c r="B5" s="3617" t="s">
        <v>230</v>
      </c>
      <c r="C5" s="3617"/>
      <c r="D5" s="111">
        <f>ROUND($D$3*E5/$E$3,2)</f>
        <v>0</v>
      </c>
      <c r="E5" s="112">
        <f>SUMIF('数据-基础表'!$11:$11,"住宅",'数据-基础表'!$5:$5)</f>
        <v>0</v>
      </c>
      <c r="F5" s="2990"/>
      <c r="G5" s="278" t="s">
        <v>841</v>
      </c>
      <c r="H5" s="273" t="s">
        <v>839</v>
      </c>
      <c r="I5" s="1843">
        <f>ROUND(E31/D31,2)</f>
        <v>0.89</v>
      </c>
      <c r="J5" s="2990"/>
      <c r="K5" s="2990"/>
      <c r="L5" s="2990"/>
      <c r="M5" s="2990"/>
      <c r="N5" s="2990"/>
      <c r="O5" s="2990"/>
      <c r="P5" s="2990"/>
    </row>
    <row r="6" spans="1:16" ht="15" thickBot="1">
      <c r="A6" s="113"/>
      <c r="B6" s="3617" t="s">
        <v>208</v>
      </c>
      <c r="C6" s="3617"/>
      <c r="D6" s="111">
        <f>ROUND($D$3*E6/$E$3,2)</f>
        <v>30101.08</v>
      </c>
      <c r="E6" s="112">
        <f>E3-E5</f>
        <v>26725.120000000003</v>
      </c>
      <c r="F6" s="2990"/>
      <c r="G6" s="1148"/>
      <c r="H6" s="273" t="s">
        <v>840</v>
      </c>
      <c r="I6" s="1843">
        <f>ROUND(F31/D31,2)</f>
        <v>0.57999999999999996</v>
      </c>
      <c r="J6" s="2990"/>
      <c r="K6" s="2990"/>
      <c r="L6" s="2990"/>
      <c r="M6" s="2990"/>
      <c r="N6" s="2990"/>
      <c r="O6" s="2990"/>
      <c r="P6" s="2990"/>
    </row>
    <row r="7" spans="1:16" ht="15">
      <c r="A7" s="3609"/>
      <c r="B7" s="3610"/>
      <c r="C7" s="3611"/>
      <c r="D7" s="108" t="s">
        <v>204</v>
      </c>
      <c r="E7" s="114" t="s">
        <v>231</v>
      </c>
      <c r="F7" s="2990"/>
      <c r="G7" s="1103" t="s">
        <v>1445</v>
      </c>
      <c r="H7" s="1104"/>
      <c r="I7" s="1714"/>
      <c r="J7" s="2990"/>
      <c r="K7" s="2990"/>
      <c r="L7" s="2990"/>
      <c r="M7" s="2990"/>
      <c r="N7" s="2990"/>
      <c r="O7" s="2990"/>
      <c r="P7" s="2990"/>
    </row>
    <row r="8" spans="1:16">
      <c r="A8" s="110" t="s">
        <v>209</v>
      </c>
      <c r="B8" s="115" t="s">
        <v>210</v>
      </c>
      <c r="C8" s="111" t="s">
        <v>211</v>
      </c>
      <c r="D8" s="111">
        <f t="shared" ref="D8:D15" si="0">ROUND($D$3*E8/$E$3,2)</f>
        <v>19549.310000000001</v>
      </c>
      <c r="E8" s="116">
        <f>SUMIF('数据-基础表'!BB10:BK10,"地上",'数据-基础表'!BB5:BK5)</f>
        <v>17356.77</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2114</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10551.77</v>
      </c>
      <c r="E12" s="116">
        <f>SUMPRODUCT(('数据-基础表'!BB10:BK10="地下")*('数据-基础表'!BB11:BK11="仓储")*('数据-基础表'!BB5:BK5))</f>
        <v>9368.35</v>
      </c>
      <c r="F12" s="2990"/>
      <c r="G12" s="2991"/>
      <c r="H12" s="2991"/>
      <c r="I12" s="2990"/>
      <c r="J12" s="2990"/>
      <c r="K12" s="2990"/>
      <c r="L12" s="2990"/>
      <c r="M12" s="2990"/>
      <c r="N12" s="2990"/>
      <c r="O12" s="2990"/>
      <c r="P12" s="2990"/>
    </row>
    <row r="13" spans="1:16">
      <c r="A13" s="117"/>
      <c r="B13" s="118"/>
      <c r="C13" s="2164" t="s">
        <v>2121</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30101.08</v>
      </c>
      <c r="E16" s="120">
        <f>SUM(E8:E15)</f>
        <v>26725.120000000003</v>
      </c>
      <c r="F16" s="2990"/>
      <c r="G16" s="2991"/>
      <c r="H16" s="939" t="s">
        <v>219</v>
      </c>
      <c r="I16" s="940"/>
      <c r="J16" s="1851"/>
      <c r="K16" s="3603" t="s">
        <v>2281</v>
      </c>
      <c r="L16" s="3604"/>
      <c r="M16" s="3604"/>
      <c r="N16" s="3604"/>
      <c r="O16" s="3604"/>
      <c r="P16" s="3605"/>
    </row>
    <row r="17" spans="1:19" ht="15">
      <c r="A17" s="121" t="s">
        <v>216</v>
      </c>
      <c r="B17" s="122" t="s">
        <v>217</v>
      </c>
      <c r="C17" s="2131" t="s">
        <v>2100</v>
      </c>
      <c r="D17" s="108" t="s">
        <v>204</v>
      </c>
      <c r="E17" s="124" t="s">
        <v>205</v>
      </c>
      <c r="F17" s="125"/>
      <c r="G17" s="1275"/>
      <c r="H17" s="941" t="s">
        <v>218</v>
      </c>
      <c r="I17" s="942" t="s">
        <v>2099</v>
      </c>
      <c r="J17" s="1851"/>
      <c r="K17" s="3606" t="s">
        <v>2282</v>
      </c>
      <c r="L17" s="3607"/>
      <c r="M17" s="3608"/>
      <c r="N17" s="3606" t="s">
        <v>2283</v>
      </c>
      <c r="O17" s="3607"/>
      <c r="P17" s="3608"/>
      <c r="R17" s="2132" t="s">
        <v>2098</v>
      </c>
      <c r="S17" s="142"/>
    </row>
    <row r="18" spans="1:19" ht="15">
      <c r="A18" s="117"/>
      <c r="B18" s="128"/>
      <c r="C18" s="129"/>
      <c r="D18" s="2405"/>
      <c r="E18" s="130" t="s">
        <v>220</v>
      </c>
      <c r="F18" s="131" t="s">
        <v>221</v>
      </c>
      <c r="G18" s="1276" t="s">
        <v>222</v>
      </c>
      <c r="H18" s="943" t="s">
        <v>223</v>
      </c>
      <c r="I18" s="944" t="s">
        <v>224</v>
      </c>
      <c r="J18" s="1851"/>
      <c r="K18" s="2370" t="s">
        <v>2284</v>
      </c>
      <c r="L18" s="2371" t="s">
        <v>2285</v>
      </c>
      <c r="M18" s="2372" t="s">
        <v>2286</v>
      </c>
      <c r="N18" s="2370" t="s">
        <v>2284</v>
      </c>
      <c r="O18" s="2371" t="s">
        <v>2285</v>
      </c>
      <c r="P18" s="2372" t="s">
        <v>2286</v>
      </c>
      <c r="R18" s="2133" t="s">
        <v>2096</v>
      </c>
      <c r="S18" s="2133" t="s">
        <v>2097</v>
      </c>
    </row>
    <row r="19" spans="1:19">
      <c r="A19" s="133"/>
      <c r="B19" s="115" t="s">
        <v>225</v>
      </c>
      <c r="C19" s="2658" t="s">
        <v>3358</v>
      </c>
      <c r="D19" s="111">
        <f t="shared" ref="D19:D26" si="1">ROUND($D$3*E19/$E$3,2)</f>
        <v>30101.08</v>
      </c>
      <c r="E19" s="134">
        <f t="shared" ref="E19:E26" si="2">SUM(F19:G19)</f>
        <v>26725.120000000003</v>
      </c>
      <c r="F19" s="2992">
        <f>'数据-基础表'!I5</f>
        <v>17356.77</v>
      </c>
      <c r="G19" s="2993">
        <f>'数据-基础表'!K5</f>
        <v>9368.35</v>
      </c>
      <c r="H19" s="945">
        <f>ROUND($D$3*I19/$E$3,2)</f>
        <v>0</v>
      </c>
      <c r="I19" s="116">
        <f>IF($I$17="自定义",P19,M19)</f>
        <v>0</v>
      </c>
      <c r="J19" s="1851"/>
      <c r="K19" s="2373">
        <f t="shared" ref="K19:K26" si="3">ROUND(E$28*E19/E$27,2)</f>
        <v>0</v>
      </c>
      <c r="L19" s="273">
        <f t="shared" ref="L19:L26" si="4">ROUND(IF(COUNTIF(C19,"*住宅*")&gt;0,E$29*E19/E$32,0),2)</f>
        <v>0</v>
      </c>
      <c r="M19" s="2374">
        <f>K19+L19</f>
        <v>0</v>
      </c>
      <c r="N19" s="2375"/>
      <c r="O19" s="2376"/>
      <c r="P19" s="2377">
        <f>N19+O19</f>
        <v>0</v>
      </c>
      <c r="R19" s="273">
        <f t="shared" ref="R19:S26" si="5">D19+H19</f>
        <v>30101.08</v>
      </c>
      <c r="S19" s="2134">
        <f t="shared" si="5"/>
        <v>26725.120000000003</v>
      </c>
    </row>
    <row r="20" spans="1:19">
      <c r="A20" s="137"/>
      <c r="B20" s="115" t="s">
        <v>226</v>
      </c>
      <c r="C20" s="2658"/>
      <c r="D20" s="111">
        <f t="shared" si="1"/>
        <v>0</v>
      </c>
      <c r="E20" s="134">
        <f t="shared" si="2"/>
        <v>0</v>
      </c>
      <c r="F20" s="2992"/>
      <c r="G20" s="2993"/>
      <c r="H20" s="945">
        <f t="shared" ref="H20:H26" si="6">ROUND($D$3*I20/$E$3,2)</f>
        <v>0</v>
      </c>
      <c r="I20" s="116">
        <f t="shared" ref="I20:I26" si="7">IF($I$17="自定义",P20,M20)</f>
        <v>0</v>
      </c>
      <c r="J20" s="1851"/>
      <c r="K20" s="2373">
        <f t="shared" si="3"/>
        <v>0</v>
      </c>
      <c r="L20" s="273">
        <f t="shared" si="4"/>
        <v>0</v>
      </c>
      <c r="M20" s="2374">
        <f t="shared" ref="M20:M26" si="8">K20+L20</f>
        <v>0</v>
      </c>
      <c r="N20" s="2375"/>
      <c r="O20" s="2376"/>
      <c r="P20" s="2377">
        <f t="shared" ref="P20:P26" si="9">N20+O20</f>
        <v>0</v>
      </c>
      <c r="R20" s="273">
        <f t="shared" si="5"/>
        <v>0</v>
      </c>
      <c r="S20" s="2134">
        <f t="shared" si="5"/>
        <v>0</v>
      </c>
    </row>
    <row r="21" spans="1:19">
      <c r="A21" s="137"/>
      <c r="B21" s="115" t="s">
        <v>226</v>
      </c>
      <c r="C21" s="2658"/>
      <c r="D21" s="111">
        <f t="shared" si="1"/>
        <v>0</v>
      </c>
      <c r="E21" s="134">
        <f t="shared" si="2"/>
        <v>0</v>
      </c>
      <c r="F21" s="2992"/>
      <c r="G21" s="2993"/>
      <c r="H21" s="945">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c r="A22" s="137"/>
      <c r="B22" s="115" t="s">
        <v>226</v>
      </c>
      <c r="C22" s="1274"/>
      <c r="D22" s="111">
        <f t="shared" si="1"/>
        <v>0</v>
      </c>
      <c r="E22" s="134">
        <f t="shared" si="2"/>
        <v>0</v>
      </c>
      <c r="F22" s="2994"/>
      <c r="G22" s="2995"/>
      <c r="H22" s="945">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c r="A23" s="137"/>
      <c r="B23" s="115" t="s">
        <v>226</v>
      </c>
      <c r="C23" s="138"/>
      <c r="D23" s="111">
        <f>ROUND($D$3*E23/$E$3,2)</f>
        <v>0</v>
      </c>
      <c r="E23" s="134">
        <f>SUM(F23:G23)</f>
        <v>0</v>
      </c>
      <c r="F23" s="2994"/>
      <c r="G23" s="2995"/>
      <c r="H23" s="945">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c r="A24" s="137"/>
      <c r="B24" s="115" t="s">
        <v>226</v>
      </c>
      <c r="C24" s="138"/>
      <c r="D24" s="111">
        <f>ROUND($D$3*E24/$E$3,2)</f>
        <v>0</v>
      </c>
      <c r="E24" s="134">
        <f>SUM(F24:G24)</f>
        <v>0</v>
      </c>
      <c r="F24" s="2994"/>
      <c r="G24" s="2995"/>
      <c r="H24" s="945">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15.75" thickBot="1">
      <c r="A27" s="137"/>
      <c r="B27" s="111"/>
      <c r="C27" s="127" t="s">
        <v>215</v>
      </c>
      <c r="D27" s="134">
        <f>SUM(D19:D26)</f>
        <v>30101.08</v>
      </c>
      <c r="E27" s="141">
        <f>IF(SUM(E19:E26)='数据-基础表'!BA5,SUM(E19:E26),IF(F27="地上面积有误","面积有误","地下面积有误"))</f>
        <v>26725.120000000003</v>
      </c>
      <c r="F27" s="134">
        <f>IF(SUM(F19:F26)=E8,SUM(F19:F26),"地上面积有误")</f>
        <v>17356.77</v>
      </c>
      <c r="G27" s="112">
        <f>SUM(G19:G26)</f>
        <v>9368.35</v>
      </c>
      <c r="H27" s="946">
        <f>SUM(H19:H26)</f>
        <v>0</v>
      </c>
      <c r="I27" s="947">
        <f>SUM(I19:I26)</f>
        <v>0</v>
      </c>
      <c r="J27" s="1851"/>
      <c r="K27" s="2382">
        <f>SUM(K19:K26)</f>
        <v>0</v>
      </c>
      <c r="L27" s="2383">
        <f>SUM(L19:L26)</f>
        <v>0</v>
      </c>
      <c r="M27" s="2384">
        <f>SUM(M19:M26)</f>
        <v>0</v>
      </c>
      <c r="N27" s="2382">
        <f t="shared" ref="N27:O27" si="10">SUM(N19:N26)</f>
        <v>0</v>
      </c>
      <c r="O27" s="2383">
        <f t="shared" si="10"/>
        <v>0</v>
      </c>
      <c r="P27" s="2385">
        <f>SUM(P19:P26)</f>
        <v>0</v>
      </c>
      <c r="R27" s="2138">
        <f>IF(SUM(R19:R26)=$D$3,SUM(R19:R26),SUM(R19:R26)&amp;"误差"&amp;ROUND(SUM(R19:R26)-$D$3,2))</f>
        <v>30101.08</v>
      </c>
      <c r="S27" s="273">
        <f>IF(SUM(S19:S26)=$E$3,SUM(S19:S26),SUM(S19:S26)&amp;"误差"&amp;ROUND(SUM(S19:S26)-E3,2))</f>
        <v>26725.120000000003</v>
      </c>
    </row>
    <row r="28" spans="1:19">
      <c r="A28" s="137"/>
      <c r="B28" s="115" t="s">
        <v>227</v>
      </c>
      <c r="C28" s="135" t="s">
        <v>228</v>
      </c>
      <c r="D28" s="111">
        <f>ROUND($D$3*E28/$E$3,2)</f>
        <v>0</v>
      </c>
      <c r="E28" s="134">
        <f>SUM(F28:G28)</f>
        <v>0</v>
      </c>
      <c r="F28" s="142">
        <f>'数据-基础表'!BQ5+'数据-基础表'!BS5</f>
        <v>0</v>
      </c>
      <c r="G28" s="143">
        <f>'数据-基础表'!BR5+'数据-基础表'!BT5</f>
        <v>0</v>
      </c>
      <c r="H28" s="2990"/>
      <c r="I28" s="2990"/>
      <c r="J28" s="2990"/>
      <c r="K28" s="2990"/>
      <c r="L28" s="2990"/>
      <c r="M28" s="2990"/>
      <c r="N28" s="2990"/>
      <c r="O28" s="2990"/>
      <c r="P28" s="2990"/>
    </row>
    <row r="29" spans="1:19">
      <c r="A29" s="137"/>
      <c r="B29" s="115" t="s">
        <v>227</v>
      </c>
      <c r="C29" s="2146" t="s">
        <v>2107</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0</v>
      </c>
      <c r="E30" s="134">
        <f>SUM(E28:E29)</f>
        <v>0</v>
      </c>
      <c r="F30" s="134">
        <f>SUM(F28:F29)</f>
        <v>0</v>
      </c>
      <c r="G30" s="112">
        <f>SUM(G28:G29)</f>
        <v>0</v>
      </c>
      <c r="H30" s="2990"/>
      <c r="I30" s="2990"/>
      <c r="J30" s="2990"/>
      <c r="K30" s="2990"/>
      <c r="L30" s="2990"/>
      <c r="M30" s="2990"/>
      <c r="N30" s="2990"/>
      <c r="O30" s="2990"/>
      <c r="P30" s="2990"/>
    </row>
    <row r="31" spans="1:19" ht="32.25" customHeight="1" thickBot="1">
      <c r="A31" s="1277"/>
      <c r="B31" s="1278" t="s">
        <v>229</v>
      </c>
      <c r="C31" s="2163" t="s">
        <v>2109</v>
      </c>
      <c r="D31" s="1279">
        <f>D27+D30</f>
        <v>30101.08</v>
      </c>
      <c r="E31" s="1279">
        <f>E27+E30</f>
        <v>26725.120000000003</v>
      </c>
      <c r="F31" s="1280">
        <f>F27+F30</f>
        <v>17356.77</v>
      </c>
      <c r="G31" s="1281">
        <f>G27+G30</f>
        <v>9368.35</v>
      </c>
      <c r="H31" s="2990"/>
      <c r="I31" s="2990"/>
      <c r="J31" s="2990"/>
      <c r="K31" s="2990"/>
      <c r="L31" s="2990"/>
      <c r="M31" s="2990"/>
      <c r="N31" s="2990"/>
      <c r="O31" s="2990"/>
      <c r="P31" s="2990"/>
    </row>
    <row r="32" spans="1:19">
      <c r="A32" s="1851"/>
      <c r="B32" s="2175" t="s">
        <v>2108</v>
      </c>
      <c r="C32" s="2410"/>
      <c r="D32" s="1148"/>
      <c r="E32" s="1148">
        <f>SUMIF(C19:C26,"*住宅*",E19:E26)</f>
        <v>0</v>
      </c>
      <c r="F32" s="1148"/>
      <c r="G32" s="1148"/>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P30" activePane="bottomRight" state="frozen"/>
      <selection pane="topRight" activeCell="D1" sqref="D1"/>
      <selection pane="bottomLeft" activeCell="A4" sqref="A4"/>
      <selection pane="bottomRight" activeCell="AM6" sqref="AM6"/>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11"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1"/>
    <col min="42" max="42" width="13.75" style="1861" customWidth="1"/>
    <col min="43" max="83" width="13.75" style="1861"/>
    <col min="84" max="16384" width="13.75" style="1150"/>
  </cols>
  <sheetData>
    <row r="1" spans="1:83" ht="19.5" thickBot="1">
      <c r="A1" s="146" t="s">
        <v>234</v>
      </c>
      <c r="B1" s="1149"/>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3" customFormat="1" ht="15.75" thickBot="1">
      <c r="A2" s="147" t="s">
        <v>235</v>
      </c>
      <c r="B2" s="2171">
        <f>项目基本情况!D3</f>
        <v>44705</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3" customFormat="1" ht="15" thickBot="1">
      <c r="A3" s="1154"/>
      <c r="B3" s="1151"/>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9" customFormat="1" ht="54">
      <c r="A5" s="2137" t="s">
        <v>2111</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3359</v>
      </c>
      <c r="O5" s="161" t="s">
        <v>246</v>
      </c>
      <c r="P5" s="163" t="s">
        <v>247</v>
      </c>
      <c r="Q5" s="164" t="s">
        <v>248</v>
      </c>
      <c r="R5" s="165" t="s">
        <v>249</v>
      </c>
      <c r="S5" s="2386" t="s">
        <v>2287</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2110</v>
      </c>
      <c r="AI5" s="169" t="s">
        <v>2079</v>
      </c>
      <c r="AJ5" s="169" t="s">
        <v>258</v>
      </c>
      <c r="AK5" s="157" t="s">
        <v>259</v>
      </c>
      <c r="AL5" s="157" t="s">
        <v>260</v>
      </c>
      <c r="AM5" s="170" t="s">
        <v>261</v>
      </c>
      <c r="AN5" s="2199" t="s">
        <v>2157</v>
      </c>
      <c r="AO5" s="3011"/>
      <c r="AP5" s="2996" t="s">
        <v>2694</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3" customFormat="1" ht="14.25">
      <c r="A6" s="2135" t="str">
        <f>'数据-汇总表'!C19</f>
        <v>商业</v>
      </c>
      <c r="B6" s="2170" t="str">
        <f>IF(A6=0,"","经营性")</f>
        <v>经营性</v>
      </c>
      <c r="C6" s="171" t="s">
        <v>3336</v>
      </c>
      <c r="D6" s="2141">
        <f>SUMIF(项目基本情况!D$15:I$15,C6,项目基本情况!D$18:I$18)</f>
        <v>40</v>
      </c>
      <c r="E6" s="2142">
        <f>IF(B6="","",SUMIF(项目基本情况!D$15:I$15,C6,项目基本情况!D$17:I$17))</f>
        <v>57802</v>
      </c>
      <c r="F6" s="172">
        <f>SUMIF(项目基本情况!D$15:I$15,C6,项目基本情况!D$19:I$19)</f>
        <v>35.880000000000003</v>
      </c>
      <c r="G6" s="173">
        <f>IF(ISERROR(ROUND(POWER(1+H6,D6-F6)*(POWER(1+H6,F6)-1)/(POWER(1+H6,D6)-1),3)),0,ROUND(POWER(1+H6,D6-F6)*(POWER(1+H6,F6)-1)/(POWER(1+H6,D6)-1),3))</f>
        <v>0.96699999999999997</v>
      </c>
      <c r="H6" s="2659">
        <v>5.5E-2</v>
      </c>
      <c r="I6" s="2659">
        <v>0.06</v>
      </c>
      <c r="J6" s="174">
        <v>0.08</v>
      </c>
      <c r="K6" s="177">
        <f>SUMIF('数据-汇总表'!C$19:C$33,'数据-取费表'!A6,'数据-汇总表'!E$19:E$33)</f>
        <v>26725.120000000003</v>
      </c>
      <c r="L6" s="2660">
        <v>9500</v>
      </c>
      <c r="M6" s="175">
        <f t="shared" ref="M6:M14" si="0">ROUND(K6*L6/10000,0)</f>
        <v>25389</v>
      </c>
      <c r="N6" s="2661">
        <v>0</v>
      </c>
      <c r="O6" s="175">
        <f>IF($N$5="成新度","——",ROUND(M6*N6,0))</f>
        <v>0</v>
      </c>
      <c r="P6" s="176">
        <f>IF($N$5="成新度","——",M6-O6)</f>
        <v>25389</v>
      </c>
      <c r="Q6" s="2662">
        <v>0.3</v>
      </c>
      <c r="R6" s="177">
        <f>SUMIF('数据-汇总表'!C$19:C$33,A6,'数据-汇总表'!R$19:R$33)</f>
        <v>30101.08</v>
      </c>
      <c r="S6" s="132">
        <f>IF('数据-汇总表'!$I$17="按面积比例",SUMIF('数据-汇总表'!C$19:C$33,A6,'数据-汇总表'!K$19:K$33),SUMIF('数据-汇总表'!C$19:C$33,A6,'数据-汇总表'!N$19:N$33))</f>
        <v>0</v>
      </c>
      <c r="T6" s="2067" t="str">
        <f>IF($T$4="按面积比例",IF(ISERROR(ROUND($M$14*S6/S$16,0)),"0",ROUND($M$14*S6/S$16,0)),"需自行计算录入")</f>
        <v>0</v>
      </c>
      <c r="U6" s="178">
        <f>'不动产收益法-酒店模型'!U60*10000</f>
        <v>110725999.99999999</v>
      </c>
      <c r="V6" s="179">
        <v>0</v>
      </c>
      <c r="W6" s="179">
        <v>0</v>
      </c>
      <c r="X6" s="2154"/>
      <c r="Y6" s="180">
        <v>1</v>
      </c>
      <c r="Z6" s="181"/>
      <c r="AA6" s="174"/>
      <c r="AB6" s="174"/>
      <c r="AC6" s="2157"/>
      <c r="AD6" s="182"/>
      <c r="AE6" s="943">
        <f ca="1">IF(AN6="",0,SUMIF(INDIRECT("'"&amp;AN6&amp;"'"&amp;"!E:E"),$AE$5,INDIRECT("'"&amp;AN6&amp;"'"&amp;"!F:F")))</f>
        <v>32.880000000000003</v>
      </c>
      <c r="AF6" s="139"/>
      <c r="AG6" s="1160">
        <f>IF(AF6="",0,AE6-AF6)</f>
        <v>0</v>
      </c>
      <c r="AH6" s="139">
        <v>1</v>
      </c>
      <c r="AI6" s="185">
        <v>1</v>
      </c>
      <c r="AJ6" s="186"/>
      <c r="AK6" s="187">
        <v>2.5000000000000001E-2</v>
      </c>
      <c r="AL6" s="188">
        <v>3.0000000000000001E-3</v>
      </c>
      <c r="AM6" s="2671">
        <v>0.03</v>
      </c>
      <c r="AN6" s="2200" t="s">
        <v>3360</v>
      </c>
      <c r="AO6" s="3000"/>
      <c r="AP6" s="1151">
        <f>ROUND(1-1/(1+H6)^F6,3)</f>
        <v>0.85399999999999998</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3" customFormat="1" ht="14.25">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t="str">
        <f t="shared" ref="T7:T13" si="5">IF($T$4="按面积比例",IF(ISERROR(ROUND($M$14*S7/S$16,0)),"0",ROUND($M$14*S7/S$16,0)),"需自行计算录入")</f>
        <v>0</v>
      </c>
      <c r="U7" s="178"/>
      <c r="V7" s="179"/>
      <c r="W7" s="179"/>
      <c r="X7" s="2154"/>
      <c r="Y7" s="180"/>
      <c r="Z7" s="181"/>
      <c r="AA7" s="174"/>
      <c r="AB7" s="174"/>
      <c r="AC7" s="2157"/>
      <c r="AD7" s="182"/>
      <c r="AE7" s="943">
        <f t="shared" ref="AE7:AE13" ca="1" si="6">IF(AN7="",0,SUMIF(INDIRECT("'"&amp;AN7&amp;"'"&amp;"!E:E"),$AE$5,INDIRECT("'"&amp;AN7&amp;"'"&amp;"!F:F")))</f>
        <v>0</v>
      </c>
      <c r="AF7" s="139"/>
      <c r="AG7" s="1160">
        <f t="shared" ref="AG7:AG13" si="7">IF(AF7="",0,AE7-AF7)</f>
        <v>0</v>
      </c>
      <c r="AH7" s="139"/>
      <c r="AI7" s="185"/>
      <c r="AJ7" s="186"/>
      <c r="AK7" s="187"/>
      <c r="AL7" s="188"/>
      <c r="AM7" s="2198"/>
      <c r="AN7" s="2200"/>
      <c r="AO7" s="3000"/>
      <c r="AP7" s="1151">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3"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t="str">
        <f t="shared" si="5"/>
        <v>0</v>
      </c>
      <c r="U8" s="178"/>
      <c r="V8" s="179"/>
      <c r="W8" s="179"/>
      <c r="X8" s="2154"/>
      <c r="Y8" s="180"/>
      <c r="Z8" s="181"/>
      <c r="AA8" s="174"/>
      <c r="AB8" s="174"/>
      <c r="AC8" s="2157"/>
      <c r="AD8" s="182"/>
      <c r="AE8" s="943">
        <f t="shared" ca="1" si="6"/>
        <v>0</v>
      </c>
      <c r="AF8" s="139"/>
      <c r="AG8" s="1160">
        <f t="shared" si="7"/>
        <v>0</v>
      </c>
      <c r="AH8" s="139"/>
      <c r="AI8" s="185"/>
      <c r="AJ8" s="186"/>
      <c r="AK8" s="187"/>
      <c r="AL8" s="188"/>
      <c r="AM8" s="2198"/>
      <c r="AN8" s="2200"/>
      <c r="AO8" s="3000"/>
      <c r="AP8" s="1151">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3"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t="str">
        <f t="shared" si="5"/>
        <v>0</v>
      </c>
      <c r="U9" s="178"/>
      <c r="V9" s="179"/>
      <c r="W9" s="179"/>
      <c r="X9" s="2154"/>
      <c r="Y9" s="180"/>
      <c r="Z9" s="181"/>
      <c r="AA9" s="174"/>
      <c r="AB9" s="174"/>
      <c r="AC9" s="2157"/>
      <c r="AD9" s="182"/>
      <c r="AE9" s="943">
        <f t="shared" ca="1" si="6"/>
        <v>0</v>
      </c>
      <c r="AF9" s="139"/>
      <c r="AG9" s="1160">
        <f t="shared" si="7"/>
        <v>0</v>
      </c>
      <c r="AH9" s="139"/>
      <c r="AI9" s="185"/>
      <c r="AJ9" s="186"/>
      <c r="AK9" s="187"/>
      <c r="AL9" s="188"/>
      <c r="AM9" s="2198"/>
      <c r="AN9" s="2200"/>
      <c r="AO9" s="3000"/>
      <c r="AP9" s="1151">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3"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t="str">
        <f t="shared" si="5"/>
        <v>0</v>
      </c>
      <c r="U10" s="178"/>
      <c r="V10" s="179"/>
      <c r="W10" s="179"/>
      <c r="X10" s="2154"/>
      <c r="Y10" s="180"/>
      <c r="Z10" s="181"/>
      <c r="AA10" s="174"/>
      <c r="AB10" s="174"/>
      <c r="AC10" s="2157"/>
      <c r="AD10" s="182"/>
      <c r="AE10" s="943">
        <f t="shared" ca="1" si="6"/>
        <v>0</v>
      </c>
      <c r="AF10" s="139"/>
      <c r="AG10" s="1160">
        <f t="shared" si="7"/>
        <v>0</v>
      </c>
      <c r="AH10" s="139"/>
      <c r="AI10" s="185"/>
      <c r="AJ10" s="186"/>
      <c r="AK10" s="187"/>
      <c r="AL10" s="188"/>
      <c r="AM10" s="2198"/>
      <c r="AN10" s="2200"/>
      <c r="AO10" s="3000"/>
      <c r="AP10" s="1151">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3"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t="str">
        <f t="shared" si="5"/>
        <v>0</v>
      </c>
      <c r="U11" s="183"/>
      <c r="V11" s="174"/>
      <c r="W11" s="174"/>
      <c r="X11" s="2157"/>
      <c r="Y11" s="180"/>
      <c r="Z11" s="193"/>
      <c r="AA11" s="174"/>
      <c r="AB11" s="174"/>
      <c r="AC11" s="2157"/>
      <c r="AD11" s="182"/>
      <c r="AE11" s="943">
        <f t="shared" ca="1" si="6"/>
        <v>0</v>
      </c>
      <c r="AF11" s="139"/>
      <c r="AG11" s="1160">
        <f t="shared" si="7"/>
        <v>0</v>
      </c>
      <c r="AH11" s="139"/>
      <c r="AI11" s="185"/>
      <c r="AJ11" s="186"/>
      <c r="AK11" s="194"/>
      <c r="AL11" s="195"/>
      <c r="AM11" s="1686"/>
      <c r="AN11" s="2200"/>
      <c r="AO11" s="3000"/>
      <c r="AP11" s="1151">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3"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t="str">
        <f t="shared" si="5"/>
        <v>0</v>
      </c>
      <c r="U12" s="183"/>
      <c r="V12" s="174"/>
      <c r="W12" s="174"/>
      <c r="X12" s="2157"/>
      <c r="Y12" s="180"/>
      <c r="Z12" s="193"/>
      <c r="AA12" s="174"/>
      <c r="AB12" s="174"/>
      <c r="AC12" s="2157"/>
      <c r="AD12" s="182"/>
      <c r="AE12" s="943">
        <f t="shared" ca="1" si="6"/>
        <v>0</v>
      </c>
      <c r="AF12" s="139"/>
      <c r="AG12" s="1160">
        <f t="shared" si="7"/>
        <v>0</v>
      </c>
      <c r="AH12" s="139"/>
      <c r="AI12" s="185"/>
      <c r="AJ12" s="186"/>
      <c r="AK12" s="194"/>
      <c r="AL12" s="195"/>
      <c r="AM12" s="1686"/>
      <c r="AN12" s="2200"/>
      <c r="AO12" s="3000"/>
      <c r="AP12" s="1151">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3"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t="str">
        <f t="shared" si="5"/>
        <v>0</v>
      </c>
      <c r="U13" s="178"/>
      <c r="V13" s="179"/>
      <c r="W13" s="179"/>
      <c r="X13" s="2154"/>
      <c r="Y13" s="180"/>
      <c r="Z13" s="181"/>
      <c r="AA13" s="174"/>
      <c r="AB13" s="174"/>
      <c r="AC13" s="2157"/>
      <c r="AD13" s="182"/>
      <c r="AE13" s="943">
        <f t="shared" ca="1" si="6"/>
        <v>0</v>
      </c>
      <c r="AF13" s="139"/>
      <c r="AG13" s="1160">
        <f t="shared" si="7"/>
        <v>0</v>
      </c>
      <c r="AH13" s="139"/>
      <c r="AI13" s="185"/>
      <c r="AJ13" s="186"/>
      <c r="AK13" s="187"/>
      <c r="AL13" s="188"/>
      <c r="AM13" s="2198"/>
      <c r="AN13" s="2200"/>
      <c r="AO13" s="3000"/>
      <c r="AP13" s="1151">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3" customFormat="1" ht="14.25">
      <c r="A14" s="2136" t="s">
        <v>2101</v>
      </c>
      <c r="B14" s="2139" t="s">
        <v>1479</v>
      </c>
      <c r="C14" s="2140" t="s">
        <v>2101</v>
      </c>
      <c r="D14" s="2141"/>
      <c r="E14" s="2142"/>
      <c r="F14" s="172"/>
      <c r="G14" s="173"/>
      <c r="H14" s="2143"/>
      <c r="I14" s="2143"/>
      <c r="J14" s="2143"/>
      <c r="K14" s="177">
        <f>SUMIF('数据-汇总表'!C$19:C$33,'数据-取费表'!A14,'数据-汇总表'!E$19:E$33)</f>
        <v>0</v>
      </c>
      <c r="L14" s="191">
        <f>L6</f>
        <v>9500</v>
      </c>
      <c r="M14" s="175">
        <f t="shared" si="0"/>
        <v>0</v>
      </c>
      <c r="N14" s="192">
        <f>N6</f>
        <v>0</v>
      </c>
      <c r="O14" s="175">
        <f t="shared" si="3"/>
        <v>0</v>
      </c>
      <c r="P14" s="176">
        <f t="shared" si="4"/>
        <v>0</v>
      </c>
      <c r="Q14" s="2151"/>
      <c r="R14" s="177"/>
      <c r="S14" s="132"/>
      <c r="T14" s="2150"/>
      <c r="U14" s="945"/>
      <c r="V14" s="2153"/>
      <c r="W14" s="2153"/>
      <c r="X14" s="2154"/>
      <c r="Y14" s="2155"/>
      <c r="Z14" s="135"/>
      <c r="AA14" s="2156"/>
      <c r="AB14" s="2156"/>
      <c r="AC14" s="2157"/>
      <c r="AD14" s="2154"/>
      <c r="AE14" s="943"/>
      <c r="AF14" s="2129"/>
      <c r="AG14" s="1160"/>
      <c r="AH14" s="2129"/>
      <c r="AI14" s="1462"/>
      <c r="AJ14" s="1462"/>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3" customFormat="1" ht="27">
      <c r="A15" s="2145" t="s">
        <v>2103</v>
      </c>
      <c r="B15" s="2139" t="s">
        <v>1479</v>
      </c>
      <c r="C15" s="2140" t="s">
        <v>2102</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5"/>
      <c r="V15" s="2153"/>
      <c r="W15" s="2153"/>
      <c r="X15" s="2154"/>
      <c r="Y15" s="2155"/>
      <c r="Z15" s="135"/>
      <c r="AA15" s="2156"/>
      <c r="AB15" s="2156"/>
      <c r="AC15" s="2157"/>
      <c r="AD15" s="2154"/>
      <c r="AE15" s="943"/>
      <c r="AF15" s="2129"/>
      <c r="AG15" s="1160"/>
      <c r="AH15" s="2129"/>
      <c r="AI15" s="1462"/>
      <c r="AJ15" s="1462"/>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3" customFormat="1" ht="15.75" thickBot="1">
      <c r="A16" s="196" t="s">
        <v>262</v>
      </c>
      <c r="B16" s="197"/>
      <c r="C16" s="198"/>
      <c r="D16" s="199"/>
      <c r="E16" s="197"/>
      <c r="F16" s="197"/>
      <c r="G16" s="200">
        <f>ROUND(SUMPRODUCT(G6:G13,K6:K13)/SUMPRODUCT((G6:G13&gt;0)*(K6:K13)),3)</f>
        <v>0.96699999999999997</v>
      </c>
      <c r="H16" s="201">
        <f>ROUND(SUMPRODUCT(H6:H13,K6:K13)/SUMPRODUCT((H6:H13&gt;0)*(K6:K13)),3)</f>
        <v>5.5E-2</v>
      </c>
      <c r="I16" s="202"/>
      <c r="J16" s="202"/>
      <c r="K16" s="203">
        <f>SUM(K6:K15)</f>
        <v>26725.120000000003</v>
      </c>
      <c r="L16" s="204">
        <f>ROUND(M16*10000/SUM(K6:K14),0)</f>
        <v>9500</v>
      </c>
      <c r="M16" s="204">
        <f>SUM(M6:M14)</f>
        <v>25389</v>
      </c>
      <c r="N16" s="205">
        <f>ROUND(SUMPRODUCT(M6:M14,N6:N14)/M16,3)</f>
        <v>0</v>
      </c>
      <c r="O16" s="204">
        <f>SUM(O6:O14)</f>
        <v>0</v>
      </c>
      <c r="P16" s="204">
        <f>SUM(P6:P14)</f>
        <v>25389</v>
      </c>
      <c r="Q16" s="206">
        <f>ROUND(SUMPRODUCT(Q6:Q13,K6:K13)/SUMPRODUCT((Q6:Q13&gt;0)*(K6:K13)),2)</f>
        <v>0.3</v>
      </c>
      <c r="R16" s="2144">
        <f>SUM(R6:R13)</f>
        <v>30101.08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1">
        <f>ROUND(SUMPRODUCT(AP6:AP13,K6:K13)/SUMPRODUCT((AP6:AP13&gt;0)*(K6:K13)),3)</f>
        <v>0.85399999999999998</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1"/>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t="s">
        <v>3430</v>
      </c>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2706</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3</v>
      </c>
      <c r="C20" s="3012" t="s">
        <v>2122</v>
      </c>
      <c r="D20" s="3001"/>
      <c r="E20" s="3000"/>
      <c r="F20" s="3000"/>
      <c r="G20" s="3000"/>
      <c r="H20" s="3000"/>
      <c r="I20" s="3000"/>
      <c r="J20" s="3000"/>
      <c r="K20" s="3471" t="s">
        <v>3434</v>
      </c>
      <c r="L20" s="3471" t="s">
        <v>3473</v>
      </c>
      <c r="M20" s="2997">
        <f>指标!N51+指标!N75</f>
        <v>25863.980000000003</v>
      </c>
      <c r="N20" s="3472" t="s">
        <v>3431</v>
      </c>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0</v>
      </c>
      <c r="C21" s="3000"/>
      <c r="D21" s="3001"/>
      <c r="E21" s="3000"/>
      <c r="F21" s="3000"/>
      <c r="G21" s="3000"/>
      <c r="H21" s="3000"/>
      <c r="I21" s="3000"/>
      <c r="J21" s="3000"/>
      <c r="K21" s="2999"/>
      <c r="L21" s="3471" t="s">
        <v>3432</v>
      </c>
      <c r="M21" s="2997">
        <f>指标!D47</f>
        <v>26725.119999999999</v>
      </c>
      <c r="N21" s="3472" t="s">
        <v>3433</v>
      </c>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3</v>
      </c>
      <c r="C22" s="3000"/>
      <c r="D22" s="3001"/>
      <c r="E22" s="3000"/>
      <c r="F22" s="3000"/>
      <c r="G22" s="3000"/>
      <c r="H22" s="3000"/>
      <c r="I22" s="3000"/>
      <c r="J22" s="3000"/>
      <c r="K22" s="2999"/>
      <c r="L22" s="2999"/>
      <c r="M22" s="2997">
        <f>ROUND(M20*10000/M21,0)</f>
        <v>9678</v>
      </c>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3</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4"/>
      <c r="B25" s="1151"/>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2" customFormat="1" ht="27.75">
      <c r="A27" s="224" t="s">
        <v>2124</v>
      </c>
      <c r="B27" s="225"/>
      <c r="C27" s="3013" t="s">
        <v>2707</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2" customFormat="1" ht="27.75">
      <c r="A28" s="226" t="s">
        <v>2125</v>
      </c>
      <c r="B28" s="227">
        <v>150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2" customFormat="1" ht="28.5" thickBot="1">
      <c r="A29" s="229" t="s">
        <v>2123</v>
      </c>
      <c r="B29" s="230"/>
      <c r="C29" s="3014" t="s">
        <v>2126</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2" customFormat="1" ht="27">
      <c r="A30" s="233" t="s">
        <v>273</v>
      </c>
      <c r="B30" s="949">
        <v>180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2" customFormat="1" ht="27">
      <c r="A31" s="226" t="s">
        <v>274</v>
      </c>
      <c r="B31" s="228">
        <f>B30-B32</f>
        <v>180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2" customFormat="1" ht="27.75" thickBot="1">
      <c r="A32" s="235" t="s">
        <v>275</v>
      </c>
      <c r="B32" s="1285">
        <v>0</v>
      </c>
      <c r="C32" s="3006"/>
      <c r="D32" s="3474" t="s">
        <v>3493</v>
      </c>
      <c r="E32" s="3475" t="s">
        <v>3494</v>
      </c>
      <c r="F32" s="3475" t="s">
        <v>3495</v>
      </c>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2" customFormat="1" ht="14.25">
      <c r="A33" s="224" t="s">
        <v>278</v>
      </c>
      <c r="B33" s="1286">
        <v>0.1</v>
      </c>
      <c r="C33" s="3015" t="s">
        <v>2695</v>
      </c>
      <c r="D33" s="3004">
        <f>指标!K97</f>
        <v>9650.4</v>
      </c>
      <c r="E33" s="3005">
        <f ca="1">'剩余法-待开发'!C14</f>
        <v>2539</v>
      </c>
      <c r="F33" s="3005">
        <f>ROUND('数据-汇总表'!E3/'数据-取费表'!M21*'数据-取费表'!D33,0)</f>
        <v>9650</v>
      </c>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v>
      </c>
      <c r="C34" s="3015" t="s">
        <v>2696</v>
      </c>
      <c r="D34" s="3016" t="s">
        <v>2703</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800</v>
      </c>
      <c r="C35" s="3015" t="s">
        <v>2697</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2698</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0.03</v>
      </c>
      <c r="C37" s="3015" t="s">
        <v>2699</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0.03</v>
      </c>
      <c r="C38" s="3015" t="s">
        <v>2699</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2233</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7.75" thickBot="1">
      <c r="A40" s="3187" t="s">
        <v>3361</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50"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50"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2704</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2700</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2701</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v>0</v>
      </c>
      <c r="C47" s="3013" t="s">
        <v>2708</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2700</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2702</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1.5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1388</v>
      </c>
      <c r="C53" s="3008" t="s">
        <v>2599</v>
      </c>
      <c r="D53" s="3019" t="s">
        <v>2705</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2600</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2601</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2602</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2603</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2604</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2605</v>
      </c>
      <c r="B59" s="184">
        <v>1.5</v>
      </c>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2606</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2607</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2608</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2609</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618" t="s">
        <v>1463</v>
      </c>
      <c r="B1" s="3619"/>
      <c r="C1" s="3619"/>
      <c r="D1" s="3619"/>
      <c r="E1" s="3619"/>
      <c r="F1" s="3619"/>
      <c r="G1" s="3619"/>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28.5">
      <c r="A3" s="3032" t="s">
        <v>1466</v>
      </c>
      <c r="B3" s="3033" t="s">
        <v>1453</v>
      </c>
      <c r="C3" s="3034"/>
      <c r="D3" s="3035"/>
      <c r="E3" s="3036" t="s">
        <v>1466</v>
      </c>
      <c r="F3" s="3037" t="s">
        <v>1454</v>
      </c>
      <c r="G3" s="3038" t="s">
        <v>2614</v>
      </c>
      <c r="H3" s="3031"/>
      <c r="I3" s="3031"/>
      <c r="J3" s="3031"/>
      <c r="K3" s="3031"/>
      <c r="L3" s="3031"/>
      <c r="M3" s="3031"/>
      <c r="N3" s="3031"/>
      <c r="O3" s="3031"/>
      <c r="P3" s="3031"/>
      <c r="Q3" s="3031"/>
      <c r="R3" s="3031"/>
    </row>
    <row r="4" spans="1:18" ht="40.5">
      <c r="A4" s="3036"/>
      <c r="B4" s="3039" t="s">
        <v>1467</v>
      </c>
      <c r="C4" s="3467" t="s">
        <v>3363</v>
      </c>
      <c r="D4" s="3035"/>
      <c r="E4" s="3041"/>
      <c r="F4" s="3042" t="s">
        <v>1468</v>
      </c>
      <c r="G4" s="3043" t="s">
        <v>2611</v>
      </c>
      <c r="H4" s="3031"/>
      <c r="I4" s="3031"/>
      <c r="J4" s="3031"/>
      <c r="K4" s="3031"/>
      <c r="L4" s="3031"/>
      <c r="M4" s="3031"/>
      <c r="N4" s="3031"/>
      <c r="O4" s="3031"/>
      <c r="P4" s="3031"/>
      <c r="Q4" s="3031"/>
      <c r="R4" s="3031"/>
    </row>
    <row r="5" spans="1:18" ht="27">
      <c r="A5" s="3036"/>
      <c r="B5" s="3039" t="s">
        <v>1469</v>
      </c>
      <c r="C5" s="3040"/>
      <c r="D5" s="3035"/>
      <c r="E5" s="3041"/>
      <c r="F5" s="3039" t="s">
        <v>2261</v>
      </c>
      <c r="G5" s="3043" t="s">
        <v>2612</v>
      </c>
      <c r="H5" s="3031"/>
      <c r="I5" s="3031"/>
      <c r="J5" s="3031"/>
      <c r="K5" s="3031"/>
      <c r="L5" s="3031"/>
      <c r="M5" s="3031"/>
      <c r="N5" s="3031"/>
      <c r="O5" s="3031"/>
      <c r="P5" s="3031"/>
      <c r="Q5" s="3031"/>
      <c r="R5" s="3031"/>
    </row>
    <row r="6" spans="1:18">
      <c r="A6" s="3036"/>
      <c r="B6" s="3039" t="s">
        <v>1455</v>
      </c>
      <c r="C6" s="3468" t="s">
        <v>3364</v>
      </c>
      <c r="D6" s="3035"/>
      <c r="E6" s="3041"/>
      <c r="F6" s="3039" t="s">
        <v>2262</v>
      </c>
      <c r="G6" s="3043" t="s">
        <v>2610</v>
      </c>
      <c r="H6" s="3031"/>
      <c r="I6" s="3031"/>
      <c r="J6" s="3031"/>
      <c r="K6" s="3031"/>
      <c r="L6" s="3031"/>
      <c r="M6" s="3031"/>
      <c r="N6" s="3031"/>
      <c r="O6" s="3031"/>
      <c r="P6" s="3031"/>
      <c r="Q6" s="3031"/>
      <c r="R6" s="3031"/>
    </row>
    <row r="7" spans="1:18" ht="27.75" thickBot="1">
      <c r="A7" s="3036"/>
      <c r="B7" s="3039" t="s">
        <v>2261</v>
      </c>
      <c r="C7" s="3468" t="s">
        <v>3365</v>
      </c>
      <c r="D7" s="3044"/>
      <c r="E7" s="3045"/>
      <c r="F7" s="3046" t="s">
        <v>1470</v>
      </c>
      <c r="G7" s="3047" t="s">
        <v>2613</v>
      </c>
      <c r="H7" s="3031"/>
      <c r="I7" s="3031"/>
      <c r="J7" s="3031"/>
      <c r="K7" s="3031"/>
      <c r="L7" s="3031"/>
      <c r="M7" s="3031"/>
      <c r="N7" s="3031"/>
      <c r="O7" s="3031"/>
      <c r="P7" s="3031"/>
      <c r="Q7" s="3031"/>
      <c r="R7" s="3031"/>
    </row>
    <row r="8" spans="1:18">
      <c r="A8" s="3036"/>
      <c r="B8" s="3039" t="s">
        <v>2262</v>
      </c>
      <c r="C8" s="3468" t="s">
        <v>1774</v>
      </c>
      <c r="D8" s="3044"/>
      <c r="E8" s="3044"/>
      <c r="F8" s="3048"/>
      <c r="G8" s="3048"/>
      <c r="H8" s="3031"/>
      <c r="I8" s="3031"/>
      <c r="J8" s="3031"/>
      <c r="K8" s="3031"/>
      <c r="L8" s="3031"/>
      <c r="M8" s="3031"/>
      <c r="N8" s="3031"/>
      <c r="O8" s="3031"/>
      <c r="P8" s="3031"/>
      <c r="Q8" s="3031"/>
      <c r="R8" s="3031"/>
    </row>
    <row r="9" spans="1:18">
      <c r="A9" s="3036"/>
      <c r="B9" s="3039" t="s">
        <v>1456</v>
      </c>
      <c r="C9" s="3467" t="s">
        <v>3368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27">
      <c r="A15" s="3073" t="s">
        <v>1457</v>
      </c>
      <c r="B15" s="3074" t="s">
        <v>1453</v>
      </c>
      <c r="C15" s="3075">
        <f>C3</f>
        <v>0</v>
      </c>
      <c r="D15" s="3035"/>
      <c r="E15" s="3076" t="s">
        <v>1458</v>
      </c>
      <c r="F15" s="3074" t="s">
        <v>1473</v>
      </c>
      <c r="G15" s="3077" t="str">
        <f>G3</f>
        <v>估价对象位于XX开发区，园区建设成熟度XX，产业集聚程度XX</v>
      </c>
    </row>
    <row r="16" spans="1:18" ht="40.5">
      <c r="A16" s="3078"/>
      <c r="B16" s="3079" t="s">
        <v>1467</v>
      </c>
      <c r="C16" s="3080" t="str">
        <f>C4</f>
        <v>一般</v>
      </c>
      <c r="D16" s="3035"/>
      <c r="E16" s="3081"/>
      <c r="F16" s="3082" t="s">
        <v>1468</v>
      </c>
      <c r="G16" s="3083" t="str">
        <f>G4</f>
        <v>估价对象周边道路状况、公共交通通达情况、停车便捷程度，综合评价交通便捷度较好</v>
      </c>
    </row>
    <row r="17" spans="1:7" ht="14.25">
      <c r="A17" s="3078"/>
      <c r="B17" s="3079" t="s">
        <v>1469</v>
      </c>
      <c r="C17" s="3080">
        <f>C5</f>
        <v>0</v>
      </c>
      <c r="D17" s="3044"/>
      <c r="E17" s="3081"/>
      <c r="F17" s="3082" t="s">
        <v>1474</v>
      </c>
      <c r="G17" s="3084"/>
    </row>
    <row r="18" spans="1:7" ht="27">
      <c r="A18" s="3078"/>
      <c r="B18" s="3082" t="s">
        <v>1455</v>
      </c>
      <c r="C18" s="3083" t="str">
        <f>C6</f>
        <v>一般</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2261</v>
      </c>
      <c r="G19" s="3083" t="str">
        <f>G5</f>
        <v>估价对象所在区域公共配套设施齐备情况</v>
      </c>
    </row>
    <row r="20" spans="1:7">
      <c r="A20" s="3078"/>
      <c r="B20" s="3082" t="s">
        <v>1460</v>
      </c>
      <c r="C20" s="3080" t="str">
        <f>C9</f>
        <v>较好</v>
      </c>
      <c r="D20" s="3044"/>
      <c r="E20" s="3081"/>
      <c r="F20" s="3039" t="s">
        <v>2262</v>
      </c>
      <c r="G20" s="3083" t="str">
        <f>G6</f>
        <v>估价对象所在区域基础设施水平</v>
      </c>
    </row>
    <row r="21" spans="1:7" ht="14.25">
      <c r="A21" s="3078"/>
      <c r="B21" s="3039" t="s">
        <v>2261</v>
      </c>
      <c r="C21" s="3083" t="str">
        <f>C7</f>
        <v>一般</v>
      </c>
      <c r="D21" s="3035"/>
      <c r="E21" s="3081"/>
      <c r="F21" s="3082" t="s">
        <v>1461</v>
      </c>
      <c r="G21" s="3085"/>
    </row>
    <row r="22" spans="1:7" ht="14.25">
      <c r="A22" s="3078"/>
      <c r="B22" s="3039" t="s">
        <v>2262</v>
      </c>
      <c r="C22" s="3083" t="str">
        <f>C8</f>
        <v>七通</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31" sqref="B31"/>
    </sheetView>
  </sheetViews>
  <sheetFormatPr defaultColWidth="14.625" defaultRowHeight="13.5"/>
  <cols>
    <col min="1" max="1" width="24.375" style="3094" customWidth="1"/>
    <col min="2" max="16384" width="14.625" style="3094"/>
  </cols>
  <sheetData>
    <row r="1" spans="1:10" ht="16.5">
      <c r="A1" s="3093" t="s">
        <v>2554</v>
      </c>
      <c r="B1" s="3093">
        <f>SUM(B14:B23)</f>
        <v>26725.120000000003</v>
      </c>
      <c r="C1" s="3102"/>
      <c r="D1" s="3102"/>
      <c r="E1" s="3102"/>
      <c r="F1" s="3102"/>
      <c r="G1" s="3103"/>
      <c r="H1" s="3103"/>
      <c r="I1" s="3103"/>
      <c r="J1" s="3103"/>
    </row>
    <row r="2" spans="1:10" ht="16.5">
      <c r="A2" s="3093" t="s">
        <v>2555</v>
      </c>
      <c r="B2" s="3093">
        <f>SUM(C14:C23)</f>
        <v>30101.08</v>
      </c>
      <c r="C2" s="3102"/>
      <c r="D2" s="3102"/>
      <c r="E2" s="3102"/>
      <c r="F2" s="3102"/>
      <c r="G2" s="3103"/>
      <c r="H2" s="3103"/>
      <c r="I2" s="3103"/>
      <c r="J2" s="3103"/>
    </row>
    <row r="3" spans="1:10" ht="16.5">
      <c r="A3" s="3093" t="s">
        <v>2556</v>
      </c>
      <c r="B3" s="3095">
        <f>项目基本情况!D3</f>
        <v>44705</v>
      </c>
      <c r="C3" s="3102"/>
      <c r="D3" s="3102"/>
      <c r="E3" s="3102"/>
      <c r="F3" s="3102"/>
      <c r="G3" s="3103"/>
      <c r="H3" s="3103"/>
      <c r="I3" s="3103"/>
      <c r="J3" s="3103"/>
    </row>
    <row r="4" spans="1:10" ht="33">
      <c r="A4" s="3093" t="s">
        <v>2557</v>
      </c>
      <c r="B4" s="3093" t="s">
        <v>2558</v>
      </c>
      <c r="C4" s="3093" t="s">
        <v>2559</v>
      </c>
      <c r="D4" s="3093" t="s">
        <v>2560</v>
      </c>
      <c r="E4" s="3102"/>
      <c r="F4" s="3102"/>
      <c r="G4" s="3103"/>
      <c r="H4" s="3103"/>
      <c r="I4" s="3103"/>
      <c r="J4" s="3103"/>
    </row>
    <row r="5" spans="1:10" ht="16.5">
      <c r="A5" s="3093" t="s">
        <v>2561</v>
      </c>
      <c r="B5" s="3093">
        <f ca="1">SUM(D14:D23)</f>
        <v>17003</v>
      </c>
      <c r="C5" s="3093">
        <f ca="1">ROUND(B5*10000/$B$1,0)</f>
        <v>6362</v>
      </c>
      <c r="D5" s="3093">
        <f ca="1">ROUND(B5*10000/$B$2,0)</f>
        <v>5649</v>
      </c>
      <c r="E5" s="3102"/>
      <c r="F5" s="3102"/>
      <c r="G5" s="3103"/>
      <c r="H5" s="3103"/>
      <c r="I5" s="3103"/>
      <c r="J5" s="3103"/>
    </row>
    <row r="6" spans="1:10" ht="16.5">
      <c r="A6" s="3093" t="s">
        <v>2562</v>
      </c>
      <c r="B6" s="3093">
        <f ca="1">SUM(G14:G23)</f>
        <v>17003</v>
      </c>
      <c r="C6" s="3093">
        <f t="shared" ref="C6:C8" ca="1" si="0">ROUND(B6*10000/$B$1,0)</f>
        <v>6362</v>
      </c>
      <c r="D6" s="3093">
        <f t="shared" ref="D6:D8" ca="1" si="1">ROUND(B6*10000/$B$2,0)</f>
        <v>5649</v>
      </c>
      <c r="E6" s="3102"/>
      <c r="F6" s="3102"/>
      <c r="G6" s="3103"/>
      <c r="H6" s="3103"/>
      <c r="I6" s="3103"/>
      <c r="J6" s="3103"/>
    </row>
    <row r="7" spans="1:10" ht="16.5">
      <c r="A7" s="3093" t="s">
        <v>2563</v>
      </c>
      <c r="B7" s="3093">
        <f>SUM(H14:H23)</f>
        <v>0</v>
      </c>
      <c r="C7" s="3093">
        <f t="shared" si="0"/>
        <v>0</v>
      </c>
      <c r="D7" s="3093">
        <f t="shared" si="1"/>
        <v>0</v>
      </c>
      <c r="E7" s="3102"/>
      <c r="F7" s="3102"/>
      <c r="G7" s="3103"/>
      <c r="H7" s="3103"/>
      <c r="I7" s="3103"/>
      <c r="J7" s="3103"/>
    </row>
    <row r="8" spans="1:10" ht="16.5">
      <c r="A8" s="3093" t="s">
        <v>2564</v>
      </c>
      <c r="B8" s="3093">
        <f>SUM(I14:I23)</f>
        <v>0</v>
      </c>
      <c r="C8" s="3093">
        <f t="shared" si="0"/>
        <v>0</v>
      </c>
      <c r="D8" s="3093">
        <f t="shared" si="1"/>
        <v>0</v>
      </c>
      <c r="E8" s="3102"/>
      <c r="F8" s="3102"/>
      <c r="G8" s="3103"/>
      <c r="H8" s="3103"/>
      <c r="I8" s="3103"/>
      <c r="J8" s="3103"/>
    </row>
    <row r="9" spans="1:10" ht="16.5">
      <c r="A9" s="3093" t="s">
        <v>2565</v>
      </c>
      <c r="B9" s="3101"/>
      <c r="C9" s="3102"/>
      <c r="D9" s="3102"/>
      <c r="E9" s="3102"/>
      <c r="F9" s="3102"/>
      <c r="G9" s="3103"/>
      <c r="H9" s="3103"/>
      <c r="I9" s="3103"/>
      <c r="J9" s="3103"/>
    </row>
    <row r="10" spans="1:10" ht="16.5">
      <c r="A10" s="3093" t="s">
        <v>2566</v>
      </c>
      <c r="B10" s="3101"/>
      <c r="C10" s="3102"/>
      <c r="D10" s="3102"/>
      <c r="E10" s="3102"/>
      <c r="F10" s="3102"/>
      <c r="G10" s="3103"/>
      <c r="H10" s="3103"/>
      <c r="I10" s="3103"/>
      <c r="J10" s="3103"/>
    </row>
    <row r="11" spans="1:10" ht="16.5">
      <c r="A11" s="3093" t="s">
        <v>2583</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2582</v>
      </c>
      <c r="B13" s="3097" t="s">
        <v>2554</v>
      </c>
      <c r="C13" s="3097" t="s">
        <v>2555</v>
      </c>
      <c r="D13" s="3097" t="s">
        <v>2567</v>
      </c>
      <c r="E13" s="3093" t="s">
        <v>2581</v>
      </c>
      <c r="F13" s="3093" t="s">
        <v>2560</v>
      </c>
      <c r="G13" s="3097" t="s">
        <v>2568</v>
      </c>
      <c r="H13" s="3097" t="s">
        <v>2569</v>
      </c>
      <c r="I13" s="3097" t="s">
        <v>2570</v>
      </c>
      <c r="J13" s="3103"/>
    </row>
    <row r="14" spans="1:10" ht="16.5">
      <c r="A14" s="3098" t="s">
        <v>2580</v>
      </c>
      <c r="B14" s="3099">
        <f>结果表!L38</f>
        <v>26725.120000000003</v>
      </c>
      <c r="C14" s="3099">
        <f>结果表!K38</f>
        <v>30101.08</v>
      </c>
      <c r="D14" s="3099">
        <f ca="1">结果表!C42</f>
        <v>17003</v>
      </c>
      <c r="E14" s="3099">
        <f ca="1">ROUND(D14*10000/B14,0)</f>
        <v>6362</v>
      </c>
      <c r="F14" s="3099">
        <f ca="1">ROUND(D14*10000/C14,0)</f>
        <v>5649</v>
      </c>
      <c r="G14" s="3099">
        <f ca="1">结果表!C44</f>
        <v>17003</v>
      </c>
      <c r="H14" s="3099" t="str">
        <f>结果表!C45</f>
        <v>——</v>
      </c>
      <c r="I14" s="3099" t="str">
        <f>结果表!C46</f>
        <v>——</v>
      </c>
      <c r="J14" s="3103"/>
    </row>
    <row r="15" spans="1:10" ht="16.5">
      <c r="A15" s="3098" t="s">
        <v>2571</v>
      </c>
      <c r="B15" s="3100"/>
      <c r="C15" s="3100"/>
      <c r="D15" s="3100"/>
      <c r="E15" s="3099" t="e">
        <f t="shared" ref="E15:E23" si="2">ROUND(D15*10000/B15,0)</f>
        <v>#DIV/0!</v>
      </c>
      <c r="F15" s="3099" t="e">
        <f t="shared" ref="F15:F23" si="3">ROUND(D15*10000/C15,0)</f>
        <v>#DIV/0!</v>
      </c>
      <c r="G15" s="2675"/>
      <c r="H15" s="2675"/>
      <c r="I15" s="3100"/>
      <c r="J15" s="3103"/>
    </row>
    <row r="16" spans="1:10" ht="16.5">
      <c r="A16" s="3098" t="s">
        <v>2572</v>
      </c>
      <c r="B16" s="3100"/>
      <c r="C16" s="3100"/>
      <c r="D16" s="3100"/>
      <c r="E16" s="3099" t="e">
        <f t="shared" si="2"/>
        <v>#DIV/0!</v>
      </c>
      <c r="F16" s="3099" t="e">
        <f t="shared" si="3"/>
        <v>#DIV/0!</v>
      </c>
      <c r="G16" s="2675"/>
      <c r="H16" s="2675"/>
      <c r="I16" s="3100"/>
      <c r="J16" s="3103"/>
    </row>
    <row r="17" spans="1:10" ht="16.5">
      <c r="A17" s="3098" t="s">
        <v>2573</v>
      </c>
      <c r="B17" s="3100"/>
      <c r="C17" s="3100"/>
      <c r="D17" s="3100"/>
      <c r="E17" s="3099" t="e">
        <f t="shared" si="2"/>
        <v>#DIV/0!</v>
      </c>
      <c r="F17" s="3099" t="e">
        <f t="shared" si="3"/>
        <v>#DIV/0!</v>
      </c>
      <c r="G17" s="2675"/>
      <c r="H17" s="2675"/>
      <c r="I17" s="3100"/>
      <c r="J17" s="3103"/>
    </row>
    <row r="18" spans="1:10" ht="16.5">
      <c r="A18" s="3098" t="s">
        <v>2574</v>
      </c>
      <c r="B18" s="3100"/>
      <c r="C18" s="3100"/>
      <c r="D18" s="3100"/>
      <c r="E18" s="3099" t="e">
        <f t="shared" si="2"/>
        <v>#DIV/0!</v>
      </c>
      <c r="F18" s="3099" t="e">
        <f t="shared" si="3"/>
        <v>#DIV/0!</v>
      </c>
      <c r="G18" s="3100"/>
      <c r="H18" s="3100"/>
      <c r="I18" s="3100"/>
      <c r="J18" s="3103"/>
    </row>
    <row r="19" spans="1:10" ht="16.5">
      <c r="A19" s="3098" t="s">
        <v>2575</v>
      </c>
      <c r="B19" s="3100"/>
      <c r="C19" s="3100"/>
      <c r="D19" s="3100"/>
      <c r="E19" s="3099" t="e">
        <f t="shared" si="2"/>
        <v>#DIV/0!</v>
      </c>
      <c r="F19" s="3099" t="e">
        <f t="shared" si="3"/>
        <v>#DIV/0!</v>
      </c>
      <c r="G19" s="3100"/>
      <c r="H19" s="3100"/>
      <c r="I19" s="3100"/>
      <c r="J19" s="3103"/>
    </row>
    <row r="20" spans="1:10" ht="16.5">
      <c r="A20" s="3098" t="s">
        <v>2576</v>
      </c>
      <c r="B20" s="3100"/>
      <c r="C20" s="3100"/>
      <c r="D20" s="3100"/>
      <c r="E20" s="3099" t="e">
        <f t="shared" si="2"/>
        <v>#DIV/0!</v>
      </c>
      <c r="F20" s="3099" t="e">
        <f t="shared" si="3"/>
        <v>#DIV/0!</v>
      </c>
      <c r="G20" s="3100"/>
      <c r="H20" s="3100"/>
      <c r="I20" s="3100"/>
      <c r="J20" s="3103"/>
    </row>
    <row r="21" spans="1:10" ht="16.5">
      <c r="A21" s="3098" t="s">
        <v>2577</v>
      </c>
      <c r="B21" s="3100"/>
      <c r="C21" s="3100"/>
      <c r="D21" s="3100"/>
      <c r="E21" s="3099" t="e">
        <f t="shared" si="2"/>
        <v>#DIV/0!</v>
      </c>
      <c r="F21" s="3099" t="e">
        <f t="shared" si="3"/>
        <v>#DIV/0!</v>
      </c>
      <c r="G21" s="3100"/>
      <c r="H21" s="3100"/>
      <c r="I21" s="3100"/>
      <c r="J21" s="3103"/>
    </row>
    <row r="22" spans="1:10" ht="16.5">
      <c r="A22" s="3098" t="s">
        <v>2578</v>
      </c>
      <c r="B22" s="3100"/>
      <c r="C22" s="3100"/>
      <c r="D22" s="3100"/>
      <c r="E22" s="3099" t="e">
        <f t="shared" si="2"/>
        <v>#DIV/0!</v>
      </c>
      <c r="F22" s="3099" t="e">
        <f t="shared" si="3"/>
        <v>#DIV/0!</v>
      </c>
      <c r="G22" s="3100"/>
      <c r="H22" s="3100"/>
      <c r="I22" s="3100"/>
      <c r="J22" s="3103"/>
    </row>
    <row r="23" spans="1:10" ht="16.5">
      <c r="A23" s="3098" t="s">
        <v>2579</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I27" sqref="I27"/>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5" t="s">
        <v>1844</v>
      </c>
      <c r="B1" s="1646"/>
      <c r="C1" s="1674" t="s">
        <v>1845</v>
      </c>
      <c r="D1" s="1675"/>
      <c r="E1" s="1674" t="s">
        <v>1846</v>
      </c>
      <c r="F1" s="1676"/>
      <c r="G1" s="309"/>
      <c r="H1" s="309"/>
      <c r="I1" s="309"/>
      <c r="J1" s="1865"/>
      <c r="K1" s="1865"/>
      <c r="L1" s="1865"/>
      <c r="M1" s="1865"/>
      <c r="N1" s="1865"/>
      <c r="O1" s="1865"/>
      <c r="P1" s="1865"/>
      <c r="Q1" s="1865"/>
      <c r="R1" s="1865"/>
      <c r="S1" s="1865"/>
      <c r="T1" s="1865"/>
      <c r="U1" s="1865"/>
      <c r="V1" s="1865"/>
    </row>
    <row r="2" spans="1:22" ht="21.75" customHeight="1" thickBot="1">
      <c r="A2" s="3664" t="str">
        <f>项目基本情况!K2</f>
        <v>北京市北京市延庆区张山营镇水峪村D-03地块出让国有建设用地使用权</v>
      </c>
      <c r="B2" s="3665"/>
      <c r="C2" s="3666"/>
      <c r="D2" s="3666"/>
      <c r="E2" s="3666"/>
      <c r="F2" s="3666"/>
      <c r="G2" s="3665"/>
      <c r="H2" s="3665"/>
      <c r="I2" s="3667"/>
      <c r="J2" s="1866"/>
      <c r="K2" s="1865"/>
      <c r="L2" s="1865"/>
      <c r="M2" s="1865"/>
      <c r="N2" s="1865"/>
      <c r="O2" s="1865"/>
      <c r="P2" s="1865"/>
      <c r="Q2" s="1865"/>
      <c r="R2" s="1865"/>
      <c r="S2" s="1865"/>
      <c r="T2" s="1865"/>
      <c r="U2" s="1865"/>
      <c r="V2" s="1865"/>
    </row>
    <row r="3" spans="1:22" ht="14.25">
      <c r="A3" s="3657" t="s">
        <v>298</v>
      </c>
      <c r="B3" s="3658"/>
      <c r="C3" s="3658"/>
      <c r="D3" s="3658"/>
      <c r="E3" s="3658"/>
      <c r="F3" s="3658"/>
      <c r="G3" s="3658"/>
      <c r="H3" s="3658"/>
      <c r="I3" s="3658"/>
      <c r="J3" s="1866"/>
      <c r="K3" s="1865"/>
      <c r="L3" s="1865"/>
      <c r="M3" s="1865"/>
      <c r="N3" s="1865"/>
      <c r="O3" s="1865"/>
      <c r="P3" s="1865"/>
      <c r="Q3" s="1865"/>
      <c r="R3" s="1865"/>
      <c r="S3" s="1865"/>
      <c r="T3" s="1865"/>
      <c r="U3" s="1865"/>
      <c r="V3" s="1865"/>
    </row>
    <row r="4" spans="1:22" ht="14.25">
      <c r="A4" s="256" t="s">
        <v>299</v>
      </c>
      <c r="B4" s="257" t="s">
        <v>300</v>
      </c>
      <c r="C4" s="258" t="s">
        <v>3378</v>
      </c>
      <c r="D4" s="258" t="s">
        <v>3379</v>
      </c>
      <c r="E4" s="3623" t="s">
        <v>301</v>
      </c>
      <c r="F4" s="3624"/>
      <c r="G4" s="3624"/>
      <c r="H4" s="3624"/>
      <c r="I4" s="3659"/>
      <c r="J4" s="1866"/>
      <c r="K4" s="1865"/>
      <c r="L4" s="310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22" t="s">
        <v>302</v>
      </c>
      <c r="B5" s="3651">
        <v>25</v>
      </c>
      <c r="C5" s="3649"/>
      <c r="D5" s="3653"/>
      <c r="E5" s="259" t="s">
        <v>303</v>
      </c>
      <c r="F5" s="260"/>
      <c r="G5" s="260"/>
      <c r="H5" s="260"/>
      <c r="I5" s="261"/>
      <c r="J5" s="1866"/>
      <c r="K5" s="1865"/>
      <c r="L5" s="1865"/>
      <c r="M5" s="1865"/>
      <c r="N5" s="1865"/>
      <c r="O5" s="1865"/>
      <c r="P5" s="1865"/>
      <c r="Q5" s="1865"/>
      <c r="R5" s="1865"/>
      <c r="S5" s="1865"/>
      <c r="T5" s="1865"/>
      <c r="U5" s="1865"/>
      <c r="V5" s="1865"/>
    </row>
    <row r="6" spans="1:22" ht="14.25">
      <c r="A6" s="3622"/>
      <c r="B6" s="3651"/>
      <c r="C6" s="3652"/>
      <c r="D6" s="3653"/>
      <c r="E6" s="259" t="s">
        <v>304</v>
      </c>
      <c r="F6" s="260"/>
      <c r="G6" s="260"/>
      <c r="H6" s="260"/>
      <c r="I6" s="261"/>
      <c r="J6" s="1866"/>
      <c r="K6" s="1865"/>
      <c r="L6" s="1865"/>
      <c r="M6" s="1865"/>
      <c r="N6" s="1865"/>
      <c r="O6" s="1865"/>
      <c r="P6" s="1865"/>
      <c r="Q6" s="1865"/>
      <c r="R6" s="1865"/>
      <c r="S6" s="1865"/>
      <c r="T6" s="1865"/>
      <c r="U6" s="1865"/>
      <c r="V6" s="1865"/>
    </row>
    <row r="7" spans="1:22" ht="14.25">
      <c r="A7" s="3622"/>
      <c r="B7" s="3651"/>
      <c r="C7" s="3650"/>
      <c r="D7" s="3653"/>
      <c r="E7" s="259" t="s">
        <v>305</v>
      </c>
      <c r="F7" s="260"/>
      <c r="G7" s="260"/>
      <c r="H7" s="260"/>
      <c r="I7" s="261"/>
      <c r="J7" s="1866"/>
      <c r="K7" s="1865"/>
      <c r="L7" s="1865"/>
      <c r="M7" s="1865"/>
      <c r="N7" s="1865"/>
      <c r="O7" s="1865"/>
      <c r="P7" s="1865"/>
      <c r="Q7" s="1865"/>
      <c r="R7" s="1865"/>
      <c r="S7" s="1865"/>
      <c r="T7" s="1865"/>
      <c r="U7" s="1865"/>
      <c r="V7" s="1865"/>
    </row>
    <row r="8" spans="1:22" ht="14.25">
      <c r="A8" s="3622" t="s">
        <v>306</v>
      </c>
      <c r="B8" s="3651">
        <v>15</v>
      </c>
      <c r="C8" s="3649"/>
      <c r="D8" s="3653"/>
      <c r="E8" s="259" t="s">
        <v>307</v>
      </c>
      <c r="F8" s="260"/>
      <c r="G8" s="260"/>
      <c r="H8" s="260"/>
      <c r="I8" s="261"/>
      <c r="J8" s="1866"/>
      <c r="K8" s="1865"/>
      <c r="L8" s="1865"/>
      <c r="M8" s="1865"/>
      <c r="N8" s="1865"/>
      <c r="O8" s="1865"/>
      <c r="P8" s="1865"/>
      <c r="Q8" s="1865"/>
      <c r="R8" s="1865"/>
      <c r="S8" s="1865"/>
      <c r="T8" s="1865"/>
      <c r="U8" s="1865"/>
      <c r="V8" s="1865"/>
    </row>
    <row r="9" spans="1:22" ht="14.25">
      <c r="A9" s="3622"/>
      <c r="B9" s="3651"/>
      <c r="C9" s="3650"/>
      <c r="D9" s="3653"/>
      <c r="E9" s="259" t="s">
        <v>308</v>
      </c>
      <c r="F9" s="260"/>
      <c r="G9" s="260"/>
      <c r="H9" s="260"/>
      <c r="I9" s="261"/>
      <c r="J9" s="1866"/>
      <c r="K9" s="1865"/>
      <c r="L9" s="1865"/>
      <c r="M9" s="1865"/>
      <c r="N9" s="1865"/>
      <c r="O9" s="1865"/>
      <c r="P9" s="1865"/>
      <c r="Q9" s="1865"/>
      <c r="R9" s="1865"/>
      <c r="S9" s="1865"/>
      <c r="T9" s="1865"/>
      <c r="U9" s="1865"/>
      <c r="V9" s="1865"/>
    </row>
    <row r="10" spans="1:22" ht="14.25">
      <c r="A10" s="3622" t="s">
        <v>309</v>
      </c>
      <c r="B10" s="3651">
        <v>15</v>
      </c>
      <c r="C10" s="3649"/>
      <c r="D10" s="3653"/>
      <c r="E10" s="259" t="s">
        <v>310</v>
      </c>
      <c r="F10" s="260"/>
      <c r="G10" s="260"/>
      <c r="H10" s="260"/>
      <c r="I10" s="261"/>
      <c r="J10" s="1866"/>
      <c r="K10" s="1865"/>
      <c r="L10" s="1865"/>
      <c r="M10" s="1865"/>
      <c r="N10" s="1865"/>
      <c r="O10" s="1865"/>
      <c r="P10" s="1865"/>
      <c r="Q10" s="1865"/>
      <c r="R10" s="1865"/>
      <c r="S10" s="1865"/>
      <c r="T10" s="1865"/>
      <c r="U10" s="1865"/>
      <c r="V10" s="1865"/>
    </row>
    <row r="11" spans="1:22" ht="14.25">
      <c r="A11" s="3622"/>
      <c r="B11" s="3651"/>
      <c r="C11" s="3650"/>
      <c r="D11" s="3653"/>
      <c r="E11" s="259" t="s">
        <v>311</v>
      </c>
      <c r="F11" s="260"/>
      <c r="G11" s="260"/>
      <c r="H11" s="260"/>
      <c r="I11" s="261"/>
      <c r="J11" s="1866"/>
      <c r="K11" s="1865"/>
      <c r="L11" s="1865"/>
      <c r="M11" s="1865"/>
      <c r="N11" s="1865"/>
      <c r="O11" s="1865"/>
      <c r="P11" s="1865"/>
      <c r="Q11" s="1865"/>
      <c r="R11" s="1865"/>
      <c r="S11" s="1865"/>
      <c r="T11" s="1865"/>
      <c r="U11" s="1865"/>
      <c r="V11" s="1865"/>
    </row>
    <row r="12" spans="1:22" ht="14.25">
      <c r="A12" s="3622" t="s">
        <v>312</v>
      </c>
      <c r="B12" s="3651">
        <v>15</v>
      </c>
      <c r="C12" s="3649"/>
      <c r="D12" s="3653"/>
      <c r="E12" s="259" t="s">
        <v>313</v>
      </c>
      <c r="F12" s="260"/>
      <c r="G12" s="260"/>
      <c r="H12" s="260"/>
      <c r="I12" s="261"/>
      <c r="J12" s="1866"/>
      <c r="K12" s="1865"/>
      <c r="L12" s="1865"/>
      <c r="M12" s="1865"/>
      <c r="N12" s="1865"/>
      <c r="O12" s="1865"/>
      <c r="P12" s="1865"/>
      <c r="Q12" s="1865"/>
      <c r="R12" s="1865"/>
      <c r="S12" s="1865"/>
      <c r="T12" s="1865"/>
      <c r="U12" s="1865"/>
      <c r="V12" s="1865"/>
    </row>
    <row r="13" spans="1:22" ht="14.25">
      <c r="A13" s="3622"/>
      <c r="B13" s="3651"/>
      <c r="C13" s="3650"/>
      <c r="D13" s="3653"/>
      <c r="E13" s="259" t="s">
        <v>314</v>
      </c>
      <c r="F13" s="260"/>
      <c r="G13" s="260"/>
      <c r="H13" s="260"/>
      <c r="I13" s="261"/>
      <c r="J13" s="1866"/>
      <c r="K13" s="1865"/>
      <c r="L13" s="1865"/>
      <c r="M13" s="1865"/>
      <c r="N13" s="1865"/>
      <c r="O13" s="1865"/>
      <c r="P13" s="1865"/>
      <c r="Q13" s="1865"/>
      <c r="R13" s="1865"/>
      <c r="S13" s="1865"/>
      <c r="T13" s="1865"/>
      <c r="U13" s="1865"/>
      <c r="V13" s="1865"/>
    </row>
    <row r="14" spans="1:22" ht="14.25">
      <c r="A14" s="3622" t="s">
        <v>315</v>
      </c>
      <c r="B14" s="3651">
        <v>30</v>
      </c>
      <c r="C14" s="3649">
        <v>6</v>
      </c>
      <c r="D14" s="3653">
        <v>4</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622"/>
      <c r="B15" s="3651"/>
      <c r="C15" s="3652"/>
      <c r="D15" s="3653"/>
      <c r="E15" s="259" t="s">
        <v>317</v>
      </c>
      <c r="F15" s="260"/>
      <c r="G15" s="260"/>
      <c r="H15" s="260"/>
      <c r="I15" s="261"/>
      <c r="J15" s="1866"/>
      <c r="K15" s="1865"/>
      <c r="L15" s="1865"/>
      <c r="M15" s="1865"/>
      <c r="N15" s="1865"/>
      <c r="O15" s="1865"/>
      <c r="P15" s="1865"/>
      <c r="Q15" s="1865"/>
      <c r="R15" s="1865"/>
      <c r="S15" s="1865"/>
      <c r="T15" s="1865"/>
      <c r="U15" s="1865"/>
      <c r="V15" s="1865"/>
    </row>
    <row r="16" spans="1:22" ht="14.25">
      <c r="A16" s="3622"/>
      <c r="B16" s="3651"/>
      <c r="C16" s="3650"/>
      <c r="D16" s="3653"/>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6</v>
      </c>
      <c r="D17" s="263">
        <f>SUM(D5:D16)</f>
        <v>4</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0.6</v>
      </c>
      <c r="D18" s="265">
        <f>1-C18</f>
        <v>0.4</v>
      </c>
      <c r="E18" s="3654" t="s">
        <v>2684</v>
      </c>
      <c r="F18" s="3655"/>
      <c r="G18" s="3655"/>
      <c r="H18" s="3655"/>
      <c r="I18" s="3655"/>
      <c r="J18" s="1865"/>
      <c r="K18" s="1865"/>
      <c r="L18" s="3466" t="s">
        <v>3427</v>
      </c>
      <c r="M18" s="3466" t="s">
        <v>3428</v>
      </c>
      <c r="N18" s="3466" t="s">
        <v>3429</v>
      </c>
      <c r="O18" s="1865"/>
      <c r="P18" s="1865"/>
      <c r="Q18" s="1865"/>
      <c r="R18" s="1865"/>
      <c r="S18" s="1865"/>
      <c r="T18" s="1865"/>
      <c r="U18" s="1865"/>
      <c r="V18" s="1865"/>
    </row>
    <row r="19" spans="1:26" ht="15">
      <c r="A19" s="266" t="s">
        <v>321</v>
      </c>
      <c r="B19" s="267" t="s">
        <v>322</v>
      </c>
      <c r="C19" s="268">
        <f ca="1">SUMIF(INDIRECT("'"&amp;C4&amp;"'"&amp;"!A:A"),结果表!B19,INDIRECT("'"&amp;C4&amp;"'"&amp;"!B:B"))</f>
        <v>11639</v>
      </c>
      <c r="D19" s="269">
        <f ca="1">SUMIF(INDIRECT("'"&amp;D4&amp;"'"&amp;"!A:A"),结果表!B19,INDIRECT("'"&amp;D4&amp;"'"&amp;"!B:B"))</f>
        <v>25187</v>
      </c>
      <c r="E19" s="266" t="s">
        <v>323</v>
      </c>
      <c r="F19" s="267" t="s">
        <v>322</v>
      </c>
      <c r="G19" s="270">
        <f ca="1">ROUND(C19*$C$18+D19*$D$18,0)</f>
        <v>17058</v>
      </c>
      <c r="H19" s="271" t="s">
        <v>324</v>
      </c>
      <c r="I19" s="309"/>
      <c r="J19" s="1865"/>
      <c r="K19" s="3466" t="s">
        <v>3357</v>
      </c>
      <c r="L19" s="1865">
        <v>1735</v>
      </c>
      <c r="M19" s="1865">
        <v>1281</v>
      </c>
      <c r="N19" s="1865">
        <v>960</v>
      </c>
      <c r="O19" s="1865"/>
      <c r="P19" s="1865"/>
      <c r="Q19" s="1865"/>
      <c r="R19" s="1865"/>
      <c r="S19" s="1865"/>
      <c r="T19" s="1865"/>
      <c r="U19" s="1865"/>
      <c r="V19" s="1865"/>
    </row>
    <row r="20" spans="1:26" ht="15">
      <c r="A20" s="272"/>
      <c r="B20" s="273" t="s">
        <v>325</v>
      </c>
      <c r="C20" s="274">
        <f ca="1">SUMIF(INDIRECT("'"&amp;C4&amp;"'"&amp;"!A:A"),结果表!B20,INDIRECT("'"&amp;C4&amp;"'"&amp;"!B:B"))</f>
        <v>4355</v>
      </c>
      <c r="D20" s="275">
        <f ca="1">SUMIF(INDIRECT("'"&amp;D4&amp;"'"&amp;"!A:A"),结果表!B20,INDIRECT("'"&amp;D4&amp;"'"&amp;"!B:B"))</f>
        <v>9424</v>
      </c>
      <c r="E20" s="272"/>
      <c r="F20" s="273" t="s">
        <v>325</v>
      </c>
      <c r="G20" s="276">
        <f ca="1">ROUND(C20*$C$18+D20*$D$18,0)</f>
        <v>6383</v>
      </c>
      <c r="H20" s="277" t="s">
        <v>326</v>
      </c>
      <c r="I20" s="309"/>
      <c r="J20" s="1865"/>
      <c r="K20" s="3518" t="s">
        <v>3584</v>
      </c>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3867</v>
      </c>
      <c r="D21" s="149">
        <f ca="1">SUMIF(INDIRECT("'"&amp;D4&amp;"'"&amp;"!A:A"),结果表!B21,INDIRECT("'"&amp;D4&amp;"'"&amp;"!B:B"))</f>
        <v>8367</v>
      </c>
      <c r="E21" s="272"/>
      <c r="F21" s="278" t="s">
        <v>327</v>
      </c>
      <c r="G21" s="280">
        <f ca="1">ROUND(C21*$C$18+D21*$D$18,0)</f>
        <v>5667</v>
      </c>
      <c r="H21" s="1169" t="s">
        <v>326</v>
      </c>
      <c r="I21" s="309"/>
      <c r="J21" s="1865"/>
      <c r="K21" s="1868">
        <f ca="1">G19*10000/'数据-汇总表'!F31</f>
        <v>9827.8654380970656</v>
      </c>
      <c r="L21" s="1865"/>
      <c r="M21" s="1865"/>
      <c r="N21" s="1865"/>
      <c r="O21" s="1865"/>
      <c r="P21" s="1865"/>
      <c r="Q21" s="1865"/>
      <c r="R21" s="1865"/>
      <c r="S21" s="1865"/>
      <c r="T21" s="1865"/>
      <c r="U21" s="1865"/>
      <c r="V21" s="1865"/>
    </row>
    <row r="22" spans="1:26" ht="15.75" thickBot="1">
      <c r="A22" s="126" t="s">
        <v>328</v>
      </c>
      <c r="B22" s="1170"/>
      <c r="C22" s="1171"/>
      <c r="D22" s="281">
        <f ca="1">IF(C19&lt;D19,D19/C19-1,C19/D19-1)</f>
        <v>1.1640175272789759</v>
      </c>
      <c r="E22" s="282"/>
      <c r="F22" s="283"/>
      <c r="G22" s="284">
        <f ca="1">ROUND(G19/('数据-汇总表'!D3/666.67),0)</f>
        <v>378</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628" t="s">
        <v>330</v>
      </c>
      <c r="B24" s="267" t="s">
        <v>322</v>
      </c>
      <c r="C24" s="286">
        <f>IF(B30=0,0,D30)</f>
        <v>55</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629"/>
      <c r="B25" s="1239" t="s">
        <v>331</v>
      </c>
      <c r="C25" s="288">
        <f>IF(B30=0,0,C30)</f>
        <v>30</v>
      </c>
      <c r="D25" s="289"/>
      <c r="E25" s="309"/>
      <c r="F25" s="309"/>
      <c r="G25" s="309"/>
      <c r="H25" s="309"/>
      <c r="I25" s="309"/>
      <c r="J25" s="1865"/>
      <c r="K25" s="1173" t="str">
        <f ca="1">项目基本情况!B16&amp;"国有建设用地使用权价格："&amp;O38&amp;"万元"</f>
        <v>出让国有建设用地使用权价格：17003万元</v>
      </c>
      <c r="L25" s="1174"/>
      <c r="M25" s="1174"/>
      <c r="N25" s="1174"/>
      <c r="O25" s="1175"/>
      <c r="P25" s="1865"/>
      <c r="Q25" s="1865"/>
      <c r="R25" s="1865"/>
      <c r="S25" s="1865"/>
      <c r="T25" s="1865"/>
      <c r="U25" s="1865"/>
      <c r="V25" s="1865"/>
    </row>
    <row r="26" spans="1:26" s="1172" customFormat="1" ht="18">
      <c r="A26" s="291" t="s">
        <v>332</v>
      </c>
      <c r="B26" s="292" t="s">
        <v>333</v>
      </c>
      <c r="C26" s="292" t="s">
        <v>334</v>
      </c>
      <c r="D26" s="293" t="s">
        <v>335</v>
      </c>
      <c r="E26" s="309"/>
      <c r="F26" s="309"/>
      <c r="G26" s="309"/>
      <c r="H26" s="309"/>
      <c r="I26" s="309"/>
      <c r="J26" s="1865"/>
      <c r="K26" s="1176" t="str">
        <f ca="1">"大写金额：人民币"&amp;NUMBERSTRING(INT(O38*10000),2)&amp;"元整"</f>
        <v>大写金额：人民币壹亿柒仟零叁万元整</v>
      </c>
      <c r="L26" s="1170"/>
      <c r="M26" s="1170"/>
      <c r="N26" s="1170"/>
      <c r="O26" s="1169"/>
      <c r="P26" s="1865"/>
      <c r="Q26" s="1865"/>
      <c r="R26" s="1865"/>
      <c r="S26" s="1865"/>
      <c r="T26" s="1865"/>
      <c r="U26" s="1865"/>
      <c r="V26" s="1865"/>
      <c r="W26" s="290"/>
      <c r="X26" s="290"/>
      <c r="Y26" s="290"/>
      <c r="Z26" s="290"/>
    </row>
    <row r="27" spans="1:26" ht="36" customHeight="1">
      <c r="A27" s="3519" t="s">
        <v>3606</v>
      </c>
      <c r="B27" s="292">
        <f>资料!G72</f>
        <v>3040.41</v>
      </c>
      <c r="C27" s="292">
        <v>30</v>
      </c>
      <c r="D27" s="293">
        <f>ROUND(B27*C27/10000,0)</f>
        <v>9</v>
      </c>
      <c r="E27" s="309"/>
      <c r="F27" s="309"/>
      <c r="G27" s="309"/>
      <c r="H27" s="309"/>
      <c r="I27" s="309"/>
      <c r="J27" s="1865"/>
      <c r="K27" s="1176" t="str">
        <f ca="1">"单位面积地价："&amp;M38&amp;"元/平方米"</f>
        <v>单位面积地价：5649元/平方米</v>
      </c>
      <c r="L27" s="1170"/>
      <c r="M27" s="1170"/>
      <c r="N27" s="1170"/>
      <c r="O27" s="1169"/>
      <c r="P27" s="1865"/>
      <c r="Q27" s="1865"/>
      <c r="R27" s="1865"/>
      <c r="S27" s="1865"/>
      <c r="T27" s="1865"/>
      <c r="U27" s="1865"/>
      <c r="V27" s="1865"/>
    </row>
    <row r="28" spans="1:26" ht="18.75" customHeight="1">
      <c r="A28" s="3519" t="s">
        <v>3605</v>
      </c>
      <c r="B28" s="292">
        <f>资料!G75</f>
        <v>15213.62</v>
      </c>
      <c r="C28" s="292">
        <f>C27</f>
        <v>30</v>
      </c>
      <c r="D28" s="293">
        <f>ROUND(B28*C28/10000,0)</f>
        <v>46</v>
      </c>
      <c r="E28" s="309"/>
      <c r="F28" s="309"/>
      <c r="G28" s="309"/>
      <c r="H28" s="309"/>
      <c r="I28" s="309"/>
      <c r="J28" s="1865"/>
      <c r="K28" s="1176" t="str">
        <f ca="1">"楼面地价："&amp;N38&amp;"元/平方米"</f>
        <v>楼面地价：6362元/平方米</v>
      </c>
      <c r="L28" s="1170"/>
      <c r="M28" s="1170"/>
      <c r="N28" s="1170"/>
      <c r="O28" s="1169"/>
      <c r="P28" s="1865"/>
      <c r="V28" s="1865"/>
    </row>
    <row r="29" spans="1:26" ht="18">
      <c r="A29" s="291"/>
      <c r="B29" s="292"/>
      <c r="C29" s="292"/>
      <c r="D29" s="293"/>
      <c r="E29" s="309"/>
      <c r="F29" s="309"/>
      <c r="G29" s="309"/>
      <c r="H29" s="309"/>
      <c r="I29" s="309"/>
      <c r="J29" s="1865"/>
      <c r="K29" s="1176" t="str">
        <f ca="1">IF(OR(项目基本情况!E8="抵押价格",项目基本情况!E8="已注销及未注销"),"抵押价格："&amp;O39&amp;"万元","——")</f>
        <v>抵押价格：17003万元</v>
      </c>
      <c r="L29" s="1170"/>
      <c r="M29" s="1170"/>
      <c r="N29" s="1170"/>
      <c r="O29" s="1169"/>
      <c r="P29" s="1865"/>
      <c r="V29" s="1865"/>
    </row>
    <row r="30" spans="1:26" ht="18.75" thickBot="1">
      <c r="A30" s="2718" t="s">
        <v>336</v>
      </c>
      <c r="B30" s="307">
        <f>SUM(B27:B28)</f>
        <v>18254.03</v>
      </c>
      <c r="C30" s="307">
        <f>C27</f>
        <v>30</v>
      </c>
      <c r="D30" s="307">
        <f>SUM(D27:D28)</f>
        <v>55</v>
      </c>
      <c r="E30" s="2911" t="s">
        <v>2685</v>
      </c>
      <c r="F30" s="309"/>
      <c r="G30" s="309"/>
      <c r="H30" s="309"/>
      <c r="I30" s="309"/>
      <c r="J30" s="1865"/>
      <c r="K30" s="1176" t="str">
        <f ca="1">IF(K29="——","——","大写金额：人民币"&amp;NUMBERSTRING(INT(O39*10000),2)&amp;"元整")</f>
        <v>大写金额：人民币壹亿柒仟零叁万元整</v>
      </c>
      <c r="L30" s="1170"/>
      <c r="M30" s="1170"/>
      <c r="N30" s="1170"/>
      <c r="O30" s="1169"/>
      <c r="P30" s="1865"/>
      <c r="V30" s="1865"/>
    </row>
    <row r="31" spans="1:26" ht="24" customHeight="1" thickBot="1">
      <c r="A31" s="3656" t="s">
        <v>2686</v>
      </c>
      <c r="B31" s="3656"/>
      <c r="C31" s="3656"/>
      <c r="D31" s="3656"/>
      <c r="E31" s="3656"/>
      <c r="F31" s="3656"/>
      <c r="G31" s="3656"/>
      <c r="H31" s="3656"/>
      <c r="I31" s="3656"/>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17003</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9" t="s">
        <v>1490</v>
      </c>
      <c r="C33" s="262">
        <f ca="1">ROUND(C32*10000/'数据-汇总表'!E3,0)</f>
        <v>6362</v>
      </c>
      <c r="D33" s="1290" t="s">
        <v>1491</v>
      </c>
      <c r="E33" s="3628" t="s">
        <v>338</v>
      </c>
      <c r="F33" s="294" t="s">
        <v>339</v>
      </c>
      <c r="G33" s="295"/>
      <c r="H33" s="951"/>
      <c r="I33" s="1177"/>
      <c r="J33" s="1865"/>
      <c r="K33" s="1176" t="str">
        <f>IF(项目基本情况!E9="——","——","抵押净值："&amp;C46&amp;"万元")</f>
        <v>——</v>
      </c>
      <c r="L33" s="1170"/>
      <c r="M33" s="1170"/>
      <c r="N33" s="1170"/>
      <c r="O33" s="1169"/>
      <c r="P33" s="1865"/>
      <c r="V33" s="1865"/>
    </row>
    <row r="34" spans="1:26" s="1172" customFormat="1" ht="18.75" thickBot="1">
      <c r="A34" s="298"/>
      <c r="B34" s="1291" t="s">
        <v>1492</v>
      </c>
      <c r="C34" s="262">
        <f ca="1">ROUND(C32*10000/'数据-汇总表'!D3,0)</f>
        <v>5649</v>
      </c>
      <c r="D34" s="1292" t="s">
        <v>1491</v>
      </c>
      <c r="E34" s="3672"/>
      <c r="F34" s="127" t="s">
        <v>341</v>
      </c>
      <c r="G34" s="297"/>
      <c r="H34" s="105"/>
      <c r="I34" s="309"/>
      <c r="J34" s="1865"/>
      <c r="K34" s="1179" t="str">
        <f>IF(K33="——","——","大写金额：人民币"&amp;NUMBERSTRING(INT(O41*10000),2)&amp;"元整")</f>
        <v>——</v>
      </c>
      <c r="L34" s="1180"/>
      <c r="M34" s="1180"/>
      <c r="N34" s="1180"/>
      <c r="O34" s="1181"/>
      <c r="P34" s="1865"/>
      <c r="Q34" s="290"/>
      <c r="R34" s="290"/>
      <c r="S34" s="290"/>
      <c r="T34" s="290"/>
      <c r="U34" s="290"/>
      <c r="V34" s="1865"/>
      <c r="W34" s="290"/>
      <c r="X34" s="290"/>
      <c r="Y34" s="290"/>
      <c r="Z34" s="290"/>
    </row>
    <row r="35" spans="1:26" ht="15.75" thickBot="1">
      <c r="A35" s="282"/>
      <c r="B35" s="1293"/>
      <c r="C35" s="1294">
        <f ca="1">ROUND(C32/('数据-汇总表'!D3/666.67),0)</f>
        <v>377</v>
      </c>
      <c r="D35" s="1295" t="s">
        <v>1493</v>
      </c>
      <c r="E35" s="3673"/>
      <c r="F35" s="299" t="s">
        <v>342</v>
      </c>
      <c r="G35" s="953"/>
      <c r="H35" s="952" t="s">
        <v>343</v>
      </c>
      <c r="I35" s="309"/>
      <c r="J35" s="1865"/>
      <c r="K35" s="3646" t="s">
        <v>350</v>
      </c>
      <c r="L35" s="3646" t="s">
        <v>351</v>
      </c>
      <c r="M35" s="1182" t="s">
        <v>352</v>
      </c>
      <c r="N35" s="3646" t="s">
        <v>353</v>
      </c>
      <c r="O35" s="3646" t="s">
        <v>354</v>
      </c>
      <c r="P35" s="1865"/>
      <c r="V35" s="1865"/>
    </row>
    <row r="36" spans="1:26" ht="16.5" customHeight="1">
      <c r="A36" s="301" t="s">
        <v>344</v>
      </c>
      <c r="B36" s="302" t="s">
        <v>333</v>
      </c>
      <c r="C36" s="303" t="s">
        <v>345</v>
      </c>
      <c r="D36" s="303" t="s">
        <v>346</v>
      </c>
      <c r="E36" s="304" t="s">
        <v>347</v>
      </c>
      <c r="F36" s="309"/>
      <c r="G36" s="309"/>
      <c r="H36" s="309"/>
      <c r="I36" s="309"/>
      <c r="J36" s="1867"/>
      <c r="K36" s="3647"/>
      <c r="L36" s="3647"/>
      <c r="M36" s="1184" t="s">
        <v>355</v>
      </c>
      <c r="N36" s="3647"/>
      <c r="O36" s="3647"/>
      <c r="P36" s="1865"/>
      <c r="V36" s="1865"/>
    </row>
    <row r="37" spans="1:26" ht="16.5" customHeight="1" thickBot="1">
      <c r="A37" s="1178" t="s">
        <v>348</v>
      </c>
      <c r="B37" s="305"/>
      <c r="C37" s="292"/>
      <c r="D37" s="292"/>
      <c r="E37" s="293"/>
      <c r="F37" s="309"/>
      <c r="G37" s="309"/>
      <c r="H37" s="309"/>
      <c r="I37" s="309"/>
      <c r="J37" s="1867"/>
      <c r="K37" s="3648"/>
      <c r="L37" s="3648"/>
      <c r="M37" s="1185"/>
      <c r="N37" s="3648"/>
      <c r="O37" s="3648"/>
      <c r="P37" s="1865"/>
      <c r="V37" s="1865"/>
    </row>
    <row r="38" spans="1:26" ht="16.5" customHeight="1" thickBot="1">
      <c r="A38" s="1178" t="s">
        <v>349</v>
      </c>
      <c r="B38" s="305"/>
      <c r="C38" s="292"/>
      <c r="D38" s="292"/>
      <c r="E38" s="293"/>
      <c r="F38" s="309"/>
      <c r="G38" s="309"/>
      <c r="H38" s="309"/>
      <c r="I38" s="309"/>
      <c r="J38" s="1867"/>
      <c r="K38" s="1186">
        <f>'数据-汇总表'!D3</f>
        <v>30101.08</v>
      </c>
      <c r="L38" s="1187">
        <f>'数据-汇总表'!E3</f>
        <v>26725.120000000003</v>
      </c>
      <c r="M38" s="1187">
        <f ca="1">C34</f>
        <v>5649</v>
      </c>
      <c r="N38" s="1187">
        <f ca="1">C33</f>
        <v>6362</v>
      </c>
      <c r="O38" s="1188">
        <f ca="1">C32</f>
        <v>17003</v>
      </c>
      <c r="P38" s="1865"/>
      <c r="V38" s="1865"/>
    </row>
    <row r="39" spans="1:26" ht="16.5" customHeight="1" thickBot="1">
      <c r="A39" s="1183"/>
      <c r="B39" s="306"/>
      <c r="C39" s="307"/>
      <c r="D39" s="307"/>
      <c r="E39" s="308"/>
      <c r="F39" s="309"/>
      <c r="G39" s="309"/>
      <c r="H39" s="309"/>
      <c r="I39" s="309"/>
      <c r="J39" s="1867"/>
      <c r="K39" s="3686" t="str">
        <f>MID(A44,3,LEN(A44)-2)</f>
        <v>抵押价格</v>
      </c>
      <c r="L39" s="3687"/>
      <c r="M39" s="3687"/>
      <c r="N39" s="3688"/>
      <c r="O39" s="1297">
        <f ca="1">C44</f>
        <v>17003</v>
      </c>
      <c r="P39" s="1865"/>
      <c r="V39" s="1865"/>
    </row>
    <row r="40" spans="1:26" ht="19.5" thickBot="1">
      <c r="A40" s="104" t="s">
        <v>852</v>
      </c>
      <c r="B40" s="309"/>
      <c r="C40" s="309"/>
      <c r="D40" s="309"/>
      <c r="E40" s="309"/>
      <c r="F40" s="309"/>
      <c r="G40" s="309"/>
      <c r="H40" s="309"/>
      <c r="I40" s="309"/>
      <c r="J40" s="1867"/>
      <c r="K40" s="3686" t="str">
        <f t="shared" ref="K40:K41" si="0">MID(A45,3,LEN(A45)-2)</f>
        <v/>
      </c>
      <c r="L40" s="3687"/>
      <c r="M40" s="3687"/>
      <c r="N40" s="3688"/>
      <c r="O40" s="1297" t="str">
        <f>C45</f>
        <v>——</v>
      </c>
      <c r="P40" s="1865"/>
      <c r="V40" s="1865"/>
    </row>
    <row r="41" spans="1:26" ht="16.5" thickBot="1">
      <c r="A41" s="310" t="s">
        <v>356</v>
      </c>
      <c r="B41" s="311"/>
      <c r="C41" s="312" t="s">
        <v>357</v>
      </c>
      <c r="D41" s="313" t="s">
        <v>358</v>
      </c>
      <c r="E41" s="313" t="s">
        <v>359</v>
      </c>
      <c r="F41" s="314" t="s">
        <v>360</v>
      </c>
      <c r="G41" s="309"/>
      <c r="H41" s="309"/>
      <c r="I41" s="309"/>
      <c r="J41" s="1867"/>
      <c r="K41" s="3686" t="str">
        <f t="shared" si="0"/>
        <v/>
      </c>
      <c r="L41" s="3687"/>
      <c r="M41" s="3687"/>
      <c r="N41" s="3688"/>
      <c r="O41" s="1297" t="str">
        <f>C46</f>
        <v>——</v>
      </c>
      <c r="P41" s="1865"/>
      <c r="V41" s="1865"/>
    </row>
    <row r="42" spans="1:26" ht="29.25">
      <c r="A42" s="3630" t="s">
        <v>1856</v>
      </c>
      <c r="B42" s="3631"/>
      <c r="C42" s="262">
        <f ca="1">C32</f>
        <v>17003</v>
      </c>
      <c r="D42" s="315">
        <f ca="1">C33</f>
        <v>6362</v>
      </c>
      <c r="E42" s="315">
        <f ca="1">C34</f>
        <v>5649</v>
      </c>
      <c r="F42" s="316">
        <f ca="1">C35</f>
        <v>377</v>
      </c>
      <c r="G42" s="309"/>
      <c r="H42" s="309"/>
      <c r="I42" s="317"/>
      <c r="J42" s="1867"/>
      <c r="K42" s="1189" t="s">
        <v>361</v>
      </c>
      <c r="L42" s="1884" t="s">
        <v>362</v>
      </c>
      <c r="M42" s="1190" t="s">
        <v>363</v>
      </c>
      <c r="N42" s="1885" t="s">
        <v>364</v>
      </c>
      <c r="O42" s="1886" t="s">
        <v>365</v>
      </c>
      <c r="P42" s="1865"/>
      <c r="V42" s="1865"/>
    </row>
    <row r="43" spans="1:26" ht="30">
      <c r="A43" s="3641" t="s">
        <v>2444</v>
      </c>
      <c r="B43" s="3642"/>
      <c r="C43" s="262">
        <f>IF(H33="正常操作",G33+G34+G35,G34+G35)</f>
        <v>0</v>
      </c>
      <c r="D43" s="315" t="s">
        <v>43</v>
      </c>
      <c r="E43" s="315" t="s">
        <v>44</v>
      </c>
      <c r="F43" s="316" t="s">
        <v>44</v>
      </c>
      <c r="G43" s="2505" t="s">
        <v>931</v>
      </c>
      <c r="H43" s="309"/>
      <c r="I43" s="317"/>
      <c r="J43" s="1867"/>
      <c r="K43" s="1191" t="str">
        <f>C4</f>
        <v>比较法-住宅、综合</v>
      </c>
      <c r="L43" s="1192">
        <f ca="1">IF(L42="估价结果/万元",C19,C20)</f>
        <v>11639</v>
      </c>
      <c r="M43" s="1193">
        <f>C18</f>
        <v>0.6</v>
      </c>
      <c r="N43" s="1194">
        <f ca="1">IF(N42="测算结果/万元",G19,G20)</f>
        <v>17058</v>
      </c>
      <c r="O43" s="1195">
        <f ca="1">IF(O42="最终结果/万元",C32,C33)</f>
        <v>17003</v>
      </c>
      <c r="P43" s="1865"/>
      <c r="V43" s="1865"/>
    </row>
    <row r="44" spans="1:26" ht="30.75" thickBot="1">
      <c r="A44" s="3630" t="str">
        <f>IF(OR(项目基本情况!E8="抵押价格",项目基本情况!E8="已注销及未注销"),"3.抵押价格","——")</f>
        <v>3.抵押价格</v>
      </c>
      <c r="B44" s="3631"/>
      <c r="C44" s="262">
        <f ca="1">IF(A44="——","——",C42-C43)</f>
        <v>17003</v>
      </c>
      <c r="D44" s="315">
        <f ca="1">ROUND(C44*10000/'数据-汇总表'!E3,0)</f>
        <v>6362</v>
      </c>
      <c r="E44" s="315">
        <f ca="1">ROUND(C44*10000/'数据-汇总表'!D3,0)</f>
        <v>5649</v>
      </c>
      <c r="F44" s="316">
        <f ca="1">ROUND(C44/('数据-汇总表'!D3/666.67),0)</f>
        <v>377</v>
      </c>
      <c r="G44" s="309"/>
      <c r="H44" s="309"/>
      <c r="I44" s="317"/>
      <c r="J44" s="1867"/>
      <c r="K44" s="1196" t="str">
        <f>D4</f>
        <v>剩余法-待开发</v>
      </c>
      <c r="L44" s="1197">
        <f ca="1">IF(L42="估价结果/万元",D19,D20)</f>
        <v>25187</v>
      </c>
      <c r="M44" s="1198">
        <f>D18</f>
        <v>0.4</v>
      </c>
      <c r="N44" s="1199"/>
      <c r="O44" s="1200"/>
      <c r="P44" s="1865"/>
      <c r="V44" s="1865"/>
    </row>
    <row r="45" spans="1:26" ht="15">
      <c r="A45" s="3636" t="str">
        <f>IF(项目基本情况!E8="已注销及未注销","4.抵押担保权已注销时的抵押价格",IF(项目基本情况!E8="已注销","3.抵押担保权已注销时的抵押价格","——"))</f>
        <v>——</v>
      </c>
      <c r="B45" s="3637"/>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632" t="str">
        <f>IF(项目基本情况!E9="抵押净值",IF(A45="——","4.抵押净值","5.抵押净值"),"——")</f>
        <v>——</v>
      </c>
      <c r="B46" s="3633"/>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1"/>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2" t="s">
        <v>373</v>
      </c>
      <c r="B62" s="1203"/>
      <c r="C62" s="1203"/>
      <c r="D62" s="1204"/>
      <c r="E62" s="1204"/>
      <c r="F62" s="1205"/>
      <c r="G62" s="1205"/>
      <c r="H62" s="1205"/>
      <c r="I62" s="1205"/>
      <c r="J62" s="1869"/>
      <c r="K62" s="1865"/>
      <c r="L62" s="1865"/>
      <c r="M62" s="1865"/>
      <c r="N62" s="1865"/>
      <c r="O62" s="1865"/>
      <c r="P62" s="1865"/>
      <c r="Q62" s="1865"/>
      <c r="R62" s="1865"/>
      <c r="S62" s="1865"/>
      <c r="T62" s="1865"/>
      <c r="U62" s="1865"/>
      <c r="V62" s="1865"/>
    </row>
    <row r="63" spans="1:22" ht="14.25" customHeight="1" thickBot="1">
      <c r="A63" s="3680" t="s">
        <v>374</v>
      </c>
      <c r="B63" s="3681"/>
      <c r="C63" s="3682"/>
      <c r="D63" s="339">
        <f ca="1">ROUND(C42*F63,0)</f>
        <v>17003</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38" t="s">
        <v>378</v>
      </c>
      <c r="B64" s="3639"/>
      <c r="C64" s="3639"/>
      <c r="D64" s="3639"/>
      <c r="E64" s="3639"/>
      <c r="F64" s="3639"/>
      <c r="G64" s="3640"/>
      <c r="H64" s="1206"/>
      <c r="I64" s="920"/>
      <c r="J64" s="1856"/>
      <c r="K64" s="1455"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6"/>
      <c r="I65" s="920"/>
      <c r="J65" s="1856"/>
      <c r="K65" s="1207"/>
      <c r="L65" s="1208"/>
      <c r="M65" s="1208"/>
      <c r="N65" s="1240" t="s">
        <v>379</v>
      </c>
      <c r="O65" s="1241"/>
      <c r="P65" s="1242"/>
      <c r="Q65" s="1865"/>
      <c r="R65" s="1865"/>
      <c r="S65" s="1865"/>
      <c r="T65" s="1865"/>
      <c r="U65" s="1865"/>
      <c r="V65" s="1865"/>
    </row>
    <row r="66" spans="1:22" ht="25.5">
      <c r="A66" s="3634" t="s">
        <v>386</v>
      </c>
      <c r="B66" s="3635"/>
      <c r="C66" s="3635"/>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06"/>
      <c r="J66" s="1871"/>
      <c r="K66" s="1209">
        <v>1</v>
      </c>
      <c r="L66" s="3695" t="s">
        <v>385</v>
      </c>
      <c r="M66" s="3696"/>
      <c r="N66" s="2266"/>
      <c r="O66" s="2267"/>
      <c r="P66" s="2268"/>
      <c r="Q66" s="1865"/>
      <c r="R66" s="1865"/>
      <c r="S66" s="1865"/>
      <c r="T66" s="1865"/>
      <c r="U66" s="1865"/>
      <c r="V66" s="1865"/>
    </row>
    <row r="67" spans="1:22" ht="25.5" customHeight="1">
      <c r="A67" s="350" t="s">
        <v>389</v>
      </c>
      <c r="B67" s="3625" t="s">
        <v>390</v>
      </c>
      <c r="C67" s="3625"/>
      <c r="D67" s="351">
        <v>0</v>
      </c>
      <c r="E67" s="41" t="s">
        <v>391</v>
      </c>
      <c r="F67" s="62" t="s">
        <v>21</v>
      </c>
      <c r="G67" s="3683"/>
      <c r="H67" s="2914" t="s">
        <v>2687</v>
      </c>
      <c r="I67" s="2916"/>
      <c r="J67" s="1872"/>
      <c r="K67" s="1844">
        <v>2</v>
      </c>
      <c r="L67" s="3689" t="s">
        <v>388</v>
      </c>
      <c r="M67" s="3689"/>
      <c r="N67" s="1243">
        <f>'数据-取费表'!B2</f>
        <v>44705</v>
      </c>
      <c r="O67" s="1243"/>
      <c r="P67" s="1243"/>
      <c r="Q67" s="1865"/>
      <c r="R67" s="1865"/>
      <c r="S67" s="1865"/>
      <c r="T67" s="1865"/>
      <c r="U67" s="1865"/>
      <c r="V67" s="1865"/>
    </row>
    <row r="68" spans="1:22" ht="25.5" customHeight="1">
      <c r="A68" s="352"/>
      <c r="B68" s="3625" t="s">
        <v>393</v>
      </c>
      <c r="C68" s="3625"/>
      <c r="D68" s="353"/>
      <c r="E68" s="77"/>
      <c r="F68" s="354"/>
      <c r="G68" s="3684"/>
      <c r="H68" s="2915" t="s">
        <v>2688</v>
      </c>
      <c r="I68" s="2916"/>
      <c r="J68" s="1872"/>
      <c r="K68" s="1844">
        <v>3</v>
      </c>
      <c r="L68" s="3689" t="s">
        <v>392</v>
      </c>
      <c r="M68" s="3689"/>
      <c r="N68" s="1211">
        <f ca="1">C42</f>
        <v>17003</v>
      </c>
      <c r="O68" s="1211"/>
      <c r="P68" s="1211"/>
      <c r="Q68" s="1865"/>
      <c r="R68" s="1865"/>
      <c r="S68" s="1865"/>
      <c r="T68" s="1865"/>
      <c r="U68" s="1865"/>
      <c r="V68" s="1865"/>
    </row>
    <row r="69" spans="1:22" ht="23.45" customHeight="1">
      <c r="A69" s="355"/>
      <c r="B69" s="3625" t="s">
        <v>394</v>
      </c>
      <c r="C69" s="3625"/>
      <c r="D69" s="356"/>
      <c r="E69" s="73"/>
      <c r="F69" s="354"/>
      <c r="G69" s="3685"/>
      <c r="H69" s="2915" t="s">
        <v>2689</v>
      </c>
      <c r="I69" s="2916"/>
      <c r="J69" s="1872"/>
      <c r="K69" s="1212">
        <v>4</v>
      </c>
      <c r="L69" s="3699" t="s">
        <v>2593</v>
      </c>
      <c r="M69" s="3700"/>
      <c r="N69" s="1213">
        <f ca="1">C44</f>
        <v>17003</v>
      </c>
      <c r="O69" s="1213"/>
      <c r="P69" s="1213"/>
      <c r="Q69" s="1865"/>
      <c r="R69" s="1865"/>
      <c r="S69" s="1865"/>
      <c r="T69" s="1865"/>
      <c r="U69" s="1865"/>
      <c r="V69" s="1865"/>
    </row>
    <row r="70" spans="1:22" ht="24" customHeight="1">
      <c r="A70" s="357" t="s">
        <v>395</v>
      </c>
      <c r="B70" s="3625" t="s">
        <v>396</v>
      </c>
      <c r="C70" s="3625"/>
      <c r="D70" s="356">
        <f ca="1">ROUND(D63*'数据-取费表'!B41/(1+'数据-取费表'!C42),0)</f>
        <v>891</v>
      </c>
      <c r="E70" s="17" t="s">
        <v>397</v>
      </c>
      <c r="F70" s="358">
        <f>'数据-取费表'!B41</f>
        <v>5.5000000000000007E-2</v>
      </c>
      <c r="G70" s="359"/>
      <c r="H70" s="309"/>
      <c r="I70" s="1210"/>
      <c r="J70" s="1872"/>
      <c r="K70" s="2683"/>
      <c r="L70" s="2684"/>
      <c r="M70" s="2684"/>
      <c r="N70" s="2685" t="s">
        <v>2597</v>
      </c>
      <c r="O70" s="2684"/>
      <c r="P70" s="2686"/>
      <c r="Q70" s="1865"/>
      <c r="R70" s="1865"/>
      <c r="S70" s="1865"/>
      <c r="T70" s="1865"/>
      <c r="U70" s="1865"/>
      <c r="V70" s="1865"/>
    </row>
    <row r="71" spans="1:22" ht="12" customHeight="1">
      <c r="A71" s="357" t="s">
        <v>403</v>
      </c>
      <c r="B71" s="3626" t="s">
        <v>2717</v>
      </c>
      <c r="C71" s="3627"/>
      <c r="D71" s="356">
        <f ca="1">ROUND(D63*'数据-取费表'!B41/(1+'数据-取费表'!C42),0)</f>
        <v>891</v>
      </c>
      <c r="E71" s="17" t="s">
        <v>397</v>
      </c>
      <c r="F71" s="358">
        <f>'数据-取费表'!B41</f>
        <v>5.5000000000000007E-2</v>
      </c>
      <c r="G71" s="359"/>
      <c r="H71" s="309"/>
      <c r="I71" s="1210"/>
      <c r="J71" s="1872"/>
      <c r="K71" s="2682" t="s">
        <v>398</v>
      </c>
      <c r="L71" s="3701" t="s">
        <v>399</v>
      </c>
      <c r="M71" s="3701"/>
      <c r="N71" s="2682" t="s">
        <v>400</v>
      </c>
      <c r="O71" s="2682" t="s">
        <v>401</v>
      </c>
      <c r="P71" s="2682" t="s">
        <v>402</v>
      </c>
      <c r="Q71" s="1865"/>
      <c r="R71" s="1865"/>
      <c r="S71" s="1865"/>
      <c r="T71" s="1865"/>
      <c r="U71" s="1865"/>
      <c r="V71" s="1865"/>
    </row>
    <row r="72" spans="1:22" ht="12" customHeight="1">
      <c r="A72" s="357" t="s">
        <v>405</v>
      </c>
      <c r="B72" s="3626" t="s">
        <v>2718</v>
      </c>
      <c r="C72" s="3627"/>
      <c r="D72" s="356">
        <f ca="1">C86</f>
        <v>891</v>
      </c>
      <c r="E72" s="73" t="s">
        <v>406</v>
      </c>
      <c r="F72" s="358">
        <f>'数据-取费表'!B41</f>
        <v>5.5000000000000007E-2</v>
      </c>
      <c r="G72" s="359"/>
      <c r="H72" s="1216"/>
      <c r="I72" s="1210"/>
      <c r="J72" s="1872"/>
      <c r="K72" s="1844">
        <v>1</v>
      </c>
      <c r="L72" s="3676" t="s">
        <v>404</v>
      </c>
      <c r="M72" s="3676"/>
      <c r="N72" s="1214" t="b">
        <f>D66</f>
        <v>0</v>
      </c>
      <c r="O72" s="1728" t="str">
        <f>E66</f>
        <v>销售额×税（费）率</v>
      </c>
      <c r="P72" s="1215">
        <f>F66</f>
        <v>5.5000000000000007E-2</v>
      </c>
      <c r="Q72" s="1865"/>
      <c r="R72" s="1865"/>
      <c r="S72" s="1865"/>
      <c r="T72" s="1865"/>
      <c r="U72" s="1865"/>
      <c r="V72" s="1865"/>
    </row>
    <row r="73" spans="1:22" ht="24" customHeight="1">
      <c r="A73" s="3671" t="s">
        <v>408</v>
      </c>
      <c r="B73" s="3635"/>
      <c r="C73" s="3635"/>
      <c r="D73" s="360">
        <f ca="1">IF(H73="个人住宅",0,ROUND(D63*I73,0))</f>
        <v>9</v>
      </c>
      <c r="E73" s="17" t="s">
        <v>409</v>
      </c>
      <c r="F73" s="358" t="str">
        <f>IF(H73="正常",I73,"免征")</f>
        <v>免征</v>
      </c>
      <c r="G73" s="359"/>
      <c r="H73" s="189"/>
      <c r="I73" s="358">
        <f>'数据-取费表'!B49</f>
        <v>5.0000000000000001E-4</v>
      </c>
      <c r="J73" s="1872"/>
      <c r="K73" s="1844">
        <v>2</v>
      </c>
      <c r="L73" s="3676" t="s">
        <v>407</v>
      </c>
      <c r="M73" s="3676"/>
      <c r="N73" s="1214">
        <f t="shared" ref="N73:P74" ca="1" si="1">D73</f>
        <v>9</v>
      </c>
      <c r="O73" s="1728" t="str">
        <f t="shared" si="1"/>
        <v>销售额×税（费）率</v>
      </c>
      <c r="P73" s="1215" t="str">
        <f t="shared" si="1"/>
        <v>免征</v>
      </c>
      <c r="Q73" s="1865"/>
      <c r="R73" s="1865"/>
      <c r="S73" s="1865"/>
      <c r="T73" s="1865"/>
      <c r="U73" s="1865"/>
      <c r="V73" s="1865"/>
    </row>
    <row r="74" spans="1:22" ht="24.75">
      <c r="A74" s="3671" t="s">
        <v>411</v>
      </c>
      <c r="B74" s="3635"/>
      <c r="C74" s="3635"/>
      <c r="D74" s="360">
        <f ca="1">IF(H74="个人住宅",D75,D76)</f>
        <v>9639</v>
      </c>
      <c r="E74" s="17" t="s">
        <v>412</v>
      </c>
      <c r="F74" s="358" t="str">
        <f>IF(H74="正常",F76,"免征")</f>
        <v>免征</v>
      </c>
      <c r="G74" s="954" t="s">
        <v>413</v>
      </c>
      <c r="H74" s="361"/>
      <c r="I74" s="42"/>
      <c r="J74" s="1872"/>
      <c r="K74" s="1844">
        <v>3</v>
      </c>
      <c r="L74" s="3676" t="s">
        <v>410</v>
      </c>
      <c r="M74" s="3676"/>
      <c r="N74" s="1214">
        <f t="shared" ca="1" si="1"/>
        <v>9639</v>
      </c>
      <c r="O74" s="1728" t="str">
        <f t="shared" si="1"/>
        <v>增值额×税（费）率</v>
      </c>
      <c r="P74" s="1217" t="str">
        <f t="shared" si="1"/>
        <v>免征</v>
      </c>
      <c r="Q74" s="1865"/>
      <c r="R74" s="1865"/>
      <c r="S74" s="1865"/>
      <c r="T74" s="1865"/>
      <c r="U74" s="1865"/>
      <c r="V74" s="1865"/>
    </row>
    <row r="75" spans="1:22" ht="12.75">
      <c r="A75" s="357" t="s">
        <v>414</v>
      </c>
      <c r="B75" s="3623" t="s">
        <v>415</v>
      </c>
      <c r="C75" s="3659"/>
      <c r="D75" s="362">
        <v>0</v>
      </c>
      <c r="E75" s="41" t="s">
        <v>416</v>
      </c>
      <c r="F75" s="363"/>
      <c r="G75" s="359"/>
      <c r="H75" s="42"/>
      <c r="I75" s="42"/>
      <c r="J75" s="1872"/>
      <c r="K75" s="2676">
        <f>IF(H77="非个人房产","",4)</f>
        <v>4</v>
      </c>
      <c r="L75" s="3676" t="str">
        <f>IF(H77="非个人房产","——","个人所得税")</f>
        <v>个人所得税</v>
      </c>
      <c r="M75" s="3676"/>
      <c r="N75" s="1218">
        <f>D77</f>
        <v>0</v>
      </c>
      <c r="O75" s="1741" t="str">
        <f>E77</f>
        <v>差额计税</v>
      </c>
      <c r="P75" s="1219">
        <f>F77</f>
        <v>0.01</v>
      </c>
      <c r="Q75" s="1865"/>
      <c r="R75" s="1865"/>
      <c r="S75" s="1865"/>
      <c r="T75" s="1865"/>
      <c r="U75" s="1865"/>
      <c r="V75" s="1865"/>
    </row>
    <row r="76" spans="1:22" ht="24.75">
      <c r="A76" s="357" t="s">
        <v>395</v>
      </c>
      <c r="B76" s="3623" t="s">
        <v>418</v>
      </c>
      <c r="C76" s="3624"/>
      <c r="D76" s="360">
        <f ca="1">IF(H76="转让取得",C99,C115)</f>
        <v>9639</v>
      </c>
      <c r="E76" s="17" t="s">
        <v>419</v>
      </c>
      <c r="F76" s="53" t="s">
        <v>21</v>
      </c>
      <c r="G76" s="359"/>
      <c r="H76" s="361"/>
      <c r="I76" s="42"/>
      <c r="J76" s="1872"/>
      <c r="K76" s="2676" t="str">
        <f>IF(项目基本情况!K6="上海银行",IF(K75="",4,K75+1),"")</f>
        <v/>
      </c>
      <c r="L76" s="3691" t="str">
        <f>IF(项目基本情况!K6="上海银行","其他处置费用","")</f>
        <v/>
      </c>
      <c r="M76" s="3692"/>
      <c r="N76" s="1214" t="str">
        <f>IF(项目基本情况!K6="上海银行",N89,"")</f>
        <v/>
      </c>
      <c r="O76" s="3693" t="str">
        <f>IF(项目基本情况!K6="上海银行","包含处置中涉及的律师、诉讼、拍卖、评估等费用","")</f>
        <v/>
      </c>
      <c r="P76" s="3694"/>
      <c r="Q76" s="1865"/>
      <c r="R76" s="1865"/>
      <c r="S76" s="1865"/>
      <c r="T76" s="1865"/>
      <c r="U76" s="1865"/>
      <c r="V76" s="1865"/>
    </row>
    <row r="77" spans="1:22" ht="24.75" thickBot="1">
      <c r="A77" s="3678" t="s">
        <v>421</v>
      </c>
      <c r="B77" s="3679"/>
      <c r="C77" s="3679"/>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5" t="s">
        <v>413</v>
      </c>
      <c r="H77" s="2918"/>
      <c r="I77" s="2917" t="s">
        <v>2690</v>
      </c>
      <c r="J77" s="1872"/>
      <c r="K77" s="3677">
        <f>IF(AND(K75="",K76=""),4,IF(项目基本情况!K6="上海银行",K76+1,K75+1))</f>
        <v>5</v>
      </c>
      <c r="L77" s="3676" t="s">
        <v>2594</v>
      </c>
      <c r="M77" s="2681" t="s">
        <v>417</v>
      </c>
      <c r="N77" s="1220"/>
      <c r="O77" s="1221">
        <f ca="1">SUMIF(N72:N76,"&lt;9e307")</f>
        <v>9648</v>
      </c>
      <c r="P77" s="1222"/>
      <c r="Q77" s="2679">
        <f ca="1">O77/N69</f>
        <v>0.56742927718637892</v>
      </c>
      <c r="R77" s="1865"/>
      <c r="S77" s="1865"/>
      <c r="T77" s="1865"/>
      <c r="U77" s="1865"/>
      <c r="V77" s="1865"/>
    </row>
    <row r="78" spans="1:22" ht="12" customHeight="1">
      <c r="A78" s="1223"/>
      <c r="B78" s="309"/>
      <c r="C78" s="309"/>
      <c r="D78" s="309"/>
      <c r="E78" s="42"/>
      <c r="F78" s="42"/>
      <c r="G78" s="42"/>
      <c r="H78" s="974"/>
      <c r="I78" s="309"/>
      <c r="J78" s="1872"/>
      <c r="K78" s="3677"/>
      <c r="L78" s="3676"/>
      <c r="M78" s="2681" t="s">
        <v>420</v>
      </c>
      <c r="N78" s="1220"/>
      <c r="O78" s="1221" t="str">
        <f ca="1">NUMBERSTRING(INT(O77*10000),2)&amp;"元整"</f>
        <v>玖仟陆佰肆拾捌万元整</v>
      </c>
      <c r="P78" s="1222"/>
      <c r="Q78" s="1865"/>
      <c r="R78" s="1865"/>
      <c r="S78" s="1865"/>
      <c r="T78" s="1865"/>
      <c r="U78" s="1865"/>
      <c r="V78" s="1865"/>
    </row>
    <row r="79" spans="1:22" ht="13.5" thickBot="1">
      <c r="A79" s="3643" t="s">
        <v>422</v>
      </c>
      <c r="B79" s="3643"/>
      <c r="C79" s="3643"/>
      <c r="D79" s="3643"/>
      <c r="E79" s="3643"/>
      <c r="F79" s="42"/>
      <c r="G79" s="42"/>
      <c r="H79" s="974"/>
      <c r="I79" s="309"/>
      <c r="J79" s="1872"/>
      <c r="K79" s="3697">
        <f>K77+1</f>
        <v>6</v>
      </c>
      <c r="L79" s="3676" t="s">
        <v>2595</v>
      </c>
      <c r="M79" s="2681" t="s">
        <v>417</v>
      </c>
      <c r="N79" s="1220"/>
      <c r="O79" s="1221">
        <f ca="1">N69-O77</f>
        <v>7355</v>
      </c>
      <c r="P79" s="1222"/>
      <c r="Q79" s="1865"/>
      <c r="R79" s="1865"/>
      <c r="S79" s="1865"/>
      <c r="T79" s="1865"/>
      <c r="U79" s="1865"/>
      <c r="V79" s="1865"/>
    </row>
    <row r="80" spans="1:22" ht="25.5">
      <c r="A80" s="3644" t="s">
        <v>423</v>
      </c>
      <c r="B80" s="3645"/>
      <c r="C80" s="965"/>
      <c r="D80" s="965" t="s">
        <v>424</v>
      </c>
      <c r="E80" s="364" t="s">
        <v>425</v>
      </c>
      <c r="F80" s="42"/>
      <c r="G80" s="42"/>
      <c r="H80" s="974"/>
      <c r="I80" s="309"/>
      <c r="J80" s="1865"/>
      <c r="K80" s="3698"/>
      <c r="L80" s="3676"/>
      <c r="M80" s="2681" t="s">
        <v>420</v>
      </c>
      <c r="N80" s="1220"/>
      <c r="O80" s="1221" t="str">
        <f ca="1">NUMBERSTRING(INT(O79*10000),2)&amp;"元整"</f>
        <v>柒仟叁佰伍拾伍万元整</v>
      </c>
      <c r="P80" s="1222"/>
      <c r="Q80" s="1865"/>
      <c r="R80" s="1865"/>
      <c r="S80" s="1865"/>
      <c r="T80" s="1865"/>
      <c r="U80" s="1865"/>
      <c r="V80" s="1865"/>
    </row>
    <row r="81" spans="1:26" ht="13.5" thickBot="1">
      <c r="A81" s="375" t="s">
        <v>1623</v>
      </c>
      <c r="B81" s="365" t="s">
        <v>426</v>
      </c>
      <c r="C81" s="366">
        <f ca="1">ROUND((C82+C83)/(1+'数据-取费表'!C42),0)</f>
        <v>16193</v>
      </c>
      <c r="D81" s="367"/>
      <c r="E81" s="368"/>
      <c r="F81" s="42"/>
      <c r="G81" s="42"/>
      <c r="H81" s="974"/>
      <c r="I81" s="309"/>
      <c r="J81" s="1865"/>
      <c r="K81" s="2676">
        <f>K79+1</f>
        <v>7</v>
      </c>
      <c r="L81" s="3674" t="s">
        <v>2596</v>
      </c>
      <c r="M81" s="3675"/>
      <c r="N81" s="1224"/>
      <c r="O81" s="1225">
        <f ca="1">ROUND(O79*10000/'数据-汇总表'!E3,0)</f>
        <v>2752</v>
      </c>
      <c r="P81" s="1226"/>
      <c r="Q81" s="1865"/>
      <c r="R81" s="1865"/>
      <c r="S81" s="1865"/>
      <c r="T81" s="1865"/>
      <c r="U81" s="1865"/>
      <c r="V81" s="1865"/>
    </row>
    <row r="82" spans="1:26" ht="13.5" thickTop="1">
      <c r="A82" s="369" t="s">
        <v>1624</v>
      </c>
      <c r="B82" s="370" t="s">
        <v>427</v>
      </c>
      <c r="C82" s="371">
        <f ca="1">D63</f>
        <v>17003</v>
      </c>
      <c r="D82" s="372" t="s">
        <v>19</v>
      </c>
      <c r="E82" s="373"/>
      <c r="F82" s="42"/>
      <c r="G82" s="42"/>
      <c r="H82" s="974"/>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4"/>
      <c r="I83" s="309"/>
      <c r="J83" s="1865"/>
      <c r="K83" s="3690" t="s">
        <v>2584</v>
      </c>
      <c r="L83" s="2687" t="s">
        <v>2585</v>
      </c>
      <c r="M83" s="2677">
        <f ca="1">IF(N69&gt;10000,N69*0.5%,IF(AND(N69&gt;1000,N69&lt;=10000),N69*1%,IF(AND(N69&gt;100,N69&lt;=1000),N69*3%,IF(AND(N69&gt;10,N69&lt;=100),N69*5%,N69*8%))))</f>
        <v>85.015000000000001</v>
      </c>
      <c r="N83" s="53">
        <f ca="1">ROUND(M83,1)</f>
        <v>85</v>
      </c>
      <c r="O83" s="2680"/>
      <c r="P83" s="1865"/>
      <c r="Q83" s="1865"/>
      <c r="R83" s="1865"/>
      <c r="S83" s="1865"/>
      <c r="T83" s="1865"/>
      <c r="U83" s="1865"/>
      <c r="V83" s="1865"/>
    </row>
    <row r="84" spans="1:26" ht="12.75">
      <c r="A84" s="375" t="s">
        <v>1626</v>
      </c>
      <c r="B84" s="376" t="s">
        <v>429</v>
      </c>
      <c r="C84" s="377"/>
      <c r="D84" s="378" t="s">
        <v>19</v>
      </c>
      <c r="E84" s="2705" t="s">
        <v>2631</v>
      </c>
      <c r="F84" s="42"/>
      <c r="G84" s="42"/>
      <c r="H84" s="974"/>
      <c r="I84" s="309"/>
      <c r="J84" s="1865"/>
      <c r="K84" s="3690"/>
      <c r="L84" s="2687" t="s">
        <v>2586</v>
      </c>
      <c r="M84" s="2677">
        <f ca="1">IF(N69&gt;2000,N69*0.5%,IF(AND(N69&gt;1000,N69&lt;=2000),N69*0.6%,IF(AND(N69&gt;500,N69&lt;=1000),N69*0.7%,IF(AND(N69&gt;200,N69&lt;=500),N69*0.8%,IF(AND(N69&gt;100,N69&lt;=200),N69*0.9%,IF(AND(N69&gt;50,N69&lt;=100),N69*1%,IF(AND(N69&gt;20,N69&lt;=50),N69*1.5%,IF(AND(N69&gt;10,N69&lt;=20),N69*2%,IF(AND(N69&gt;1,N69&lt;=10),N69*2.5%)))))))))</f>
        <v>85.015000000000001</v>
      </c>
      <c r="N84" s="53">
        <f t="shared" ref="N84:N85" ca="1" si="2">ROUND(M84,1)</f>
        <v>85</v>
      </c>
      <c r="O84" s="1865" t="s">
        <v>2587</v>
      </c>
      <c r="P84" s="1865"/>
      <c r="Q84" s="1865"/>
      <c r="R84" s="1865"/>
      <c r="S84" s="1865"/>
      <c r="T84" s="1865"/>
      <c r="U84" s="1865"/>
      <c r="V84" s="1865"/>
    </row>
    <row r="85" spans="1:26" ht="12.75">
      <c r="A85" s="375" t="s">
        <v>1627</v>
      </c>
      <c r="B85" s="376" t="s">
        <v>430</v>
      </c>
      <c r="C85" s="379">
        <f ca="1">C81-C84</f>
        <v>16193</v>
      </c>
      <c r="D85" s="372" t="s">
        <v>19</v>
      </c>
      <c r="E85" s="373"/>
      <c r="F85" s="42"/>
      <c r="G85" s="42"/>
      <c r="H85" s="974"/>
      <c r="I85" s="309"/>
      <c r="J85" s="1865"/>
      <c r="K85" s="3690"/>
      <c r="L85" s="2687" t="s">
        <v>2588</v>
      </c>
      <c r="M85" s="2677">
        <f ca="1">IF(N69&gt;1000,N69*0.1%,IF(AND(N69&gt;500,N69&lt;=1000),N69*0.5%,IF(AND(N69&gt;50,N69&lt;=500),N69*1%,IF(AND(N69&gt;1,N69&lt;=50),N69*1.5%))))</f>
        <v>17.003</v>
      </c>
      <c r="N85" s="53">
        <f t="shared" ca="1" si="2"/>
        <v>17</v>
      </c>
      <c r="O85" s="1865" t="s">
        <v>2587</v>
      </c>
      <c r="P85" s="1865"/>
      <c r="Q85" s="1865"/>
      <c r="R85" s="1865"/>
      <c r="S85" s="1865"/>
      <c r="T85" s="1865"/>
      <c r="U85" s="1865"/>
      <c r="V85" s="1865"/>
    </row>
    <row r="86" spans="1:26" ht="13.5" thickBot="1">
      <c r="A86" s="380" t="s">
        <v>1628</v>
      </c>
      <c r="B86" s="381" t="s">
        <v>431</v>
      </c>
      <c r="C86" s="382">
        <f ca="1">IF(C85&lt;=0,0,ROUND(C85*D86,0))</f>
        <v>891</v>
      </c>
      <c r="D86" s="383">
        <f>'数据-取费表'!B41</f>
        <v>5.5000000000000007E-2</v>
      </c>
      <c r="E86" s="384"/>
      <c r="F86" s="42"/>
      <c r="G86" s="42"/>
      <c r="H86" s="974"/>
      <c r="I86" s="309"/>
      <c r="J86" s="1865"/>
      <c r="K86" s="3690"/>
      <c r="L86" s="2687" t="s">
        <v>2589</v>
      </c>
      <c r="M86" s="2677">
        <f ca="1">N69*0.5%</f>
        <v>85.015000000000001</v>
      </c>
      <c r="N86" s="53">
        <f ca="1">IF(M86&gt;0.5,0.5,ROUND(M86,0))</f>
        <v>0.5</v>
      </c>
      <c r="O86" s="1865" t="s">
        <v>2590</v>
      </c>
      <c r="P86" s="1865"/>
      <c r="Q86" s="1865"/>
      <c r="R86" s="1865"/>
      <c r="S86" s="1865"/>
      <c r="T86" s="1865"/>
      <c r="U86" s="1865"/>
      <c r="V86" s="1865"/>
    </row>
    <row r="87" spans="1:26" s="1172" customFormat="1" ht="14.25" customHeight="1">
      <c r="A87" s="1227"/>
      <c r="B87" s="1228"/>
      <c r="C87" s="1229"/>
      <c r="D87" s="1230"/>
      <c r="E87" s="1231"/>
      <c r="F87" s="42"/>
      <c r="G87" s="42"/>
      <c r="H87" s="974"/>
      <c r="I87" s="309"/>
      <c r="J87" s="1865"/>
      <c r="K87" s="3690"/>
      <c r="L87" s="2687" t="s">
        <v>2591</v>
      </c>
      <c r="M87" s="2677">
        <f ca="1">IF(N69&gt;=10000,(8.25+(N69-10000)*0.01%),IF(AND(N69&gt;=8000,N69&lt;10000),(7.85+(N69-8000)*0.02%),IF(AND(N69&gt;=5000,N69&lt;8000),(6.65+(N69-5000)*0.04%),IF(AND(N69&gt;=2000,N69&lt;5000),(4.25+(PN69-2000)*0.08%),IF(AND(N69&gt;=1000,N69&lt;2000),(2.75+(N69-1000)*0.15%),IF(AND(N69&gt;=100,N69&lt;1000),(0.5+(N69-100)*0.25%),IF(AND(N69&gt;0,N69&lt;100),N69*0.5%)))))))</f>
        <v>8.9503000000000004</v>
      </c>
      <c r="N87" s="53">
        <f ca="1">ROUND(M87*0.9,1)</f>
        <v>8.1</v>
      </c>
      <c r="O87" s="2680"/>
      <c r="P87" s="1865"/>
      <c r="Q87" s="1865"/>
      <c r="R87" s="1865"/>
      <c r="S87" s="1865"/>
      <c r="T87" s="1865"/>
      <c r="U87" s="1865"/>
      <c r="V87" s="1865"/>
      <c r="W87" s="290"/>
      <c r="X87" s="290"/>
      <c r="Y87" s="290"/>
      <c r="Z87" s="290"/>
    </row>
    <row r="88" spans="1:26" s="1232" customFormat="1" ht="15" thickBot="1">
      <c r="A88" s="3669" t="s">
        <v>432</v>
      </c>
      <c r="B88" s="3670"/>
      <c r="C88" s="3670"/>
      <c r="D88" s="3670"/>
      <c r="E88" s="3670"/>
      <c r="F88" s="3670"/>
      <c r="G88" s="3670"/>
      <c r="H88" s="3670"/>
      <c r="I88" s="1233"/>
      <c r="J88" s="1873"/>
      <c r="K88" s="3690"/>
      <c r="L88" s="2687" t="s">
        <v>2592</v>
      </c>
      <c r="M88" s="2677">
        <f ca="1">IF(N69&gt;10000,N69*0.5%,IF(AND(N69&gt;5000,N69&lt;=10000),N69*1%,IF(AND(N69&gt;1000,N69&lt;=5000),N69*2%,IF(AND(N69&gt;200,N69&lt;=1000),N69*3%,N69*5%))))</f>
        <v>85.015000000000001</v>
      </c>
      <c r="N88" s="53">
        <f ca="1">ROUND(M88,1)</f>
        <v>85</v>
      </c>
      <c r="O88" s="2680"/>
      <c r="P88" s="1870"/>
      <c r="Q88" s="1870"/>
      <c r="R88" s="1870"/>
      <c r="S88" s="1870"/>
      <c r="T88" s="1870"/>
      <c r="U88" s="1870"/>
      <c r="V88" s="1870"/>
      <c r="W88" s="1874"/>
      <c r="X88" s="1874"/>
      <c r="Y88" s="1874"/>
      <c r="Z88" s="1874"/>
    </row>
    <row r="89" spans="1:26" s="1232" customFormat="1" ht="14.25">
      <c r="A89" s="3644" t="s">
        <v>423</v>
      </c>
      <c r="B89" s="3645"/>
      <c r="C89" s="965"/>
      <c r="D89" s="965" t="s">
        <v>424</v>
      </c>
      <c r="E89" s="385" t="s">
        <v>433</v>
      </c>
      <c r="F89" s="386"/>
      <c r="G89" s="386"/>
      <c r="H89" s="387"/>
      <c r="I89" s="1234"/>
      <c r="J89" s="1875"/>
      <c r="K89" s="3690"/>
      <c r="L89" s="2687" t="s">
        <v>27</v>
      </c>
      <c r="M89" s="2678"/>
      <c r="N89" s="53">
        <f ca="1">ROUND(SUM(N83:N88),0)</f>
        <v>281</v>
      </c>
      <c r="O89" s="2688">
        <f ca="1">N89/N69</f>
        <v>1.6526495324354525E-2</v>
      </c>
      <c r="P89" s="1870"/>
      <c r="Q89" s="1870"/>
      <c r="R89" s="1870"/>
      <c r="S89" s="1870"/>
      <c r="T89" s="1870"/>
      <c r="U89" s="1870"/>
      <c r="V89" s="1870"/>
      <c r="W89" s="1874"/>
      <c r="X89" s="1874"/>
      <c r="Y89" s="1874"/>
      <c r="Z89" s="1874"/>
    </row>
    <row r="90" spans="1:26" s="1232" customFormat="1" ht="14.25">
      <c r="A90" s="375" t="s">
        <v>1623</v>
      </c>
      <c r="B90" s="376" t="s">
        <v>434</v>
      </c>
      <c r="C90" s="379">
        <f ca="1">ROUND(D63/(1+'数据-取费表'!C42),0)</f>
        <v>16193</v>
      </c>
      <c r="D90" s="372" t="s">
        <v>19</v>
      </c>
      <c r="E90" s="962"/>
      <c r="F90" s="961"/>
      <c r="G90" s="961"/>
      <c r="H90" s="388"/>
      <c r="I90" s="1234"/>
      <c r="J90" s="1875"/>
      <c r="K90" s="1870"/>
      <c r="L90" s="1870"/>
      <c r="M90" s="1870"/>
      <c r="N90" s="1870"/>
      <c r="O90" s="1870"/>
      <c r="P90" s="1870"/>
      <c r="Q90" s="1870"/>
      <c r="R90" s="1870"/>
      <c r="S90" s="1870"/>
      <c r="T90" s="1870"/>
      <c r="U90" s="1870"/>
      <c r="V90" s="1870"/>
      <c r="W90" s="1874"/>
      <c r="X90" s="1874"/>
      <c r="Y90" s="1874"/>
      <c r="Z90" s="1874"/>
    </row>
    <row r="91" spans="1:26" s="1232" customFormat="1" ht="14.25">
      <c r="A91" s="375" t="s">
        <v>1629</v>
      </c>
      <c r="B91" s="346" t="s">
        <v>435</v>
      </c>
      <c r="C91" s="379">
        <f ca="1">C92+C96</f>
        <v>81</v>
      </c>
      <c r="D91" s="372" t="s">
        <v>19</v>
      </c>
      <c r="E91" s="962"/>
      <c r="F91" s="961"/>
      <c r="G91" s="961"/>
      <c r="H91" s="388"/>
      <c r="I91" s="1234"/>
      <c r="J91" s="1875"/>
      <c r="K91" s="1870"/>
      <c r="L91" s="1870"/>
      <c r="M91" s="1870"/>
      <c r="N91" s="1870"/>
      <c r="O91" s="1870"/>
      <c r="P91" s="1870"/>
      <c r="Q91" s="1870"/>
      <c r="R91" s="1870"/>
      <c r="S91" s="1870"/>
      <c r="T91" s="1870"/>
      <c r="U91" s="1870"/>
      <c r="V91" s="1870"/>
      <c r="W91" s="1874"/>
      <c r="X91" s="1874"/>
      <c r="Y91" s="1874"/>
      <c r="Z91" s="1874"/>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5"/>
      <c r="K92" s="1870"/>
      <c r="L92" s="1870"/>
      <c r="M92" s="1870"/>
      <c r="N92" s="1870"/>
      <c r="O92" s="1870"/>
      <c r="P92" s="1870"/>
      <c r="Q92" s="1870"/>
      <c r="R92" s="1870"/>
      <c r="S92" s="1870"/>
      <c r="T92" s="1870"/>
      <c r="U92" s="1870"/>
      <c r="V92" s="1870"/>
      <c r="W92" s="1874"/>
      <c r="X92" s="1874"/>
      <c r="Y92" s="1874"/>
      <c r="Z92" s="1874"/>
    </row>
    <row r="93" spans="1:26" s="1232"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2" customFormat="1" ht="24.75" customHeight="1">
      <c r="A94" s="389" t="s">
        <v>1632</v>
      </c>
      <c r="B94" s="394" t="s">
        <v>440</v>
      </c>
      <c r="C94" s="372">
        <f>IF(F93="购房发票",ROUND(C93*H93*5%,0),0)</f>
        <v>0</v>
      </c>
      <c r="D94" s="395">
        <v>0.05</v>
      </c>
      <c r="E94" s="3626" t="s">
        <v>441</v>
      </c>
      <c r="F94" s="3625"/>
      <c r="G94" s="3625"/>
      <c r="H94" s="3668"/>
      <c r="I94" s="1234"/>
      <c r="J94" s="1875"/>
      <c r="K94" s="1870"/>
      <c r="L94" s="1870"/>
      <c r="M94" s="1870"/>
      <c r="N94" s="1870"/>
      <c r="O94" s="1870"/>
      <c r="P94" s="1870"/>
      <c r="Q94" s="1870"/>
      <c r="R94" s="1870"/>
      <c r="S94" s="1870"/>
      <c r="T94" s="1870"/>
      <c r="U94" s="1870"/>
      <c r="V94" s="1870"/>
      <c r="W94" s="1874"/>
      <c r="X94" s="1874"/>
      <c r="Y94" s="1874"/>
      <c r="Z94" s="1874"/>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5"/>
      <c r="K95" s="1870"/>
      <c r="L95" s="1870"/>
      <c r="M95" s="1870"/>
      <c r="N95" s="1870"/>
      <c r="O95" s="1870"/>
      <c r="P95" s="1870"/>
      <c r="Q95" s="1870"/>
      <c r="R95" s="1870"/>
      <c r="S95" s="1870"/>
      <c r="T95" s="1870"/>
      <c r="U95" s="1870"/>
      <c r="V95" s="1870"/>
      <c r="W95" s="1874"/>
      <c r="X95" s="1874"/>
      <c r="Y95" s="1874"/>
      <c r="Z95" s="1874"/>
    </row>
    <row r="96" spans="1:26" s="1232" customFormat="1" ht="24.75" customHeight="1">
      <c r="A96" s="389" t="s">
        <v>1634</v>
      </c>
      <c r="B96" s="370" t="s">
        <v>444</v>
      </c>
      <c r="C96" s="399">
        <f ca="1">ROUND(D63*D96/(1+'数据-取费表'!C42),0)</f>
        <v>81</v>
      </c>
      <c r="D96" s="400">
        <f>'数据-取费表'!B43</f>
        <v>5.000000000000001E-3</v>
      </c>
      <c r="E96" s="3660" t="s">
        <v>2212</v>
      </c>
      <c r="F96" s="3661"/>
      <c r="G96" s="3661"/>
      <c r="H96" s="3662"/>
      <c r="I96" s="1235"/>
      <c r="J96" s="1876"/>
      <c r="K96" s="1870"/>
      <c r="L96" s="1870"/>
      <c r="M96" s="1870"/>
      <c r="N96" s="1870"/>
      <c r="O96" s="1870"/>
      <c r="P96" s="1870"/>
      <c r="Q96" s="1870"/>
      <c r="R96" s="1870"/>
      <c r="S96" s="1870"/>
      <c r="T96" s="1870"/>
      <c r="U96" s="1870"/>
      <c r="V96" s="1870"/>
      <c r="W96" s="1874"/>
      <c r="X96" s="1874"/>
      <c r="Y96" s="1874"/>
      <c r="Z96" s="1874"/>
    </row>
    <row r="97" spans="1:26" s="1232" customFormat="1" ht="14.25">
      <c r="A97" s="1502" t="s">
        <v>1635</v>
      </c>
      <c r="B97" s="376" t="s">
        <v>445</v>
      </c>
      <c r="C97" s="379">
        <f ca="1">C90-C91</f>
        <v>16112</v>
      </c>
      <c r="D97" s="372" t="s">
        <v>19</v>
      </c>
      <c r="E97" s="962"/>
      <c r="F97" s="961"/>
      <c r="G97" s="961"/>
      <c r="H97" s="388"/>
      <c r="I97" s="1234"/>
      <c r="J97" s="1875"/>
      <c r="K97" s="1870"/>
      <c r="L97" s="1870"/>
      <c r="M97" s="1870"/>
      <c r="N97" s="1870"/>
      <c r="O97" s="1870"/>
      <c r="P97" s="1870"/>
      <c r="Q97" s="1870"/>
      <c r="R97" s="1870"/>
      <c r="S97" s="1870"/>
      <c r="T97" s="1870"/>
      <c r="U97" s="1870"/>
      <c r="V97" s="1870"/>
      <c r="W97" s="1874"/>
      <c r="X97" s="1874"/>
      <c r="Y97" s="1874"/>
      <c r="Z97" s="1874"/>
    </row>
    <row r="98" spans="1:26" s="1232" customFormat="1" ht="24">
      <c r="A98" s="1502" t="s">
        <v>1636</v>
      </c>
      <c r="B98" s="376" t="s">
        <v>446</v>
      </c>
      <c r="C98" s="401">
        <f ca="1">IF(C97&lt;=0,0,C97/C91)</f>
        <v>198.91358024691357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5"/>
      <c r="K98" s="1870"/>
      <c r="L98" s="1870"/>
      <c r="M98" s="1870"/>
      <c r="N98" s="1870"/>
      <c r="O98" s="1870"/>
      <c r="P98" s="1870"/>
      <c r="Q98" s="1870"/>
      <c r="R98" s="1870"/>
      <c r="S98" s="1870"/>
      <c r="T98" s="1870"/>
      <c r="U98" s="1870"/>
      <c r="V98" s="1870"/>
      <c r="W98" s="1874"/>
      <c r="X98" s="1874"/>
      <c r="Y98" s="1874"/>
      <c r="Z98" s="1874"/>
    </row>
    <row r="99" spans="1:26" s="1232" customFormat="1" ht="24.75" thickBot="1">
      <c r="A99" s="1503" t="s">
        <v>1637</v>
      </c>
      <c r="B99" s="381" t="s">
        <v>447</v>
      </c>
      <c r="C99" s="402">
        <f ca="1">ROUND(IF(C97&lt;=0,0,IF(C98&gt;=200%,C97*60%-C91*35%,IF(C98&gt;=100%,C97*50%-C91*15%,IF(C98&gt;=50%,C97*40%-C91*5%,IF(C98&lt;50%,C97*30%,0))))),0)</f>
        <v>9639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5"/>
      <c r="K99" s="1870"/>
      <c r="L99" s="1870"/>
      <c r="M99" s="1870"/>
      <c r="N99" s="1870"/>
      <c r="O99" s="1870"/>
      <c r="P99" s="1870"/>
      <c r="Q99" s="1870"/>
      <c r="R99" s="1870"/>
      <c r="S99" s="1870"/>
      <c r="T99" s="1870"/>
      <c r="U99" s="1870"/>
      <c r="V99" s="1870"/>
      <c r="W99" s="1874"/>
      <c r="X99" s="1874"/>
      <c r="Y99" s="1874"/>
      <c r="Z99" s="1874"/>
    </row>
    <row r="100" spans="1:26" s="1232" customFormat="1" ht="7.5" customHeight="1">
      <c r="A100" s="1236"/>
      <c r="B100" s="1237"/>
      <c r="C100" s="11"/>
      <c r="D100" s="11"/>
      <c r="E100" s="1237"/>
      <c r="F100" s="1237"/>
      <c r="G100" s="1237"/>
      <c r="H100" s="1238"/>
      <c r="I100" s="1235"/>
      <c r="J100" s="1876"/>
      <c r="K100" s="1870"/>
      <c r="L100" s="1870"/>
      <c r="M100" s="1870"/>
      <c r="N100" s="1870"/>
      <c r="O100" s="1870"/>
      <c r="P100" s="1870"/>
      <c r="Q100" s="1870"/>
      <c r="R100" s="1870"/>
      <c r="S100" s="1870"/>
      <c r="T100" s="1870"/>
      <c r="U100" s="1870"/>
      <c r="V100" s="1870"/>
      <c r="W100" s="1874"/>
      <c r="X100" s="1874"/>
      <c r="Y100" s="1874"/>
      <c r="Z100" s="1874"/>
    </row>
    <row r="101" spans="1:26" s="1232" customFormat="1" ht="15" thickBot="1">
      <c r="A101" s="3669" t="s">
        <v>448</v>
      </c>
      <c r="B101" s="3670"/>
      <c r="C101" s="3670"/>
      <c r="D101" s="3670"/>
      <c r="E101" s="3670"/>
      <c r="F101" s="3670"/>
      <c r="G101" s="3670"/>
      <c r="H101" s="3670"/>
      <c r="I101" s="11"/>
      <c r="J101" s="1870"/>
      <c r="K101" s="1870"/>
      <c r="L101" s="1870"/>
      <c r="M101" s="1870"/>
      <c r="N101" s="1870"/>
      <c r="O101" s="1870"/>
      <c r="P101" s="1870"/>
      <c r="Q101" s="1870"/>
      <c r="R101" s="1870"/>
      <c r="S101" s="1870"/>
      <c r="T101" s="1870"/>
      <c r="U101" s="1870"/>
      <c r="V101" s="1870"/>
      <c r="W101" s="1874"/>
      <c r="X101" s="1874"/>
      <c r="Y101" s="1874"/>
      <c r="Z101" s="1874"/>
    </row>
    <row r="102" spans="1:26" s="1232" customFormat="1" ht="14.25">
      <c r="A102" s="3644" t="s">
        <v>423</v>
      </c>
      <c r="B102" s="3645"/>
      <c r="C102" s="965"/>
      <c r="D102" s="965"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2" customFormat="1" ht="14.25">
      <c r="A103" s="375" t="s">
        <v>1623</v>
      </c>
      <c r="B103" s="376" t="s">
        <v>434</v>
      </c>
      <c r="C103" s="379">
        <f ca="1">ROUND(D63/(1+'数据-取费表'!C42),0)</f>
        <v>16193</v>
      </c>
      <c r="D103" s="372" t="s">
        <v>19</v>
      </c>
      <c r="E103" s="962"/>
      <c r="F103" s="961"/>
      <c r="G103" s="961"/>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2" customFormat="1" ht="14.25">
      <c r="A104" s="375" t="s">
        <v>1629</v>
      </c>
      <c r="B104" s="346" t="s">
        <v>435</v>
      </c>
      <c r="C104" s="379">
        <f ca="1">IF(H106="仅含出让金",C105+C108+C109+C110+C111+C112,C105+C109+C110+C111+C112)</f>
        <v>81</v>
      </c>
      <c r="D104" s="409"/>
      <c r="E104" s="962"/>
      <c r="F104" s="961"/>
      <c r="G104" s="961"/>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2" customFormat="1" ht="14.25">
      <c r="A105" s="389" t="s">
        <v>1630</v>
      </c>
      <c r="B105" s="370" t="s">
        <v>449</v>
      </c>
      <c r="C105" s="399">
        <f>C106+C107</f>
        <v>0</v>
      </c>
      <c r="D105" s="400"/>
      <c r="E105" s="956"/>
      <c r="F105" s="957"/>
      <c r="G105" s="957"/>
      <c r="H105" s="958"/>
      <c r="I105" s="11"/>
      <c r="J105" s="1870"/>
      <c r="K105" s="1870"/>
      <c r="L105" s="1870"/>
      <c r="M105" s="1870"/>
      <c r="N105" s="1870"/>
      <c r="O105" s="1870"/>
      <c r="P105" s="1870"/>
      <c r="Q105" s="1870"/>
      <c r="R105" s="1870"/>
      <c r="S105" s="1870"/>
      <c r="T105" s="1870"/>
      <c r="U105" s="1870"/>
      <c r="V105" s="1870"/>
      <c r="W105" s="1874"/>
      <c r="X105" s="1874"/>
      <c r="Y105" s="1874"/>
      <c r="Z105" s="1874"/>
    </row>
    <row r="106" spans="1:26" s="1232" customFormat="1" ht="14.25">
      <c r="A106" s="389" t="s">
        <v>1631</v>
      </c>
      <c r="B106" s="370" t="s">
        <v>450</v>
      </c>
      <c r="C106" s="410"/>
      <c r="D106" s="400"/>
      <c r="E106" s="411" t="s">
        <v>451</v>
      </c>
      <c r="F106" s="957"/>
      <c r="G106" s="412" t="s">
        <v>452</v>
      </c>
      <c r="H106" s="413"/>
      <c r="I106" s="11"/>
      <c r="J106" s="1870"/>
      <c r="K106" s="3152" t="s">
        <v>2710</v>
      </c>
      <c r="L106" s="1870"/>
      <c r="M106" s="1870"/>
      <c r="N106" s="1870"/>
      <c r="O106" s="1870"/>
      <c r="P106" s="1870"/>
      <c r="Q106" s="1870"/>
      <c r="R106" s="1870"/>
      <c r="S106" s="1870"/>
      <c r="T106" s="1870"/>
      <c r="U106" s="1870"/>
      <c r="V106" s="1870"/>
      <c r="W106" s="1874"/>
      <c r="X106" s="1874"/>
      <c r="Y106" s="1874"/>
      <c r="Z106" s="1874"/>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0"/>
      <c r="K107" s="1870"/>
      <c r="L107" s="1870"/>
      <c r="M107" s="1870"/>
      <c r="N107" s="1870"/>
      <c r="O107" s="1870"/>
      <c r="P107" s="1870"/>
      <c r="Q107" s="1870"/>
      <c r="R107" s="1870"/>
      <c r="S107" s="1870"/>
      <c r="T107" s="1870"/>
      <c r="U107" s="1870"/>
      <c r="V107" s="1870"/>
      <c r="W107" s="1874"/>
      <c r="X107" s="1874"/>
      <c r="Y107" s="1874"/>
      <c r="Z107" s="1874"/>
    </row>
    <row r="108" spans="1:26" s="1232" customFormat="1" ht="14.25">
      <c r="A108" s="389" t="s">
        <v>1634</v>
      </c>
      <c r="B108" s="370" t="s">
        <v>454</v>
      </c>
      <c r="C108" s="410"/>
      <c r="D108" s="400"/>
      <c r="E108" s="411" t="str">
        <f>IF(H106="-","土地取得成本中已包含该笔费用"," ")</f>
        <v xml:space="preserve"> </v>
      </c>
      <c r="F108" s="957"/>
      <c r="G108" s="3620" t="s">
        <v>2682</v>
      </c>
      <c r="H108" s="3621"/>
      <c r="I108" s="2777"/>
      <c r="J108" s="1870"/>
      <c r="K108" s="3152" t="s">
        <v>2711</v>
      </c>
      <c r="L108" s="1870"/>
      <c r="M108" s="1870"/>
      <c r="N108" s="1870"/>
      <c r="O108" s="1870"/>
      <c r="P108" s="1870"/>
      <c r="Q108" s="1870"/>
      <c r="R108" s="1870"/>
      <c r="S108" s="1870"/>
      <c r="T108" s="1870"/>
      <c r="U108" s="1870"/>
      <c r="V108" s="1870"/>
      <c r="W108" s="1874"/>
      <c r="X108" s="1874"/>
      <c r="Y108" s="1874"/>
      <c r="Z108" s="1874"/>
    </row>
    <row r="109" spans="1:26" s="1232" customFormat="1" ht="24" customHeight="1">
      <c r="A109" s="1504" t="s">
        <v>1638</v>
      </c>
      <c r="B109" s="370" t="s">
        <v>455</v>
      </c>
      <c r="C109" s="399">
        <f>IF(H109="——",IF(F1="现房",'剩余法-现房'!C18,0),I109)</f>
        <v>0</v>
      </c>
      <c r="D109" s="400"/>
      <c r="E109" s="3663" t="s">
        <v>456</v>
      </c>
      <c r="F109" s="3661"/>
      <c r="G109" s="3661"/>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2" customFormat="1" ht="25.5" customHeight="1">
      <c r="A110" s="1504" t="s">
        <v>1639</v>
      </c>
      <c r="B110" s="370" t="s">
        <v>457</v>
      </c>
      <c r="C110" s="399">
        <f>ROUND((C105+C108+C109)*D110,0)</f>
        <v>0</v>
      </c>
      <c r="D110" s="3183">
        <v>0</v>
      </c>
      <c r="E110" s="3663" t="s">
        <v>458</v>
      </c>
      <c r="F110" s="3661"/>
      <c r="G110" s="3661"/>
      <c r="H110" s="3662"/>
      <c r="I110" s="11"/>
      <c r="J110" s="1870"/>
      <c r="K110" s="3153" t="s">
        <v>2712</v>
      </c>
      <c r="L110" s="1870"/>
      <c r="M110" s="1870"/>
      <c r="N110" s="1870"/>
      <c r="O110" s="1870"/>
      <c r="P110" s="1870"/>
      <c r="Q110" s="1870"/>
      <c r="R110" s="1870"/>
      <c r="S110" s="1870"/>
      <c r="T110" s="1870"/>
      <c r="U110" s="1870"/>
      <c r="V110" s="1870"/>
      <c r="W110" s="1874"/>
      <c r="X110" s="1874"/>
      <c r="Y110" s="1874"/>
      <c r="Z110" s="1874"/>
    </row>
    <row r="111" spans="1:26" s="1232" customFormat="1" ht="25.5" customHeight="1">
      <c r="A111" s="1504" t="s">
        <v>1640</v>
      </c>
      <c r="B111" s="370" t="s">
        <v>444</v>
      </c>
      <c r="C111" s="399">
        <f ca="1">ROUND(D63*D111/(1+'数据-取费表'!C42),0)</f>
        <v>81</v>
      </c>
      <c r="D111" s="400">
        <f>'数据-取费表'!B43</f>
        <v>5.000000000000001E-3</v>
      </c>
      <c r="E111" s="3660" t="s">
        <v>2212</v>
      </c>
      <c r="F111" s="3661"/>
      <c r="G111" s="3661"/>
      <c r="H111" s="3662"/>
      <c r="I111" s="11"/>
      <c r="J111" s="1870"/>
      <c r="K111" s="1870"/>
      <c r="L111" s="1870"/>
      <c r="M111" s="1870"/>
      <c r="N111" s="1870"/>
      <c r="O111" s="1870"/>
      <c r="P111" s="1870"/>
      <c r="Q111" s="1870"/>
      <c r="R111" s="1870"/>
      <c r="S111" s="1870"/>
      <c r="T111" s="1870"/>
      <c r="U111" s="1870"/>
      <c r="V111" s="1870"/>
      <c r="W111" s="1874"/>
      <c r="X111" s="1874"/>
      <c r="Y111" s="1874"/>
      <c r="Z111" s="1874"/>
    </row>
    <row r="112" spans="1:26" s="1232" customFormat="1" ht="25.5" customHeight="1">
      <c r="A112" s="1504" t="s">
        <v>1641</v>
      </c>
      <c r="B112" s="370" t="s">
        <v>459</v>
      </c>
      <c r="C112" s="399">
        <f>ROUND(C108*D112,0)</f>
        <v>0</v>
      </c>
      <c r="D112" s="400">
        <v>0.2</v>
      </c>
      <c r="E112" s="3663" t="s">
        <v>2231</v>
      </c>
      <c r="F112" s="3661"/>
      <c r="G112" s="3661"/>
      <c r="H112" s="3662"/>
      <c r="I112" s="11"/>
      <c r="J112" s="1870"/>
      <c r="K112" s="1870"/>
      <c r="L112" s="1870"/>
      <c r="M112" s="1870"/>
      <c r="N112" s="1870"/>
      <c r="O112" s="1870"/>
      <c r="P112" s="1870"/>
      <c r="Q112" s="1870"/>
      <c r="R112" s="1870"/>
      <c r="S112" s="1870"/>
      <c r="T112" s="1870"/>
      <c r="U112" s="1870"/>
      <c r="V112" s="1870"/>
      <c r="W112" s="1874"/>
      <c r="X112" s="1874"/>
      <c r="Y112" s="1874"/>
      <c r="Z112" s="1874"/>
    </row>
    <row r="113" spans="1:26" s="1232" customFormat="1" ht="14.25">
      <c r="A113" s="1502" t="s">
        <v>1635</v>
      </c>
      <c r="B113" s="376" t="s">
        <v>445</v>
      </c>
      <c r="C113" s="379">
        <f ca="1">ROUND(C103-C104,0)</f>
        <v>16112</v>
      </c>
      <c r="D113" s="372" t="s">
        <v>19</v>
      </c>
      <c r="E113" s="962"/>
      <c r="F113" s="961"/>
      <c r="G113" s="961"/>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2" customFormat="1" ht="24">
      <c r="A114" s="1502" t="s">
        <v>1636</v>
      </c>
      <c r="B114" s="376" t="s">
        <v>446</v>
      </c>
      <c r="C114" s="401">
        <f ca="1">IF(C113&lt;=0,0,C113/C104)</f>
        <v>198.91358024691357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2" customFormat="1" ht="24.75" thickBot="1">
      <c r="A115" s="1503" t="s">
        <v>1637</v>
      </c>
      <c r="B115" s="381" t="s">
        <v>447</v>
      </c>
      <c r="C115" s="402">
        <f ca="1">ROUND(IF(C113&lt;=0,0,IF(C114&gt;=200%,C113*60%-C104*35%,IF(C114&gt;=100%,C113*50%-C104*15%,IF(C114&gt;=50%,C113*40%-C104*5%,IF(C114&lt;50%,C113*30%,0))))),0)</f>
        <v>9639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7"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2366</v>
      </c>
      <c r="B6" s="427"/>
      <c r="C6" s="1508">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6"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7" t="s">
        <v>1647</v>
      </c>
      <c r="B10" s="1509" t="s">
        <v>468</v>
      </c>
      <c r="C10" s="1510"/>
      <c r="D10" s="1510"/>
      <c r="E10" s="1510"/>
      <c r="F10" s="1511"/>
      <c r="G10" s="1511"/>
      <c r="H10" s="1511"/>
      <c r="I10" s="1511"/>
      <c r="J10" s="1511"/>
      <c r="K10" s="1512"/>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5" t="s">
        <v>1664</v>
      </c>
      <c r="B11" s="1506"/>
      <c r="C11" s="1506"/>
      <c r="D11" s="1506"/>
      <c r="E11" s="1506"/>
      <c r="F11" s="1506"/>
      <c r="G11" s="1506"/>
      <c r="H11" s="1506"/>
      <c r="I11" s="1506"/>
      <c r="J11" s="1506"/>
      <c r="K11" s="1507"/>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8" t="s">
        <v>1648</v>
      </c>
      <c r="B13" s="442" t="s">
        <v>473</v>
      </c>
      <c r="C13" s="443">
        <f ca="1">IF(B1="",'数据-取费表'!M16,INDIRECT("'数据-取费表'!M"&amp;$K$1)+INDIRECT("'数据-取费表'!t"&amp;$K$1))</f>
        <v>25389</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8" t="s">
        <v>1649</v>
      </c>
      <c r="B14" s="442" t="s">
        <v>474</v>
      </c>
      <c r="C14" s="53">
        <f ca="1">ROUND(C13*F14,0)</f>
        <v>2539</v>
      </c>
      <c r="D14" s="444"/>
      <c r="E14" s="363"/>
      <c r="F14" s="446">
        <f>'数据-取费表'!B33</f>
        <v>0.1</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8"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8" t="s">
        <v>1651</v>
      </c>
      <c r="B16" s="442" t="s">
        <v>478</v>
      </c>
      <c r="C16" s="53">
        <f ca="1">ROUND(D16*E16/10000,0)</f>
        <v>2138</v>
      </c>
      <c r="D16" s="444">
        <f ca="1">IF(B1="",'数据-汇总表'!E3,INDIRECT("'数据-取费表'!K"&amp;$K$1)+INDIRECT("'数据-取费表'!S"&amp;$K$1))</f>
        <v>26725.120000000003</v>
      </c>
      <c r="E16" s="53">
        <f>'数据-取费表'!B35</f>
        <v>800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8" t="s">
        <v>1652</v>
      </c>
      <c r="B17" s="442" t="s">
        <v>479</v>
      </c>
      <c r="C17" s="447">
        <f ca="1">ROUND(C13*F17,0)</f>
        <v>381</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9" t="s">
        <v>1653</v>
      </c>
      <c r="B18" s="452" t="s">
        <v>481</v>
      </c>
      <c r="C18" s="453">
        <f ca="1">SUM(C13:C17)</f>
        <v>30447</v>
      </c>
      <c r="D18" s="454"/>
      <c r="E18" s="455"/>
      <c r="F18" s="455"/>
      <c r="G18" s="1244" t="s">
        <v>2215</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9" t="s">
        <v>1654</v>
      </c>
      <c r="B19" s="452" t="s">
        <v>487</v>
      </c>
      <c r="C19" s="453">
        <f ca="1">ROUND(C18*F19,0)</f>
        <v>913</v>
      </c>
      <c r="D19" s="454"/>
      <c r="E19" s="455"/>
      <c r="F19" s="459">
        <f>'数据-取费表'!B37</f>
        <v>0.03</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9" t="s">
        <v>1655</v>
      </c>
      <c r="B20" s="454" t="s">
        <v>488</v>
      </c>
      <c r="C20" s="463">
        <f ca="1">ROUND(IF('数据-取费表'!B22&lt;=1,(C18+C19)*F20*'数据-取费表'!B20/2,(C18+C19)*(POWER((1+F20),'数据-取费表'!B20/2)-1)),0)</f>
        <v>1996</v>
      </c>
      <c r="D20" s="455">
        <f ca="1">ROUND(((1+F20)^'数据-取费表'!B20)-1,4)</f>
        <v>0.13139999999999999</v>
      </c>
      <c r="E20" s="455"/>
      <c r="F20" s="464">
        <f ca="1">'数据-取费表'!B40</f>
        <v>4.2000000000000003E-2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2232</v>
      </c>
      <c r="M20" s="3117"/>
      <c r="N20" s="3117"/>
      <c r="O20" s="3117"/>
      <c r="P20" s="3117"/>
      <c r="Q20" s="3110"/>
      <c r="R20" s="3110"/>
      <c r="S20" s="3110"/>
      <c r="T20" s="3110"/>
      <c r="U20" s="3110"/>
      <c r="V20" s="3110"/>
      <c r="W20" s="3110"/>
      <c r="X20" s="3110"/>
      <c r="Y20" s="3110"/>
      <c r="Z20" s="3110"/>
    </row>
    <row r="21" spans="1:26" s="1956" customFormat="1" ht="13.5" customHeight="1">
      <c r="A21" s="1519" t="s">
        <v>2729</v>
      </c>
      <c r="B21" s="2664" t="s">
        <v>2543</v>
      </c>
      <c r="C21" s="471">
        <f ca="1">ROUND((C18+C19)*F21,0)</f>
        <v>9408</v>
      </c>
      <c r="D21" s="3195"/>
      <c r="E21" s="455"/>
      <c r="F21" s="472">
        <f ca="1">IF(B1="",'数据-取费表'!Q16,INDIRECT("'数据-取费表'!q"&amp;$K$1))</f>
        <v>0.3</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9"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2730</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702" t="s">
        <v>1665</v>
      </c>
      <c r="B24" s="3703"/>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702" t="s">
        <v>2727</v>
      </c>
      <c r="B25" s="3703"/>
      <c r="C25" s="3205">
        <f>ROUND(C6*F25,0)</f>
        <v>0</v>
      </c>
      <c r="D25" s="3206"/>
      <c r="E25" s="3207"/>
      <c r="F25" s="3211">
        <f>'数据-取费表'!B38</f>
        <v>0.03</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702" t="s">
        <v>2728</v>
      </c>
      <c r="B26" s="3703"/>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704" t="s">
        <v>2726</v>
      </c>
      <c r="B27" s="3705"/>
      <c r="C27" s="3213">
        <f ca="1">(C6-C23-C24-C25)/((1+F26)*(1+D20+F21))</f>
        <v>0</v>
      </c>
      <c r="D27" s="3214"/>
      <c r="E27" s="3214"/>
      <c r="F27" s="3214"/>
      <c r="G27" s="3215" t="s">
        <v>2659</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529" t="str">
        <f>项目基本情况!B1</f>
        <v>北京市北京市延庆区张山营镇水峪村D-03地块出让国有建设用地使用权抵押价格预评估</v>
      </c>
      <c r="C37" s="3529"/>
      <c r="D37" s="3529"/>
      <c r="E37" s="3529"/>
      <c r="F37" s="3529"/>
      <c r="G37" s="3529"/>
      <c r="H37" s="3529"/>
      <c r="I37" s="3529"/>
    </row>
    <row r="38" spans="1:9">
      <c r="A38" s="1540"/>
      <c r="B38" s="1540"/>
    </row>
    <row r="39" spans="1:9">
      <c r="A39" s="1538" t="s">
        <v>1697</v>
      </c>
      <c r="B39" s="1538" t="s">
        <v>1835</v>
      </c>
    </row>
    <row r="40" spans="1:9">
      <c r="A40" s="1538"/>
      <c r="B40" s="1538" t="str">
        <f>项目基本情况!B5</f>
        <v>北京辉煌凯盛旅游产业有限公司</v>
      </c>
    </row>
    <row r="41" spans="1:9">
      <c r="A41" s="1538"/>
      <c r="B41" s="1538"/>
    </row>
    <row r="42" spans="1:9">
      <c r="A42" s="1538" t="s">
        <v>1697</v>
      </c>
      <c r="B42" s="1538" t="s">
        <v>1836</v>
      </c>
    </row>
    <row r="43" spans="1:9">
      <c r="A43" s="1538"/>
      <c r="B43" s="1538" t="s">
        <v>1699</v>
      </c>
    </row>
    <row r="44" spans="1:9">
      <c r="A44" s="1538"/>
      <c r="B44" s="1538"/>
    </row>
    <row r="45" spans="1:9">
      <c r="A45" s="1538" t="s">
        <v>1697</v>
      </c>
      <c r="B45" s="1538" t="s">
        <v>1834</v>
      </c>
    </row>
    <row r="46" spans="1:9" s="1538" customFormat="1" ht="12.75">
      <c r="B46" s="1538" t="str">
        <f>项目基本情况!K4</f>
        <v>崔锴、郑燚</v>
      </c>
    </row>
    <row r="47" spans="1:9">
      <c r="A47" s="1538"/>
      <c r="B47" s="1538"/>
    </row>
    <row r="48" spans="1:9">
      <c r="A48" s="1538" t="s">
        <v>1697</v>
      </c>
      <c r="B48" s="1538" t="s">
        <v>1837</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11"/>
  <sheetViews>
    <sheetView tabSelected="1" topLeftCell="J1" workbookViewId="0">
      <selection activeCell="R8" sqref="R8"/>
    </sheetView>
  </sheetViews>
  <sheetFormatPr defaultRowHeight="13.5"/>
  <sheetData>
    <row r="1" spans="1:21" ht="26.25" thickBot="1">
      <c r="A1" s="3713" t="s">
        <v>1818</v>
      </c>
      <c r="B1" s="3716" t="s">
        <v>3592</v>
      </c>
      <c r="C1" s="3713" t="s">
        <v>1819</v>
      </c>
      <c r="D1" s="3713" t="s">
        <v>3593</v>
      </c>
      <c r="E1" s="3709" t="s">
        <v>1820</v>
      </c>
      <c r="F1" s="3710"/>
      <c r="G1" s="3711"/>
      <c r="H1" s="3709" t="s">
        <v>1821</v>
      </c>
      <c r="I1" s="3710"/>
      <c r="J1" s="3711"/>
      <c r="K1" s="3713" t="s">
        <v>1822</v>
      </c>
      <c r="L1" s="3713" t="s">
        <v>1823</v>
      </c>
      <c r="M1" s="3713" t="s">
        <v>3594</v>
      </c>
      <c r="N1" s="3716" t="s">
        <v>3595</v>
      </c>
      <c r="O1" s="3713" t="s">
        <v>3596</v>
      </c>
      <c r="P1" s="3522" t="s">
        <v>3597</v>
      </c>
      <c r="Q1" s="3713" t="s">
        <v>3599</v>
      </c>
      <c r="R1" s="3713" t="s">
        <v>3600</v>
      </c>
    </row>
    <row r="2" spans="1:21">
      <c r="A2" s="3714"/>
      <c r="B2" s="3717"/>
      <c r="C2" s="3714"/>
      <c r="D2" s="3714"/>
      <c r="E2" s="3523" t="s">
        <v>3601</v>
      </c>
      <c r="F2" s="3713" t="s">
        <v>3603</v>
      </c>
      <c r="G2" s="3713" t="s">
        <v>1825</v>
      </c>
      <c r="H2" s="3713" t="s">
        <v>1826</v>
      </c>
      <c r="I2" s="3713" t="s">
        <v>3603</v>
      </c>
      <c r="J2" s="3713" t="s">
        <v>1825</v>
      </c>
      <c r="K2" s="3714"/>
      <c r="L2" s="3714"/>
      <c r="M2" s="3714"/>
      <c r="N2" s="3717"/>
      <c r="O2" s="3714"/>
      <c r="P2" s="3523" t="s">
        <v>3598</v>
      </c>
      <c r="Q2" s="3714"/>
      <c r="R2" s="3714"/>
      <c r="T2" s="3156" t="s">
        <v>3608</v>
      </c>
      <c r="U2">
        <f ca="1">结果表!G21</f>
        <v>5667</v>
      </c>
    </row>
    <row r="3" spans="1:21" ht="14.25" thickBot="1">
      <c r="A3" s="3715"/>
      <c r="B3" s="3718"/>
      <c r="C3" s="3715"/>
      <c r="D3" s="3715"/>
      <c r="E3" s="3525" t="s">
        <v>3602</v>
      </c>
      <c r="F3" s="3715"/>
      <c r="G3" s="3715"/>
      <c r="H3" s="3715"/>
      <c r="I3" s="3715"/>
      <c r="J3" s="3715"/>
      <c r="K3" s="3715"/>
      <c r="L3" s="3715"/>
      <c r="M3" s="3715"/>
      <c r="N3" s="3718"/>
      <c r="O3" s="3715"/>
      <c r="P3" s="3524"/>
      <c r="Q3" s="3715"/>
      <c r="R3" s="3715"/>
      <c r="T3" s="3156" t="s">
        <v>3607</v>
      </c>
      <c r="U3" s="3156" t="s">
        <v>3609</v>
      </c>
    </row>
    <row r="4" spans="1:21" ht="14.25" thickBot="1">
      <c r="A4" s="3526"/>
      <c r="B4" s="3527"/>
      <c r="C4" s="3528"/>
      <c r="D4" s="3527"/>
      <c r="E4" s="3527"/>
      <c r="F4" s="3527"/>
      <c r="G4" s="3527"/>
      <c r="H4" s="3527"/>
      <c r="I4" s="3527"/>
      <c r="J4" s="3527"/>
      <c r="K4" s="3527"/>
      <c r="L4" s="3527"/>
      <c r="M4" s="3527"/>
      <c r="N4" s="3527">
        <f>资料!G72</f>
        <v>3040.41</v>
      </c>
      <c r="O4" s="3527">
        <f>指标!G49</f>
        <v>3000</v>
      </c>
      <c r="P4" s="3527">
        <f ca="1">ROUND(R4*10000/N4,0)</f>
        <v>5637</v>
      </c>
      <c r="Q4" s="3527">
        <f ca="1">ROUND(R4*10000/O4,0)</f>
        <v>5713</v>
      </c>
      <c r="R4" s="3528">
        <f ca="1">T4-U4</f>
        <v>1714</v>
      </c>
      <c r="T4">
        <f ca="1">ROUND($U$2*N4/10000,0)</f>
        <v>1723</v>
      </c>
      <c r="U4">
        <f>结果表!D27</f>
        <v>9</v>
      </c>
    </row>
    <row r="5" spans="1:21" ht="14.25" thickBot="1">
      <c r="A5" s="3526"/>
      <c r="B5" s="3527"/>
      <c r="C5" s="3528"/>
      <c r="D5" s="3527"/>
      <c r="E5" s="3527"/>
      <c r="F5" s="3527"/>
      <c r="G5" s="3527"/>
      <c r="H5" s="3527"/>
      <c r="I5" s="3527"/>
      <c r="J5" s="3527"/>
      <c r="K5" s="3527"/>
      <c r="L5" s="3527"/>
      <c r="M5" s="3527"/>
      <c r="N5" s="3527">
        <f>资料!G73</f>
        <v>3220.89</v>
      </c>
      <c r="O5" s="3527">
        <f>指标!G50</f>
        <v>2600</v>
      </c>
      <c r="P5" s="3527">
        <f ca="1">ROUND(R5*10000/N5,0)</f>
        <v>5666</v>
      </c>
      <c r="Q5" s="3527">
        <f ca="1">ROUND(R5*10000/O5,0)</f>
        <v>7019</v>
      </c>
      <c r="R5" s="3528">
        <f ca="1">T5-U5</f>
        <v>1825</v>
      </c>
      <c r="T5">
        <f ca="1">ROUND($U$2*N5/10000,0)</f>
        <v>1825</v>
      </c>
      <c r="U5">
        <v>0</v>
      </c>
    </row>
    <row r="6" spans="1:21" ht="14.25" thickBot="1">
      <c r="A6" s="3526"/>
      <c r="B6" s="3527"/>
      <c r="C6" s="3528"/>
      <c r="D6" s="3527"/>
      <c r="E6" s="3527"/>
      <c r="F6" s="3527"/>
      <c r="G6" s="3527"/>
      <c r="H6" s="3527"/>
      <c r="I6" s="3527"/>
      <c r="J6" s="3527"/>
      <c r="K6" s="3527"/>
      <c r="L6" s="3527"/>
      <c r="M6" s="3527"/>
      <c r="N6" s="3527">
        <f>资料!G74</f>
        <v>8626.16</v>
      </c>
      <c r="O6" s="3527">
        <f>指标!G51</f>
        <v>9718.1200000000008</v>
      </c>
      <c r="P6" s="3527">
        <f ca="1">ROUND(R6*10000/N6,0)</f>
        <v>5666</v>
      </c>
      <c r="Q6" s="3527">
        <f ca="1">ROUND(R6*10000/O6,0)</f>
        <v>5030</v>
      </c>
      <c r="R6" s="3528">
        <f ca="1">T6-U6</f>
        <v>4888</v>
      </c>
      <c r="T6">
        <f ca="1">ROUND($U$2*N6/10000,0)</f>
        <v>4888</v>
      </c>
      <c r="U6">
        <v>0</v>
      </c>
    </row>
    <row r="7" spans="1:21" ht="14.25" thickBot="1">
      <c r="A7" s="3526"/>
      <c r="B7" s="3527"/>
      <c r="C7" s="3528"/>
      <c r="D7" s="3527"/>
      <c r="E7" s="3527"/>
      <c r="F7" s="3527"/>
      <c r="G7" s="3527"/>
      <c r="H7" s="3527"/>
      <c r="I7" s="3527"/>
      <c r="J7" s="3527"/>
      <c r="K7" s="3527"/>
      <c r="L7" s="3527"/>
      <c r="M7" s="3527"/>
      <c r="N7" s="3527">
        <f>资料!G75</f>
        <v>15213.62</v>
      </c>
      <c r="O7" s="3527">
        <f>指标!G52</f>
        <v>11407</v>
      </c>
      <c r="P7" s="3527">
        <f ca="1">ROUND(R7*10000/N7,0)</f>
        <v>5637</v>
      </c>
      <c r="Q7" s="3527">
        <f ca="1">ROUND(R7*10000/O7,0)</f>
        <v>7518</v>
      </c>
      <c r="R7" s="3528">
        <f ca="1">T7-U7</f>
        <v>8576</v>
      </c>
      <c r="T7">
        <f ca="1">ROUND($U$2*N7/10000,0)</f>
        <v>8622</v>
      </c>
      <c r="U7">
        <f>结果表!D28</f>
        <v>46</v>
      </c>
    </row>
    <row r="8" spans="1:21" ht="14.25" thickBot="1">
      <c r="A8" s="3706" t="s">
        <v>24</v>
      </c>
      <c r="B8" s="3707"/>
      <c r="C8" s="3707"/>
      <c r="D8" s="3707"/>
      <c r="E8" s="3707"/>
      <c r="F8" s="3707"/>
      <c r="G8" s="3707"/>
      <c r="H8" s="3707"/>
      <c r="I8" s="3707"/>
      <c r="J8" s="3707"/>
      <c r="K8" s="3707"/>
      <c r="L8" s="3707"/>
      <c r="M8" s="3708"/>
      <c r="N8" s="3528">
        <f>SUM(N4:N7)</f>
        <v>30101.08</v>
      </c>
      <c r="O8" s="3528">
        <f>SUM(O4:O7)</f>
        <v>26725.120000000003</v>
      </c>
      <c r="P8" s="3527"/>
      <c r="Q8" s="3527"/>
      <c r="R8" s="3528">
        <f ca="1">SUM(R4:R7)</f>
        <v>17003</v>
      </c>
      <c r="T8">
        <f ca="1">SUM(T4:T7)</f>
        <v>17058</v>
      </c>
    </row>
    <row r="9" spans="1:21" ht="14.25" thickBot="1">
      <c r="A9" s="3709" t="s">
        <v>3333</v>
      </c>
      <c r="B9" s="3710"/>
      <c r="C9" s="3710"/>
      <c r="D9" s="3710"/>
      <c r="E9" s="3710"/>
      <c r="F9" s="3710"/>
      <c r="G9" s="3710"/>
      <c r="H9" s="3710"/>
      <c r="I9" s="3710"/>
      <c r="J9" s="3710"/>
      <c r="K9" s="3710"/>
      <c r="L9" s="3710"/>
      <c r="M9" s="3710"/>
      <c r="N9" s="3710"/>
      <c r="O9" s="3710"/>
      <c r="P9" s="3710"/>
      <c r="Q9" s="3711"/>
      <c r="R9" s="3528">
        <f ca="1">R8</f>
        <v>17003</v>
      </c>
      <c r="T9">
        <f ca="1">结果表!G19</f>
        <v>17058</v>
      </c>
    </row>
    <row r="10" spans="1:21">
      <c r="A10" s="3712" t="s">
        <v>3604</v>
      </c>
      <c r="B10" s="3712"/>
      <c r="C10" s="3712"/>
      <c r="D10" s="3712"/>
      <c r="E10" s="3712"/>
      <c r="F10" s="3712"/>
      <c r="G10" s="3712"/>
      <c r="H10" s="3712"/>
      <c r="I10" s="3712"/>
      <c r="J10" s="3712"/>
      <c r="K10" s="3712"/>
      <c r="L10" s="3712"/>
      <c r="M10" s="3712"/>
      <c r="N10" s="3712"/>
      <c r="O10" s="3712"/>
      <c r="P10" s="3712"/>
      <c r="Q10" s="3712"/>
      <c r="R10" s="3712"/>
    </row>
    <row r="11" spans="1:21">
      <c r="R11">
        <f ca="1">结果表!C32</f>
        <v>17003</v>
      </c>
      <c r="T11" s="3473">
        <f ca="1">T8-T9</f>
        <v>0</v>
      </c>
    </row>
  </sheetData>
  <mergeCells count="21">
    <mergeCell ref="B1:B3"/>
    <mergeCell ref="C1:C3"/>
    <mergeCell ref="D1:D3"/>
    <mergeCell ref="E1:G1"/>
    <mergeCell ref="H1:J1"/>
    <mergeCell ref="A8:M8"/>
    <mergeCell ref="A9:Q9"/>
    <mergeCell ref="A10:R10"/>
    <mergeCell ref="R1:R3"/>
    <mergeCell ref="F2:F3"/>
    <mergeCell ref="G2:G3"/>
    <mergeCell ref="H2:H3"/>
    <mergeCell ref="I2:I3"/>
    <mergeCell ref="J2:J3"/>
    <mergeCell ref="K1:K3"/>
    <mergeCell ref="L1:L3"/>
    <mergeCell ref="M1:M3"/>
    <mergeCell ref="N1:N3"/>
    <mergeCell ref="O1:O3"/>
    <mergeCell ref="Q1:Q3"/>
    <mergeCell ref="A1:A3"/>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5" zoomScale="90" zoomScaleNormal="95" zoomScaleSheetLayoutView="90" workbookViewId="0">
      <selection activeCell="K42" sqref="K42"/>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17.375" style="1247" customWidth="1"/>
    <col min="17" max="17" width="19.5" style="1247" customWidth="1"/>
    <col min="18" max="18" width="9.625" style="1247" customWidth="1"/>
    <col min="19"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5"/>
    </row>
    <row r="2" spans="1:30" s="1246" customFormat="1" ht="28.5" customHeight="1">
      <c r="A2" s="417" t="s">
        <v>461</v>
      </c>
      <c r="B2" s="485">
        <f>F67</f>
        <v>11639</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5"/>
    </row>
    <row r="3" spans="1:30" s="1246" customFormat="1" ht="28.5" customHeight="1">
      <c r="A3" s="1287" t="s">
        <v>1484</v>
      </c>
      <c r="B3" s="487">
        <f>ROUND(B2*10000/'数据-汇总表'!E3,0)</f>
        <v>4355</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6" customFormat="1" ht="28.5" customHeight="1">
      <c r="A4" s="488" t="s">
        <v>503</v>
      </c>
      <c r="B4" s="421">
        <f>IF(B48="单位面积地价",C50,ROUND(B2*10000/'数据-汇总表'!D3,0))</f>
        <v>3867</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6" customFormat="1" ht="28.5" customHeight="1" thickBot="1">
      <c r="A5" s="423"/>
      <c r="B5" s="424">
        <f>ROUND(B2/('数据-汇总表'!D3/666.67),0)</f>
        <v>258</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726" t="s">
        <v>505</v>
      </c>
      <c r="D6" s="3727"/>
      <c r="E6" s="3726" t="s">
        <v>506</v>
      </c>
      <c r="F6" s="3727"/>
      <c r="G6" s="3726" t="s">
        <v>507</v>
      </c>
      <c r="H6" s="3727"/>
      <c r="I6" s="3726" t="s">
        <v>508</v>
      </c>
      <c r="J6" s="3727"/>
      <c r="K6" s="491" t="s">
        <v>509</v>
      </c>
      <c r="L6" s="1969"/>
      <c r="M6" s="1968"/>
      <c r="N6" s="1968"/>
      <c r="O6" s="1970"/>
      <c r="P6" s="3728" t="s">
        <v>510</v>
      </c>
      <c r="Q6" s="3729"/>
      <c r="R6" s="3734" t="s">
        <v>506</v>
      </c>
      <c r="S6" s="3735"/>
      <c r="T6" s="3734" t="s">
        <v>507</v>
      </c>
      <c r="U6" s="3735"/>
      <c r="V6" s="3721" t="s">
        <v>508</v>
      </c>
      <c r="W6" s="3721"/>
      <c r="X6" s="1458"/>
      <c r="Y6" s="3734" t="s">
        <v>510</v>
      </c>
      <c r="Z6" s="3735"/>
      <c r="AA6" s="3723" t="s">
        <v>506</v>
      </c>
      <c r="AB6" s="3724" t="s">
        <v>507</v>
      </c>
      <c r="AC6" s="3723" t="s">
        <v>508</v>
      </c>
    </row>
    <row r="7" spans="1:30" ht="84" customHeight="1">
      <c r="A7" s="492"/>
      <c r="B7" s="493"/>
      <c r="C7" s="3742" t="str">
        <f>项目基本情况!F10</f>
        <v>北京市延庆区张山营镇水峪村D-03地块</v>
      </c>
      <c r="D7" s="3743"/>
      <c r="E7" s="3742" t="str">
        <f>土地案例!A2</f>
        <v xml:space="preserve">北京市怀柔区北房镇、怀北镇HR00-0211-6027、6028、6029、6030地块(城市客厅C地块)F3其他类多功能用地(怀柔科学城核心区及周边土地一级开发项目)   </v>
      </c>
      <c r="F7" s="3743"/>
      <c r="G7" s="3742" t="str">
        <f>土地案例!A3</f>
        <v xml:space="preserve">北京市延庆区张山营镇西大庄科村YQ06-0400-0016地块F3其他类多功能用地    </v>
      </c>
      <c r="H7" s="3743"/>
      <c r="I7" s="3742" t="str">
        <f>土地案例!A4</f>
        <v xml:space="preserve">北京市怀柔科学城核心区及周边土地一级开发项目HR00-0211-6002、6009、6010、6011、6019地块(城市客厅A)F3其他类多功能用地    </v>
      </c>
      <c r="J7" s="3743"/>
      <c r="K7" s="491"/>
      <c r="L7" s="1969"/>
      <c r="M7" s="1968"/>
      <c r="N7" s="1968"/>
      <c r="O7" s="1970"/>
      <c r="P7" s="3730"/>
      <c r="Q7" s="3731"/>
      <c r="R7" s="3736"/>
      <c r="S7" s="3737"/>
      <c r="T7" s="3736"/>
      <c r="U7" s="3737"/>
      <c r="V7" s="3721"/>
      <c r="W7" s="3721"/>
      <c r="X7" s="1458"/>
      <c r="Y7" s="3736"/>
      <c r="Z7" s="3737"/>
      <c r="AA7" s="3724"/>
      <c r="AB7" s="3724"/>
      <c r="AC7" s="3724"/>
    </row>
    <row r="8" spans="1:30" ht="21" thickBot="1">
      <c r="A8" s="492"/>
      <c r="B8" s="493"/>
      <c r="C8" s="3744" t="s">
        <v>2624</v>
      </c>
      <c r="D8" s="3745"/>
      <c r="E8" s="3744" t="s">
        <v>2624</v>
      </c>
      <c r="F8" s="3745"/>
      <c r="G8" s="3740" t="s">
        <v>2624</v>
      </c>
      <c r="H8" s="3741"/>
      <c r="I8" s="3740" t="s">
        <v>2624</v>
      </c>
      <c r="J8" s="3741"/>
      <c r="K8" s="491" t="s">
        <v>511</v>
      </c>
      <c r="L8" s="1969"/>
      <c r="M8" s="1968"/>
      <c r="N8" s="1968"/>
      <c r="O8" s="1970"/>
      <c r="P8" s="3732"/>
      <c r="Q8" s="3733"/>
      <c r="R8" s="3736"/>
      <c r="S8" s="3737"/>
      <c r="T8" s="3738"/>
      <c r="U8" s="3739"/>
      <c r="V8" s="3721"/>
      <c r="W8" s="3721"/>
      <c r="X8" s="1458"/>
      <c r="Y8" s="3738"/>
      <c r="Z8" s="3739"/>
      <c r="AA8" s="3725"/>
      <c r="AB8" s="3725"/>
      <c r="AC8" s="3725"/>
    </row>
    <row r="9" spans="1:30" s="1167" customFormat="1" ht="21" thickBot="1">
      <c r="A9" s="2551"/>
      <c r="B9" s="2558" t="s">
        <v>512</v>
      </c>
      <c r="C9" s="2550">
        <f>'数据-取费表'!B2</f>
        <v>44705</v>
      </c>
      <c r="D9" s="497">
        <v>100</v>
      </c>
      <c r="E9" s="498">
        <f>土地案例!J2</f>
        <v>44580.000497685185</v>
      </c>
      <c r="F9" s="499">
        <f>SUMIF(71:71,YEAR(E9)&amp;"-"&amp;INT((MONTH(E9)+2)/3),72:72)</f>
        <v>99.5</v>
      </c>
      <c r="G9" s="500">
        <f>土地案例!J3</f>
        <v>44172.000497685185</v>
      </c>
      <c r="H9" s="497">
        <f>SUMIF(71:71,YEAR(G9)&amp;"-"&amp;INT((MONTH(G9)+2)/3),72:72)</f>
        <v>97</v>
      </c>
      <c r="I9" s="500">
        <f>土地案例!J4</f>
        <v>44138.000497685185</v>
      </c>
      <c r="J9" s="497">
        <f>SUMIF(71:71,YEAR(I9)&amp;"-"&amp;INT((MONTH(I9)+2)/3),72:72)</f>
        <v>97</v>
      </c>
      <c r="K9" s="501"/>
      <c r="L9" s="1971"/>
      <c r="M9" s="1968"/>
      <c r="N9" s="1968"/>
      <c r="O9" s="1972"/>
      <c r="P9" s="3750" t="s">
        <v>513</v>
      </c>
      <c r="Q9" s="3752"/>
      <c r="R9" s="1459" t="s">
        <v>8</v>
      </c>
      <c r="S9" s="1460">
        <f t="shared" ref="S9:S17" si="0">F9</f>
        <v>99.5</v>
      </c>
      <c r="T9" s="1459" t="s">
        <v>8</v>
      </c>
      <c r="U9" s="1460">
        <f t="shared" ref="U9:U17" si="1">H9</f>
        <v>97</v>
      </c>
      <c r="V9" s="1459" t="s">
        <v>8</v>
      </c>
      <c r="W9" s="1460">
        <f t="shared" ref="W9:W17" si="2">J9</f>
        <v>97</v>
      </c>
      <c r="X9" s="1461"/>
      <c r="Y9" s="3750" t="s">
        <v>513</v>
      </c>
      <c r="Z9" s="3751"/>
      <c r="AA9" s="1462">
        <f>D9/F9</f>
        <v>1.0050251256281406</v>
      </c>
      <c r="AB9" s="1462">
        <f>D9/H9</f>
        <v>1.0309278350515463</v>
      </c>
      <c r="AC9" s="1462">
        <f>D9/J9</f>
        <v>1.0309278350515463</v>
      </c>
    </row>
    <row r="10" spans="1:30" s="1167" customFormat="1" ht="21" thickBot="1">
      <c r="A10" s="2552"/>
      <c r="B10" s="2559"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1"/>
      <c r="M10" s="1968"/>
      <c r="N10" s="1968"/>
      <c r="O10" s="1972"/>
      <c r="P10" s="3750" t="s">
        <v>516</v>
      </c>
      <c r="Q10" s="3751"/>
      <c r="R10" s="1459" t="s">
        <v>8</v>
      </c>
      <c r="S10" s="1460">
        <f t="shared" si="0"/>
        <v>100</v>
      </c>
      <c r="T10" s="1459" t="s">
        <v>8</v>
      </c>
      <c r="U10" s="1460">
        <f t="shared" si="1"/>
        <v>100</v>
      </c>
      <c r="V10" s="1459" t="s">
        <v>8</v>
      </c>
      <c r="W10" s="1460">
        <f t="shared" si="2"/>
        <v>100</v>
      </c>
      <c r="X10" s="1461"/>
      <c r="Y10" s="3750" t="s">
        <v>516</v>
      </c>
      <c r="Z10" s="3751"/>
      <c r="AA10" s="1462">
        <f t="shared" ref="AA10:AA47" si="3">D10/F10</f>
        <v>1</v>
      </c>
      <c r="AB10" s="1462">
        <f t="shared" ref="AB10:AB47" si="4">D10/H10</f>
        <v>1</v>
      </c>
      <c r="AC10" s="1462">
        <f t="shared" ref="AC10:AC47" si="5">D10/J10</f>
        <v>1</v>
      </c>
    </row>
    <row r="11" spans="1:30" s="1167" customFormat="1" ht="20.25">
      <c r="A11" s="2553"/>
      <c r="B11" s="2560" t="s">
        <v>2470</v>
      </c>
      <c r="C11" s="2547" t="s">
        <v>3559</v>
      </c>
      <c r="D11" s="252">
        <v>100</v>
      </c>
      <c r="E11" s="2547" t="s">
        <v>3304</v>
      </c>
      <c r="F11" s="252">
        <f>SUMIF(76:76,E11,77:77)-SUMIF(76:76,C11,77:77)+100</f>
        <v>120</v>
      </c>
      <c r="G11" s="2547" t="s">
        <v>3304</v>
      </c>
      <c r="H11" s="252">
        <f>SUMIF(76:76,G11,77:77)-SUMIF(76:76,C11,77:77)+100</f>
        <v>120</v>
      </c>
      <c r="I11" s="2547" t="s">
        <v>3304</v>
      </c>
      <c r="J11" s="252">
        <f>SUMIF(76:76,I11,77:77)-SUMIF(76:76,C11,77:77)+100</f>
        <v>120</v>
      </c>
      <c r="K11" s="501"/>
      <c r="L11" s="1971"/>
      <c r="M11" s="1968"/>
      <c r="N11" s="1968"/>
      <c r="O11" s="1973"/>
      <c r="P11" s="3720" t="s">
        <v>518</v>
      </c>
      <c r="Q11" s="1098" t="str">
        <f t="shared" ref="Q11:Q17" si="6">B11</f>
        <v>用途</v>
      </c>
      <c r="R11" s="1459" t="s">
        <v>8</v>
      </c>
      <c r="S11" s="1460">
        <f t="shared" si="0"/>
        <v>120</v>
      </c>
      <c r="T11" s="1459" t="s">
        <v>8</v>
      </c>
      <c r="U11" s="1460">
        <f t="shared" si="1"/>
        <v>120</v>
      </c>
      <c r="V11" s="1459" t="s">
        <v>8</v>
      </c>
      <c r="W11" s="1460">
        <f t="shared" si="2"/>
        <v>120</v>
      </c>
      <c r="X11" s="1461"/>
      <c r="Y11" s="3651" t="s">
        <v>519</v>
      </c>
      <c r="Z11" s="1097" t="str">
        <f t="shared" ref="Z11:Z17" si="7">Q11</f>
        <v>用途</v>
      </c>
      <c r="AA11" s="1462">
        <f t="shared" si="3"/>
        <v>0.83333333333333337</v>
      </c>
      <c r="AB11" s="1462">
        <f t="shared" si="4"/>
        <v>0.83333333333333337</v>
      </c>
      <c r="AC11" s="1462">
        <f t="shared" si="5"/>
        <v>0.83333333333333337</v>
      </c>
    </row>
    <row r="12" spans="1:30" s="1248" customFormat="1" ht="27">
      <c r="A12" s="2554"/>
      <c r="B12" s="2559" t="s">
        <v>2471</v>
      </c>
      <c r="C12" s="882">
        <f>'数据-取费表'!F6</f>
        <v>35.880000000000003</v>
      </c>
      <c r="D12" s="253">
        <v>100</v>
      </c>
      <c r="E12" s="506" t="s">
        <v>3544</v>
      </c>
      <c r="F12" s="253">
        <f>ROUND(100/'数据-取费表'!G16,0)</f>
        <v>103</v>
      </c>
      <c r="G12" s="507" t="s">
        <v>3545</v>
      </c>
      <c r="H12" s="253">
        <f>ROUND(100/'数据-取费表'!G16,0)</f>
        <v>103</v>
      </c>
      <c r="I12" s="507" t="s">
        <v>3546</v>
      </c>
      <c r="J12" s="253">
        <f>ROUND(100/'数据-取费表'!G16,0)</f>
        <v>103</v>
      </c>
      <c r="K12" s="508"/>
      <c r="L12" s="1974"/>
      <c r="M12" s="1968"/>
      <c r="N12" s="1968"/>
      <c r="O12" s="1975"/>
      <c r="P12" s="3720"/>
      <c r="Q12" s="1098" t="str">
        <f t="shared" si="6"/>
        <v>土地使用年限（年）</v>
      </c>
      <c r="R12" s="1459" t="s">
        <v>8</v>
      </c>
      <c r="S12" s="1460">
        <f t="shared" si="0"/>
        <v>103</v>
      </c>
      <c r="T12" s="1459" t="s">
        <v>8</v>
      </c>
      <c r="U12" s="1460">
        <f t="shared" si="1"/>
        <v>103</v>
      </c>
      <c r="V12" s="1459" t="s">
        <v>8</v>
      </c>
      <c r="W12" s="1460">
        <f t="shared" si="2"/>
        <v>103</v>
      </c>
      <c r="X12" s="1461"/>
      <c r="Y12" s="3651"/>
      <c r="Z12" s="1097" t="str">
        <f t="shared" si="7"/>
        <v>土地使用年限（年）</v>
      </c>
      <c r="AA12" s="1462">
        <f t="shared" si="3"/>
        <v>0.970873786407767</v>
      </c>
      <c r="AB12" s="1462">
        <f t="shared" si="4"/>
        <v>0.970873786407767</v>
      </c>
      <c r="AC12" s="1462">
        <f t="shared" si="5"/>
        <v>0.970873786407767</v>
      </c>
    </row>
    <row r="13" spans="1:30" ht="20.25">
      <c r="A13" s="2555"/>
      <c r="B13" s="2559" t="s">
        <v>2472</v>
      </c>
      <c r="C13" s="511">
        <f>'数据-汇总表'!I4</f>
        <v>0.57999999999999996</v>
      </c>
      <c r="D13" s="253">
        <v>100</v>
      </c>
      <c r="E13" s="510">
        <f>土地案例!G2</f>
        <v>1.82</v>
      </c>
      <c r="F13" s="253">
        <f>LOOKUP(E13,81:81,82:82)-LOOKUP(C13,81:81,82:82)+100</f>
        <v>92</v>
      </c>
      <c r="G13" s="511">
        <f>土地案例!G3</f>
        <v>1.01</v>
      </c>
      <c r="H13" s="253">
        <f>LOOKUP(G13,81:81,82:82)-LOOKUP(C13,81:81,82:82)+100</f>
        <v>96</v>
      </c>
      <c r="I13" s="510">
        <f>土地案例!G4</f>
        <v>1.9</v>
      </c>
      <c r="J13" s="253">
        <f>LOOKUP(I13,81:81,82:82)-LOOKUP(C13,81:81,82:82)+100</f>
        <v>92</v>
      </c>
      <c r="K13" s="512">
        <v>4</v>
      </c>
      <c r="L13" s="1976"/>
      <c r="M13" s="1968"/>
      <c r="N13" s="1968"/>
      <c r="O13" s="1977"/>
      <c r="P13" s="3720"/>
      <c r="Q13" s="1098" t="str">
        <f t="shared" si="6"/>
        <v>容积率</v>
      </c>
      <c r="R13" s="1459" t="s">
        <v>8</v>
      </c>
      <c r="S13" s="1460">
        <f t="shared" si="0"/>
        <v>92</v>
      </c>
      <c r="T13" s="1459" t="s">
        <v>8</v>
      </c>
      <c r="U13" s="1460">
        <f t="shared" si="1"/>
        <v>96</v>
      </c>
      <c r="V13" s="1459" t="s">
        <v>8</v>
      </c>
      <c r="W13" s="1460">
        <f t="shared" si="2"/>
        <v>92</v>
      </c>
      <c r="X13" s="1461"/>
      <c r="Y13" s="3651"/>
      <c r="Z13" s="1097" t="str">
        <f t="shared" si="7"/>
        <v>容积率</v>
      </c>
      <c r="AA13" s="1462">
        <f t="shared" si="3"/>
        <v>1.0869565217391304</v>
      </c>
      <c r="AB13" s="1462">
        <f t="shared" si="4"/>
        <v>1.0416666666666667</v>
      </c>
      <c r="AC13" s="1462">
        <f t="shared" si="5"/>
        <v>1.0869565217391304</v>
      </c>
    </row>
    <row r="14" spans="1:30" s="1167" customFormat="1" ht="20.25">
      <c r="A14" s="2552"/>
      <c r="B14" s="2561" t="s">
        <v>2473</v>
      </c>
      <c r="C14" s="2548"/>
      <c r="D14" s="515">
        <v>100</v>
      </c>
      <c r="E14" s="1282"/>
      <c r="F14" s="253">
        <f>SUMIF(83:83,E14,84:84)-SUMIF(83:83,C14,84:84)+100</f>
        <v>100</v>
      </c>
      <c r="G14" s="1282"/>
      <c r="H14" s="253">
        <f>SUMIF(83:83,G14,84:84)-SUMIF(83:83,C14,84:84)+100</f>
        <v>100</v>
      </c>
      <c r="I14" s="3506"/>
      <c r="J14" s="253">
        <f>SUMIF(83:83,I14,84:84)-SUMIF(83:83,C14,84:84)+100</f>
        <v>100</v>
      </c>
      <c r="K14" s="508"/>
      <c r="L14" s="1971"/>
      <c r="M14" s="1968"/>
      <c r="N14" s="1968"/>
      <c r="O14" s="1973"/>
      <c r="P14" s="3720"/>
      <c r="Q14" s="1098" t="str">
        <f t="shared" si="6"/>
        <v>配建</v>
      </c>
      <c r="R14" s="1459" t="s">
        <v>8</v>
      </c>
      <c r="S14" s="1460">
        <f t="shared" si="0"/>
        <v>100</v>
      </c>
      <c r="T14" s="1459" t="s">
        <v>8</v>
      </c>
      <c r="U14" s="1460">
        <f t="shared" si="1"/>
        <v>100</v>
      </c>
      <c r="V14" s="1459" t="s">
        <v>8</v>
      </c>
      <c r="W14" s="1460">
        <f t="shared" si="2"/>
        <v>100</v>
      </c>
      <c r="X14" s="1461"/>
      <c r="Y14" s="3651"/>
      <c r="Z14" s="1097" t="str">
        <f t="shared" si="7"/>
        <v>配建</v>
      </c>
      <c r="AA14" s="1462">
        <f>D14/F14</f>
        <v>1</v>
      </c>
      <c r="AB14" s="1462">
        <f>D14/H14</f>
        <v>1</v>
      </c>
      <c r="AC14" s="1462">
        <f>D14/J14</f>
        <v>1</v>
      </c>
    </row>
    <row r="15" spans="1:30" ht="20.25">
      <c r="A15" s="2556"/>
      <c r="B15" s="3505" t="s">
        <v>3564</v>
      </c>
      <c r="C15" s="2548" t="s">
        <v>3567</v>
      </c>
      <c r="D15" s="517">
        <v>100</v>
      </c>
      <c r="E15" s="1282" t="s">
        <v>3568</v>
      </c>
      <c r="F15" s="253">
        <f>SUMIF(85:85,E15,86:86)-SUMIF(85:85,C15,86:86)+100</f>
        <v>105</v>
      </c>
      <c r="G15" s="1282" t="s">
        <v>3568</v>
      </c>
      <c r="H15" s="517">
        <f>SUMIF(85:85,G15,86:86)-SUMIF(85:85,C15,86:86)+100</f>
        <v>105</v>
      </c>
      <c r="I15" s="3506" t="s">
        <v>3569</v>
      </c>
      <c r="J15" s="517">
        <f>SUMIF(85:85,I15,86:86)-SUMIF(85:85,C15,86:86)+100</f>
        <v>100</v>
      </c>
      <c r="K15" s="508"/>
      <c r="L15" s="1978"/>
      <c r="M15" s="1968"/>
      <c r="N15" s="1968"/>
      <c r="O15" s="1977"/>
      <c r="P15" s="3720"/>
      <c r="Q15" s="1098" t="str">
        <f t="shared" si="6"/>
        <v>自持</v>
      </c>
      <c r="R15" s="1459" t="s">
        <v>8</v>
      </c>
      <c r="S15" s="1460">
        <f t="shared" si="0"/>
        <v>105</v>
      </c>
      <c r="T15" s="1459" t="s">
        <v>8</v>
      </c>
      <c r="U15" s="1460">
        <f t="shared" si="1"/>
        <v>105</v>
      </c>
      <c r="V15" s="1459" t="s">
        <v>8</v>
      </c>
      <c r="W15" s="1460">
        <f t="shared" si="2"/>
        <v>100</v>
      </c>
      <c r="X15" s="1461"/>
      <c r="Y15" s="3651"/>
      <c r="Z15" s="1097" t="str">
        <f t="shared" si="7"/>
        <v>自持</v>
      </c>
      <c r="AA15" s="1462">
        <f>D15/F15</f>
        <v>0.95238095238095233</v>
      </c>
      <c r="AB15" s="1462">
        <f>D15/H15</f>
        <v>0.95238095238095233</v>
      </c>
      <c r="AC15" s="1462">
        <f>D15/J15</f>
        <v>1</v>
      </c>
    </row>
    <row r="16" spans="1:30" ht="21" hidden="1" thickBot="1">
      <c r="A16" s="2557"/>
      <c r="B16" s="2563">
        <v>111</v>
      </c>
      <c r="C16" s="887"/>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720"/>
      <c r="Q16" s="1098">
        <f t="shared" si="6"/>
        <v>111</v>
      </c>
      <c r="R16" s="1459" t="s">
        <v>8</v>
      </c>
      <c r="S16" s="1460">
        <f t="shared" si="0"/>
        <v>100</v>
      </c>
      <c r="T16" s="1459" t="s">
        <v>8</v>
      </c>
      <c r="U16" s="1460">
        <f t="shared" si="1"/>
        <v>100</v>
      </c>
      <c r="V16" s="1459" t="s">
        <v>8</v>
      </c>
      <c r="W16" s="1460">
        <f t="shared" si="2"/>
        <v>100</v>
      </c>
      <c r="X16" s="1461"/>
      <c r="Y16" s="3651"/>
      <c r="Z16" s="1097">
        <f t="shared" si="7"/>
        <v>111</v>
      </c>
      <c r="AA16" s="1462">
        <f>D16/F16</f>
        <v>1</v>
      </c>
      <c r="AB16" s="1462">
        <f>D16/H16</f>
        <v>1</v>
      </c>
      <c r="AC16" s="1462">
        <f>D16/J16</f>
        <v>1</v>
      </c>
    </row>
    <row r="17" spans="1:29" ht="20.25" hidden="1">
      <c r="A17" s="2549" t="s">
        <v>2468</v>
      </c>
      <c r="B17" s="555" t="s">
        <v>295</v>
      </c>
      <c r="C17" s="525">
        <f>估价对象房地状况!C15</f>
        <v>0</v>
      </c>
      <c r="D17" s="528">
        <v>100</v>
      </c>
      <c r="E17" s="529"/>
      <c r="F17" s="526">
        <f>SUMIF(89:89,E18,90:90)-SUMIF(89:89,C18,90:90)+100</f>
        <v>100</v>
      </c>
      <c r="G17" s="527"/>
      <c r="H17" s="526">
        <f>SUMIF(89:89,G18,90:90)-SUMIF(89:89,C18,90:90)+100</f>
        <v>100</v>
      </c>
      <c r="I17" s="529"/>
      <c r="J17" s="526">
        <f>SUMIF(89:89,I18,90:90)-SUMIF(89:89,C18,90:90)+100</f>
        <v>100</v>
      </c>
      <c r="K17" s="512"/>
      <c r="L17" s="1978"/>
      <c r="M17" s="1968"/>
      <c r="N17" s="1968"/>
      <c r="O17" s="1977"/>
      <c r="P17" s="3753" t="s">
        <v>523</v>
      </c>
      <c r="Q17" s="1463" t="str">
        <f t="shared" si="6"/>
        <v>居住社区成熟度</v>
      </c>
      <c r="R17" s="1464" t="s">
        <v>8</v>
      </c>
      <c r="S17" s="1465">
        <f t="shared" si="0"/>
        <v>100</v>
      </c>
      <c r="T17" s="1464" t="s">
        <v>8</v>
      </c>
      <c r="U17" s="1465">
        <f t="shared" si="1"/>
        <v>100</v>
      </c>
      <c r="V17" s="1464" t="s">
        <v>8</v>
      </c>
      <c r="W17" s="1465">
        <f t="shared" si="2"/>
        <v>100</v>
      </c>
      <c r="X17" s="1458"/>
      <c r="Y17" s="3753" t="s">
        <v>523</v>
      </c>
      <c r="Z17" s="1466" t="str">
        <f t="shared" si="7"/>
        <v>居住社区成熟度</v>
      </c>
      <c r="AA17" s="1467">
        <f t="shared" si="3"/>
        <v>1</v>
      </c>
      <c r="AB17" s="1467">
        <f t="shared" si="4"/>
        <v>1</v>
      </c>
      <c r="AC17" s="1467">
        <f t="shared" si="5"/>
        <v>1</v>
      </c>
    </row>
    <row r="18" spans="1:29" ht="20.25" hidden="1">
      <c r="A18" s="509"/>
      <c r="B18" s="530"/>
      <c r="C18" s="531"/>
      <c r="D18" s="534"/>
      <c r="E18" s="535"/>
      <c r="F18" s="532"/>
      <c r="G18" s="533"/>
      <c r="H18" s="536"/>
      <c r="I18" s="535"/>
      <c r="J18" s="532"/>
      <c r="K18" s="508"/>
      <c r="L18" s="1978"/>
      <c r="M18" s="1968"/>
      <c r="N18" s="1968"/>
      <c r="O18" s="1977"/>
      <c r="P18" s="3754"/>
      <c r="Q18" s="1463"/>
      <c r="R18" s="1464"/>
      <c r="S18" s="1465"/>
      <c r="T18" s="1464"/>
      <c r="U18" s="1465"/>
      <c r="V18" s="1464"/>
      <c r="W18" s="1465"/>
      <c r="X18" s="1458"/>
      <c r="Y18" s="3754"/>
      <c r="Z18" s="1466"/>
      <c r="AA18" s="1467">
        <v>1</v>
      </c>
      <c r="AB18" s="1467">
        <v>1</v>
      </c>
      <c r="AC18" s="1467">
        <v>1</v>
      </c>
    </row>
    <row r="19" spans="1:29" ht="20.25">
      <c r="A19" s="509"/>
      <c r="B19" s="537" t="s">
        <v>524</v>
      </c>
      <c r="C19" s="538" t="str">
        <f>估价对象房地状况!C16</f>
        <v>一般</v>
      </c>
      <c r="D19" s="540">
        <v>100</v>
      </c>
      <c r="E19" s="541" t="s">
        <v>3362</v>
      </c>
      <c r="F19" s="536">
        <f>SUMIF(91:91,E20,92:92)-SUMIF(91:91,C20,92:92)+100</f>
        <v>100</v>
      </c>
      <c r="G19" s="539" t="s">
        <v>3362</v>
      </c>
      <c r="H19" s="542">
        <f>SUMIF(91:91,G20,92:92)-SUMIF(91:91,C20,92:92)+100</f>
        <v>100</v>
      </c>
      <c r="I19" s="541" t="s">
        <v>3362</v>
      </c>
      <c r="J19" s="542">
        <f>SUMIF(91:91,I20,92:92)-SUMIF(91:91,C20,92:92)+100</f>
        <v>100</v>
      </c>
      <c r="K19" s="512">
        <v>2</v>
      </c>
      <c r="L19" s="1978"/>
      <c r="M19" s="1968"/>
      <c r="N19" s="1968"/>
      <c r="O19" s="1977"/>
      <c r="P19" s="3754"/>
      <c r="Q19" s="1463" t="str">
        <f>B19</f>
        <v>商业繁华度</v>
      </c>
      <c r="R19" s="1464" t="s">
        <v>8</v>
      </c>
      <c r="S19" s="1465">
        <f>F19</f>
        <v>100</v>
      </c>
      <c r="T19" s="1464" t="s">
        <v>8</v>
      </c>
      <c r="U19" s="1465">
        <f>H19</f>
        <v>100</v>
      </c>
      <c r="V19" s="1464" t="s">
        <v>8</v>
      </c>
      <c r="W19" s="1465">
        <f>J19</f>
        <v>100</v>
      </c>
      <c r="X19" s="1458"/>
      <c r="Y19" s="3754"/>
      <c r="Z19" s="1466" t="str">
        <f>Q19</f>
        <v>商业繁华度</v>
      </c>
      <c r="AA19" s="1467">
        <f t="shared" si="3"/>
        <v>1</v>
      </c>
      <c r="AB19" s="1467">
        <f t="shared" si="4"/>
        <v>1</v>
      </c>
      <c r="AC19" s="1467">
        <f t="shared" si="5"/>
        <v>1</v>
      </c>
    </row>
    <row r="20" spans="1:29" ht="20.25">
      <c r="A20" s="509"/>
      <c r="B20" s="543"/>
      <c r="C20" s="544" t="s">
        <v>3362</v>
      </c>
      <c r="D20" s="540"/>
      <c r="E20" s="546" t="s">
        <v>3362</v>
      </c>
      <c r="F20" s="536"/>
      <c r="G20" s="545" t="s">
        <v>3362</v>
      </c>
      <c r="H20" s="532"/>
      <c r="I20" s="546" t="s">
        <v>3362</v>
      </c>
      <c r="J20" s="532"/>
      <c r="K20" s="508"/>
      <c r="L20" s="1978"/>
      <c r="M20" s="1968"/>
      <c r="N20" s="1968"/>
      <c r="O20" s="1977"/>
      <c r="P20" s="3754"/>
      <c r="Q20" s="1463"/>
      <c r="R20" s="1464"/>
      <c r="S20" s="1465"/>
      <c r="T20" s="1464"/>
      <c r="U20" s="1465"/>
      <c r="V20" s="1464"/>
      <c r="W20" s="1465"/>
      <c r="X20" s="1458"/>
      <c r="Y20" s="3754"/>
      <c r="Z20" s="1466"/>
      <c r="AA20" s="1467">
        <v>1</v>
      </c>
      <c r="AB20" s="1467">
        <v>1</v>
      </c>
      <c r="AC20" s="1467">
        <v>1</v>
      </c>
    </row>
    <row r="21" spans="1:29" ht="20.25" hidden="1">
      <c r="A21" s="509"/>
      <c r="B21" s="537" t="s">
        <v>525</v>
      </c>
      <c r="C21" s="538">
        <f>估价对象房地状况!C17</f>
        <v>0</v>
      </c>
      <c r="D21" s="548">
        <v>100</v>
      </c>
      <c r="E21" s="549">
        <v>0</v>
      </c>
      <c r="F21" s="542">
        <f>SUMIF(93:93,E22,94:94)-SUMIF(93:93,C22,94:94)+100</f>
        <v>100</v>
      </c>
      <c r="G21" s="547">
        <v>0</v>
      </c>
      <c r="H21" s="536">
        <f>SUMIF(93:93,G22,94:94)-SUMIF(93:93,C22,94:94)+100</f>
        <v>100</v>
      </c>
      <c r="I21" s="549">
        <v>0</v>
      </c>
      <c r="J21" s="536">
        <f>SUMIF(93:93,I22,94:94)-SUMIF(93:93,C22,94:94)+100</f>
        <v>100</v>
      </c>
      <c r="K21" s="512"/>
      <c r="L21" s="1978"/>
      <c r="M21" s="1968"/>
      <c r="N21" s="1968"/>
      <c r="O21" s="1977"/>
      <c r="P21" s="3754"/>
      <c r="Q21" s="1463" t="str">
        <f>B21</f>
        <v>办公集聚程度</v>
      </c>
      <c r="R21" s="1464" t="s">
        <v>8</v>
      </c>
      <c r="S21" s="1465">
        <f>F21</f>
        <v>100</v>
      </c>
      <c r="T21" s="1464" t="s">
        <v>8</v>
      </c>
      <c r="U21" s="1465">
        <f>H21</f>
        <v>100</v>
      </c>
      <c r="V21" s="1464" t="s">
        <v>8</v>
      </c>
      <c r="W21" s="1465">
        <f>J21</f>
        <v>100</v>
      </c>
      <c r="X21" s="1458"/>
      <c r="Y21" s="3754"/>
      <c r="Z21" s="1466" t="str">
        <f>Q21</f>
        <v>办公集聚程度</v>
      </c>
      <c r="AA21" s="1467">
        <f t="shared" si="3"/>
        <v>1</v>
      </c>
      <c r="AB21" s="1467">
        <f t="shared" si="4"/>
        <v>1</v>
      </c>
      <c r="AC21" s="1467">
        <f t="shared" si="5"/>
        <v>1</v>
      </c>
    </row>
    <row r="22" spans="1:29" ht="20.25" hidden="1">
      <c r="A22" s="509"/>
      <c r="B22" s="543"/>
      <c r="C22" s="531"/>
      <c r="D22" s="534"/>
      <c r="E22" s="535"/>
      <c r="F22" s="532"/>
      <c r="G22" s="533"/>
      <c r="H22" s="532"/>
      <c r="I22" s="535"/>
      <c r="J22" s="532"/>
      <c r="K22" s="508"/>
      <c r="L22" s="1978"/>
      <c r="M22" s="1968"/>
      <c r="N22" s="1968"/>
      <c r="O22" s="1977"/>
      <c r="P22" s="3754"/>
      <c r="Q22" s="1463"/>
      <c r="R22" s="1464"/>
      <c r="S22" s="1465"/>
      <c r="T22" s="1464"/>
      <c r="U22" s="1465"/>
      <c r="V22" s="1464"/>
      <c r="W22" s="1465"/>
      <c r="X22" s="1458"/>
      <c r="Y22" s="3754"/>
      <c r="Z22" s="1466"/>
      <c r="AA22" s="1467">
        <v>1</v>
      </c>
      <c r="AB22" s="1467">
        <v>1</v>
      </c>
      <c r="AC22" s="1467">
        <v>1</v>
      </c>
    </row>
    <row r="23" spans="1:29" ht="20.25">
      <c r="A23" s="509"/>
      <c r="B23" s="537" t="s">
        <v>526</v>
      </c>
      <c r="C23" s="550" t="str">
        <f>估价对象房地状况!C18</f>
        <v>一般</v>
      </c>
      <c r="D23" s="540">
        <v>100</v>
      </c>
      <c r="E23" s="541" t="s">
        <v>3362</v>
      </c>
      <c r="F23" s="542">
        <f>SUMIF(95:95,E24,96:96)-SUMIF(95:95,C24,96:96)+100</f>
        <v>100</v>
      </c>
      <c r="G23" s="539" t="s">
        <v>3362</v>
      </c>
      <c r="H23" s="536">
        <f>SUMIF(95:95,G24,96:96)-SUMIF(95:95,C24,96:96)+100</f>
        <v>100</v>
      </c>
      <c r="I23" s="541" t="s">
        <v>3362</v>
      </c>
      <c r="J23" s="536">
        <f>SUMIF(95:95,I24,96:96)-SUMIF(95:95,C24,96:96)+100</f>
        <v>100</v>
      </c>
      <c r="K23" s="512">
        <v>2</v>
      </c>
      <c r="L23" s="1978"/>
      <c r="M23" s="1968"/>
      <c r="N23" s="1968"/>
      <c r="O23" s="1977"/>
      <c r="P23" s="3754"/>
      <c r="Q23" s="1463" t="str">
        <f>B23</f>
        <v>交通便捷度</v>
      </c>
      <c r="R23" s="1464" t="s">
        <v>8</v>
      </c>
      <c r="S23" s="1465">
        <f>F23</f>
        <v>100</v>
      </c>
      <c r="T23" s="1464" t="s">
        <v>8</v>
      </c>
      <c r="U23" s="1465">
        <f>H23</f>
        <v>100</v>
      </c>
      <c r="V23" s="1464" t="s">
        <v>8</v>
      </c>
      <c r="W23" s="1465">
        <f>J23</f>
        <v>100</v>
      </c>
      <c r="X23" s="1458"/>
      <c r="Y23" s="3754"/>
      <c r="Z23" s="1466" t="str">
        <f>Q23</f>
        <v>交通便捷度</v>
      </c>
      <c r="AA23" s="1467">
        <f t="shared" si="3"/>
        <v>1</v>
      </c>
      <c r="AB23" s="1467">
        <f t="shared" si="4"/>
        <v>1</v>
      </c>
      <c r="AC23" s="1467">
        <f t="shared" si="5"/>
        <v>1</v>
      </c>
    </row>
    <row r="24" spans="1:29" ht="20.25">
      <c r="A24" s="509"/>
      <c r="B24" s="555"/>
      <c r="C24" s="531" t="s">
        <v>3362</v>
      </c>
      <c r="D24" s="534"/>
      <c r="E24" s="535" t="s">
        <v>3362</v>
      </c>
      <c r="F24" s="532"/>
      <c r="G24" s="533" t="s">
        <v>3362</v>
      </c>
      <c r="H24" s="532"/>
      <c r="I24" s="535" t="s">
        <v>3362</v>
      </c>
      <c r="J24" s="532"/>
      <c r="K24" s="508"/>
      <c r="L24" s="1978"/>
      <c r="M24" s="1968"/>
      <c r="N24" s="1968"/>
      <c r="O24" s="1977"/>
      <c r="P24" s="3754"/>
      <c r="Q24" s="1463"/>
      <c r="R24" s="1464"/>
      <c r="S24" s="1465"/>
      <c r="T24" s="1464"/>
      <c r="U24" s="1465"/>
      <c r="V24" s="1464"/>
      <c r="W24" s="1465"/>
      <c r="X24" s="1458"/>
      <c r="Y24" s="3754"/>
      <c r="Z24" s="1466"/>
      <c r="AA24" s="1467">
        <v>1</v>
      </c>
      <c r="AB24" s="1467">
        <v>1</v>
      </c>
      <c r="AC24" s="1467">
        <v>1</v>
      </c>
    </row>
    <row r="25" spans="1:29" ht="27">
      <c r="A25" s="492"/>
      <c r="B25" s="257" t="s">
        <v>527</v>
      </c>
      <c r="C25" s="550">
        <f>估价对象房地状况!C19</f>
        <v>0</v>
      </c>
      <c r="D25" s="540">
        <v>100</v>
      </c>
      <c r="E25" s="541">
        <v>0</v>
      </c>
      <c r="F25" s="542">
        <f>SUMIF(97:97,E26,98:98)-SUMIF(97:97,C26,98:98)+100</f>
        <v>100</v>
      </c>
      <c r="G25" s="539">
        <v>0</v>
      </c>
      <c r="H25" s="536">
        <f>SUMIF(97:97,G26,98:98)-SUMIF(97:97,C26,98:98)+100</f>
        <v>100</v>
      </c>
      <c r="I25" s="541">
        <v>0</v>
      </c>
      <c r="J25" s="536">
        <f>SUMIF(97:97,I26,98:98)-SUMIF(97:97,C26,98:98)+100</f>
        <v>100</v>
      </c>
      <c r="K25" s="512">
        <v>2</v>
      </c>
      <c r="L25" s="1978"/>
      <c r="M25" s="1968"/>
      <c r="N25" s="1968"/>
      <c r="O25" s="1977"/>
      <c r="P25" s="3754"/>
      <c r="Q25" s="1463" t="str">
        <f t="shared" ref="Q25:Q39" si="8">B25</f>
        <v>区域土地利用方向</v>
      </c>
      <c r="R25" s="1464" t="s">
        <v>8</v>
      </c>
      <c r="S25" s="1465">
        <f>F25</f>
        <v>100</v>
      </c>
      <c r="T25" s="1464" t="s">
        <v>8</v>
      </c>
      <c r="U25" s="1465">
        <f>H25</f>
        <v>100</v>
      </c>
      <c r="V25" s="1464" t="s">
        <v>8</v>
      </c>
      <c r="W25" s="1465">
        <f>J25</f>
        <v>100</v>
      </c>
      <c r="X25" s="1458"/>
      <c r="Y25" s="3754"/>
      <c r="Z25" s="1466" t="str">
        <f>Q25</f>
        <v>区域土地利用方向</v>
      </c>
      <c r="AA25" s="1467">
        <f t="shared" si="3"/>
        <v>1</v>
      </c>
      <c r="AB25" s="1467">
        <f t="shared" si="4"/>
        <v>1</v>
      </c>
      <c r="AC25" s="1467">
        <f t="shared" si="5"/>
        <v>1</v>
      </c>
    </row>
    <row r="26" spans="1:29" ht="20.25">
      <c r="A26" s="492"/>
      <c r="B26" s="977"/>
      <c r="C26" s="531" t="s">
        <v>3367</v>
      </c>
      <c r="D26" s="534"/>
      <c r="E26" s="535" t="s">
        <v>3367</v>
      </c>
      <c r="F26" s="532"/>
      <c r="G26" s="533" t="s">
        <v>3367</v>
      </c>
      <c r="H26" s="532"/>
      <c r="I26" s="535" t="s">
        <v>3367</v>
      </c>
      <c r="J26" s="532"/>
      <c r="K26" s="508"/>
      <c r="L26" s="1978"/>
      <c r="M26" s="1968"/>
      <c r="N26" s="1968"/>
      <c r="O26" s="1977"/>
      <c r="P26" s="3754"/>
      <c r="Q26" s="1463"/>
      <c r="R26" s="1464"/>
      <c r="S26" s="1465"/>
      <c r="T26" s="1464"/>
      <c r="U26" s="1465"/>
      <c r="V26" s="1464"/>
      <c r="W26" s="1465"/>
      <c r="X26" s="1458"/>
      <c r="Y26" s="3754"/>
      <c r="Z26" s="1466"/>
      <c r="AA26" s="1467"/>
      <c r="AB26" s="1467"/>
      <c r="AC26" s="1467"/>
    </row>
    <row r="27" spans="1:29" ht="27">
      <c r="A27" s="492"/>
      <c r="B27" s="555" t="s">
        <v>528</v>
      </c>
      <c r="C27" s="538" t="str">
        <f>估价对象房地状况!C20</f>
        <v>较好</v>
      </c>
      <c r="D27" s="540">
        <v>100</v>
      </c>
      <c r="E27" s="541" t="s">
        <v>3367</v>
      </c>
      <c r="F27" s="536">
        <f>SUMIF(99:99,E28,100:100)-SUMIF(99:99,C28,100:100)+100</f>
        <v>100</v>
      </c>
      <c r="G27" s="539" t="s">
        <v>3367</v>
      </c>
      <c r="H27" s="536">
        <f>SUMIF(99:99,G28,100:100)-SUMIF(99:99,C28,100:100)+100</f>
        <v>100</v>
      </c>
      <c r="I27" s="541" t="s">
        <v>3367</v>
      </c>
      <c r="J27" s="536">
        <f>SUMIF(99:99,I28,100:100)-SUMIF(99:99,C28,100:100)+100</f>
        <v>100</v>
      </c>
      <c r="K27" s="512">
        <v>2</v>
      </c>
      <c r="L27" s="1978"/>
      <c r="M27" s="1968"/>
      <c r="N27" s="1968"/>
      <c r="O27" s="1977"/>
      <c r="P27" s="3754"/>
      <c r="Q27" s="1463" t="str">
        <f t="shared" si="8"/>
        <v>自然及人文环境状况</v>
      </c>
      <c r="R27" s="1464" t="s">
        <v>8</v>
      </c>
      <c r="S27" s="1465">
        <f>F27</f>
        <v>100</v>
      </c>
      <c r="T27" s="1464" t="s">
        <v>8</v>
      </c>
      <c r="U27" s="1465">
        <f>H27</f>
        <v>100</v>
      </c>
      <c r="V27" s="1464" t="s">
        <v>8</v>
      </c>
      <c r="W27" s="1465">
        <f>J27</f>
        <v>100</v>
      </c>
      <c r="X27" s="1458"/>
      <c r="Y27" s="3754"/>
      <c r="Z27" s="1466" t="str">
        <f>Q27</f>
        <v>自然及人文环境状况</v>
      </c>
      <c r="AA27" s="1467">
        <f t="shared" si="3"/>
        <v>1</v>
      </c>
      <c r="AB27" s="1467">
        <f t="shared" si="4"/>
        <v>1</v>
      </c>
      <c r="AC27" s="1467">
        <f t="shared" si="5"/>
        <v>1</v>
      </c>
    </row>
    <row r="28" spans="1:29" ht="20.25">
      <c r="A28" s="492"/>
      <c r="B28" s="543"/>
      <c r="C28" s="531" t="s">
        <v>3367</v>
      </c>
      <c r="D28" s="534"/>
      <c r="E28" s="553" t="s">
        <v>3367</v>
      </c>
      <c r="F28" s="532"/>
      <c r="G28" s="531" t="s">
        <v>3367</v>
      </c>
      <c r="H28" s="532"/>
      <c r="I28" s="553" t="s">
        <v>3367</v>
      </c>
      <c r="J28" s="532"/>
      <c r="K28" s="508"/>
      <c r="L28" s="1978"/>
      <c r="M28" s="1968"/>
      <c r="N28" s="1968"/>
      <c r="O28" s="1977"/>
      <c r="P28" s="3754"/>
      <c r="Q28" s="1463"/>
      <c r="R28" s="1464"/>
      <c r="S28" s="1465"/>
      <c r="T28" s="1464"/>
      <c r="U28" s="1465"/>
      <c r="V28" s="1464"/>
      <c r="W28" s="1465"/>
      <c r="X28" s="1458"/>
      <c r="Y28" s="3754"/>
      <c r="Z28" s="1466"/>
      <c r="AA28" s="1467">
        <v>1</v>
      </c>
      <c r="AB28" s="1467">
        <v>1</v>
      </c>
      <c r="AC28" s="1467">
        <v>1</v>
      </c>
    </row>
    <row r="29" spans="1:29" s="1167" customFormat="1" ht="20.25">
      <c r="A29" s="554"/>
      <c r="B29" s="2357" t="s">
        <v>2263</v>
      </c>
      <c r="C29" s="550" t="str">
        <f>估价对象房地状况!C21</f>
        <v>一般</v>
      </c>
      <c r="D29" s="540">
        <v>100</v>
      </c>
      <c r="E29" s="541" t="s">
        <v>3362</v>
      </c>
      <c r="F29" s="536">
        <f>SUMIF(101:101,E30,102:102)-SUMIF(101:101,C30,102:102)+100</f>
        <v>100</v>
      </c>
      <c r="G29" s="539" t="s">
        <v>3362</v>
      </c>
      <c r="H29" s="536">
        <f>SUMIF(101:101,G30,102:102)-SUMIF(101:101,C30,102:102)+100</f>
        <v>100</v>
      </c>
      <c r="I29" s="541" t="s">
        <v>3362</v>
      </c>
      <c r="J29" s="536">
        <f>SUMIF(101:101,I30,102:102)-SUMIF(101:101,C30,102:102)+100</f>
        <v>100</v>
      </c>
      <c r="K29" s="512">
        <v>2</v>
      </c>
      <c r="L29" s="1971"/>
      <c r="M29" s="1968"/>
      <c r="N29" s="1968"/>
      <c r="O29" s="1973"/>
      <c r="P29" s="3754"/>
      <c r="Q29" s="1098" t="str">
        <f t="shared" si="8"/>
        <v>公共配套设施</v>
      </c>
      <c r="R29" s="1459" t="s">
        <v>8</v>
      </c>
      <c r="S29" s="1460">
        <f>F29</f>
        <v>100</v>
      </c>
      <c r="T29" s="1459" t="s">
        <v>8</v>
      </c>
      <c r="U29" s="1460">
        <f>H29</f>
        <v>100</v>
      </c>
      <c r="V29" s="1459" t="s">
        <v>8</v>
      </c>
      <c r="W29" s="1460">
        <f>J29</f>
        <v>100</v>
      </c>
      <c r="X29" s="1461"/>
      <c r="Y29" s="3754"/>
      <c r="Z29" s="1097" t="str">
        <f>Q29</f>
        <v>公共配套设施</v>
      </c>
      <c r="AA29" s="1467">
        <f>D29/F29</f>
        <v>1</v>
      </c>
      <c r="AB29" s="1467">
        <f>D29/H29</f>
        <v>1</v>
      </c>
      <c r="AC29" s="1467">
        <f>D29/J29</f>
        <v>1</v>
      </c>
    </row>
    <row r="30" spans="1:29" s="1167" customFormat="1" ht="20.25">
      <c r="A30" s="554"/>
      <c r="B30" s="543"/>
      <c r="C30" s="556" t="s">
        <v>3362</v>
      </c>
      <c r="D30" s="534"/>
      <c r="E30" s="553" t="s">
        <v>3362</v>
      </c>
      <c r="F30" s="532"/>
      <c r="G30" s="531" t="s">
        <v>3362</v>
      </c>
      <c r="H30" s="532"/>
      <c r="I30" s="553" t="s">
        <v>3362</v>
      </c>
      <c r="J30" s="532"/>
      <c r="K30" s="508"/>
      <c r="L30" s="1971"/>
      <c r="M30" s="1968"/>
      <c r="N30" s="1968"/>
      <c r="O30" s="1973"/>
      <c r="P30" s="3754"/>
      <c r="Q30" s="1098"/>
      <c r="R30" s="1459"/>
      <c r="S30" s="1460"/>
      <c r="T30" s="1459"/>
      <c r="U30" s="1460"/>
      <c r="V30" s="1459"/>
      <c r="W30" s="1460"/>
      <c r="X30" s="1461"/>
      <c r="Y30" s="3754"/>
      <c r="Z30" s="1097"/>
      <c r="AA30" s="1467">
        <v>1</v>
      </c>
      <c r="AB30" s="1467">
        <v>1</v>
      </c>
      <c r="AC30" s="1467">
        <v>1</v>
      </c>
    </row>
    <row r="31" spans="1:29" s="1167" customFormat="1" ht="20.25">
      <c r="A31" s="554"/>
      <c r="B31" s="2357" t="s">
        <v>2264</v>
      </c>
      <c r="C31" s="550" t="str">
        <f>估价对象房地状况!C22</f>
        <v>七通</v>
      </c>
      <c r="D31" s="540">
        <v>100</v>
      </c>
      <c r="E31" s="541" t="s">
        <v>3366</v>
      </c>
      <c r="F31" s="536">
        <f>SUMIF(103:103,E32,104:104)-SUMIF(103:103,C32,104:104)+100</f>
        <v>100</v>
      </c>
      <c r="G31" s="539" t="s">
        <v>3366</v>
      </c>
      <c r="H31" s="536">
        <f>SUMIF(103:103,G32,104:104)-SUMIF(103:103,C32,104:104)+100</f>
        <v>100</v>
      </c>
      <c r="I31" s="541" t="s">
        <v>3366</v>
      </c>
      <c r="J31" s="536">
        <f>SUMIF(103:103,I32,104:104)-SUMIF(103:103,C32,104:104)+100</f>
        <v>100</v>
      </c>
      <c r="K31" s="512">
        <v>1</v>
      </c>
      <c r="L31" s="1971"/>
      <c r="M31" s="1968"/>
      <c r="N31" s="1968"/>
      <c r="O31" s="1973"/>
      <c r="P31" s="3754"/>
      <c r="Q31" s="2350" t="str">
        <f t="shared" ref="Q31" si="9">B31</f>
        <v>基础设施水平</v>
      </c>
      <c r="R31" s="1459" t="s">
        <v>8</v>
      </c>
      <c r="S31" s="1460">
        <f>F31</f>
        <v>100</v>
      </c>
      <c r="T31" s="1459" t="s">
        <v>8</v>
      </c>
      <c r="U31" s="1460">
        <f>H31</f>
        <v>100</v>
      </c>
      <c r="V31" s="1459" t="s">
        <v>8</v>
      </c>
      <c r="W31" s="1460">
        <f>J31</f>
        <v>100</v>
      </c>
      <c r="X31" s="1461"/>
      <c r="Y31" s="3754"/>
      <c r="Z31" s="2349" t="str">
        <f>Q31</f>
        <v>基础设施水平</v>
      </c>
      <c r="AA31" s="1467">
        <f>D31/F31</f>
        <v>1</v>
      </c>
      <c r="AB31" s="1467">
        <f>D31/H31</f>
        <v>1</v>
      </c>
      <c r="AC31" s="1467">
        <f>D31/J31</f>
        <v>1</v>
      </c>
    </row>
    <row r="32" spans="1:29" s="1167" customFormat="1" ht="21" thickBot="1">
      <c r="A32" s="554"/>
      <c r="B32" s="543"/>
      <c r="C32" s="556" t="s">
        <v>3366</v>
      </c>
      <c r="D32" s="534"/>
      <c r="E32" s="2358" t="s">
        <v>3366</v>
      </c>
      <c r="F32" s="532"/>
      <c r="G32" s="556" t="s">
        <v>3366</v>
      </c>
      <c r="H32" s="532"/>
      <c r="I32" s="556" t="s">
        <v>3366</v>
      </c>
      <c r="J32" s="532"/>
      <c r="K32" s="508"/>
      <c r="L32" s="1971"/>
      <c r="M32" s="1968"/>
      <c r="N32" s="1968"/>
      <c r="O32" s="1973"/>
      <c r="P32" s="3754"/>
      <c r="Q32" s="2350"/>
      <c r="R32" s="1459"/>
      <c r="S32" s="1460"/>
      <c r="T32" s="1459"/>
      <c r="U32" s="1460"/>
      <c r="V32" s="1459"/>
      <c r="W32" s="1460"/>
      <c r="X32" s="1461"/>
      <c r="Y32" s="3754"/>
      <c r="Z32" s="2349"/>
      <c r="AA32" s="1467">
        <v>1</v>
      </c>
      <c r="AB32" s="1467">
        <v>1</v>
      </c>
      <c r="AC32" s="1467">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754"/>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754"/>
      <c r="Z33" s="1466" t="str">
        <f t="shared" ref="Z33:Z47" si="13">Q33</f>
        <v>临街状况</v>
      </c>
      <c r="AA33" s="1467">
        <f t="shared" si="3"/>
        <v>1</v>
      </c>
      <c r="AB33" s="1467">
        <f t="shared" si="4"/>
        <v>1</v>
      </c>
      <c r="AC33" s="1467">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754"/>
      <c r="Q34" s="1463" t="str">
        <f t="shared" si="8"/>
        <v>毗邻道路的类型与等级</v>
      </c>
      <c r="R34" s="1464" t="s">
        <v>8</v>
      </c>
      <c r="S34" s="1465">
        <f t="shared" si="10"/>
        <v>100</v>
      </c>
      <c r="T34" s="1464" t="s">
        <v>8</v>
      </c>
      <c r="U34" s="1465">
        <f t="shared" si="11"/>
        <v>100</v>
      </c>
      <c r="V34" s="1464" t="s">
        <v>8</v>
      </c>
      <c r="W34" s="1465">
        <f t="shared" si="12"/>
        <v>100</v>
      </c>
      <c r="X34" s="1458"/>
      <c r="Y34" s="3754"/>
      <c r="Z34" s="1466" t="str">
        <f t="shared" si="13"/>
        <v>毗邻道路的类型与等级</v>
      </c>
      <c r="AA34" s="1467">
        <f t="shared" si="3"/>
        <v>1</v>
      </c>
      <c r="AB34" s="1467">
        <f t="shared" si="4"/>
        <v>1</v>
      </c>
      <c r="AC34" s="1467">
        <f t="shared" si="5"/>
        <v>1</v>
      </c>
    </row>
    <row r="35" spans="1:29" ht="20.25" hidden="1">
      <c r="A35" s="509"/>
      <c r="B35" s="543"/>
      <c r="C35" s="531"/>
      <c r="D35" s="534"/>
      <c r="E35" s="553"/>
      <c r="F35" s="532"/>
      <c r="G35" s="531"/>
      <c r="H35" s="532"/>
      <c r="I35" s="553"/>
      <c r="J35" s="532"/>
      <c r="K35" s="558"/>
      <c r="L35" s="1978"/>
      <c r="M35" s="1968"/>
      <c r="N35" s="1968"/>
      <c r="O35" s="1977"/>
      <c r="P35" s="3754"/>
      <c r="Q35" s="1463"/>
      <c r="R35" s="1464"/>
      <c r="S35" s="1465"/>
      <c r="T35" s="1464"/>
      <c r="U35" s="1465"/>
      <c r="V35" s="1464"/>
      <c r="W35" s="1465"/>
      <c r="X35" s="1458"/>
      <c r="Y35" s="3754"/>
      <c r="Z35" s="1466"/>
      <c r="AA35" s="1467">
        <v>1</v>
      </c>
      <c r="AB35" s="1467">
        <v>1</v>
      </c>
      <c r="AC35" s="1467">
        <v>1</v>
      </c>
    </row>
    <row r="36" spans="1:29" ht="20.25" hidden="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754"/>
      <c r="Q36" s="1463" t="str">
        <f t="shared" si="8"/>
        <v>土地级别</v>
      </c>
      <c r="R36" s="1464" t="s">
        <v>8</v>
      </c>
      <c r="S36" s="1465">
        <f t="shared" si="10"/>
        <v>100</v>
      </c>
      <c r="T36" s="1464" t="s">
        <v>8</v>
      </c>
      <c r="U36" s="1465">
        <f t="shared" si="11"/>
        <v>100</v>
      </c>
      <c r="V36" s="1464" t="s">
        <v>8</v>
      </c>
      <c r="W36" s="1465">
        <f t="shared" si="12"/>
        <v>100</v>
      </c>
      <c r="X36" s="1458"/>
      <c r="Y36" s="3754"/>
      <c r="Z36" s="1466" t="str">
        <f t="shared" si="13"/>
        <v>土地级别</v>
      </c>
      <c r="AA36" s="1467">
        <f t="shared" si="3"/>
        <v>1</v>
      </c>
      <c r="AB36" s="1467">
        <f t="shared" si="4"/>
        <v>1</v>
      </c>
      <c r="AC36" s="1467">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754"/>
      <c r="Q37" s="1463">
        <f t="shared" si="8"/>
        <v>111</v>
      </c>
      <c r="R37" s="1464" t="s">
        <v>8</v>
      </c>
      <c r="S37" s="1465">
        <f t="shared" si="10"/>
        <v>100</v>
      </c>
      <c r="T37" s="1464" t="s">
        <v>8</v>
      </c>
      <c r="U37" s="1465">
        <f t="shared" si="11"/>
        <v>100</v>
      </c>
      <c r="V37" s="1464" t="s">
        <v>8</v>
      </c>
      <c r="W37" s="1465">
        <f t="shared" si="12"/>
        <v>100</v>
      </c>
      <c r="X37" s="1458"/>
      <c r="Y37" s="3754"/>
      <c r="Z37" s="1466">
        <f t="shared" si="13"/>
        <v>111</v>
      </c>
      <c r="AA37" s="1467">
        <f t="shared" si="3"/>
        <v>1</v>
      </c>
      <c r="AB37" s="1467">
        <f t="shared" si="4"/>
        <v>1</v>
      </c>
      <c r="AC37" s="1467">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755" t="s">
        <v>533</v>
      </c>
      <c r="Q38" s="1463">
        <f t="shared" si="8"/>
        <v>111</v>
      </c>
      <c r="R38" s="1464" t="s">
        <v>8</v>
      </c>
      <c r="S38" s="1465">
        <f t="shared" si="10"/>
        <v>100</v>
      </c>
      <c r="T38" s="1464" t="s">
        <v>8</v>
      </c>
      <c r="U38" s="1465">
        <f t="shared" si="11"/>
        <v>100</v>
      </c>
      <c r="V38" s="1464" t="s">
        <v>8</v>
      </c>
      <c r="W38" s="1465">
        <f t="shared" si="12"/>
        <v>100</v>
      </c>
      <c r="X38" s="1458"/>
      <c r="Y38" s="3756" t="s">
        <v>533</v>
      </c>
      <c r="Z38" s="1466">
        <f t="shared" si="13"/>
        <v>111</v>
      </c>
      <c r="AA38" s="1467">
        <f t="shared" si="3"/>
        <v>1</v>
      </c>
      <c r="AB38" s="1467">
        <f t="shared" si="4"/>
        <v>1</v>
      </c>
      <c r="AC38" s="1467">
        <f t="shared" si="5"/>
        <v>1</v>
      </c>
    </row>
    <row r="39" spans="1:29" s="1249"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756"/>
      <c r="Q39" s="1463">
        <f t="shared" si="8"/>
        <v>111</v>
      </c>
      <c r="R39" s="1468" t="s">
        <v>8</v>
      </c>
      <c r="S39" s="1469">
        <f t="shared" si="10"/>
        <v>100</v>
      </c>
      <c r="T39" s="1468" t="s">
        <v>8</v>
      </c>
      <c r="U39" s="1469">
        <f t="shared" si="11"/>
        <v>100</v>
      </c>
      <c r="V39" s="1468" t="s">
        <v>8</v>
      </c>
      <c r="W39" s="1469">
        <f t="shared" si="12"/>
        <v>100</v>
      </c>
      <c r="X39" s="1470"/>
      <c r="Y39" s="3756"/>
      <c r="Z39" s="1471">
        <f t="shared" si="13"/>
        <v>111</v>
      </c>
      <c r="AA39" s="1467">
        <f t="shared" si="3"/>
        <v>1</v>
      </c>
      <c r="AB39" s="1467">
        <f t="shared" si="4"/>
        <v>1</v>
      </c>
      <c r="AC39" s="1467">
        <f t="shared" si="5"/>
        <v>1</v>
      </c>
    </row>
    <row r="40" spans="1:29" ht="20.25">
      <c r="A40" s="2546" t="s">
        <v>2469</v>
      </c>
      <c r="B40" s="572" t="s">
        <v>535</v>
      </c>
      <c r="C40" s="573">
        <f>'数据-汇总表'!D3</f>
        <v>30101.08</v>
      </c>
      <c r="D40" s="574">
        <v>100</v>
      </c>
      <c r="E40" s="573">
        <f>土地案例!E2</f>
        <v>28547.88</v>
      </c>
      <c r="F40" s="574">
        <f>LOOKUP(E40,118:118,119:119)-LOOKUP(C40,118:118,119:119)+100</f>
        <v>100</v>
      </c>
      <c r="G40" s="573">
        <f>土地案例!E3</f>
        <v>26197.17</v>
      </c>
      <c r="H40" s="574">
        <f>LOOKUP(G40,118:118,119:119)-LOOKUP(C40,118:118,119:119)+100</f>
        <v>100</v>
      </c>
      <c r="I40" s="575">
        <f>土地案例!E4</f>
        <v>63225.37</v>
      </c>
      <c r="J40" s="574">
        <f>LOOKUP(I40,118:118,119:119)-LOOKUP(C40,118:118,119:119)+100</f>
        <v>101</v>
      </c>
      <c r="K40" s="558"/>
      <c r="L40" s="1978"/>
      <c r="M40" s="1968"/>
      <c r="N40" s="1968"/>
      <c r="O40" s="1977"/>
      <c r="P40" s="3756"/>
      <c r="Q40" s="1463" t="str">
        <f>B40</f>
        <v>宗地面积</v>
      </c>
      <c r="R40" s="1464" t="s">
        <v>8</v>
      </c>
      <c r="S40" s="1465">
        <f t="shared" si="10"/>
        <v>100</v>
      </c>
      <c r="T40" s="1464" t="s">
        <v>8</v>
      </c>
      <c r="U40" s="1465">
        <f t="shared" si="11"/>
        <v>100</v>
      </c>
      <c r="V40" s="1464" t="s">
        <v>8</v>
      </c>
      <c r="W40" s="1465">
        <f t="shared" si="12"/>
        <v>101</v>
      </c>
      <c r="X40" s="1458"/>
      <c r="Y40" s="3756"/>
      <c r="Z40" s="1466" t="str">
        <f t="shared" si="13"/>
        <v>宗地面积</v>
      </c>
      <c r="AA40" s="1467">
        <f t="shared" si="3"/>
        <v>1</v>
      </c>
      <c r="AB40" s="1467">
        <f t="shared" si="4"/>
        <v>1</v>
      </c>
      <c r="AC40" s="1467">
        <f t="shared" si="5"/>
        <v>0.99009900990099009</v>
      </c>
    </row>
    <row r="41" spans="1:29" ht="20.25">
      <c r="A41" s="571"/>
      <c r="B41" s="504" t="s">
        <v>536</v>
      </c>
      <c r="C41" s="576" t="s">
        <v>3547</v>
      </c>
      <c r="D41" s="517">
        <v>100</v>
      </c>
      <c r="E41" s="576" t="s">
        <v>3552</v>
      </c>
      <c r="F41" s="517">
        <f>SUMIF(120:120,E41,121:121)-SUMIF(120:120,C41,121:121)+100</f>
        <v>97</v>
      </c>
      <c r="G41" s="576" t="s">
        <v>3552</v>
      </c>
      <c r="H41" s="517">
        <f>SUMIF(120:120,G41,121:121)-SUMIF(120:120,C41,121:121)+100</f>
        <v>97</v>
      </c>
      <c r="I41" s="576" t="s">
        <v>3547</v>
      </c>
      <c r="J41" s="517">
        <f>SUMIF(120:120,I41,121:121)-SUMIF(120:120,C41,121:121)+100</f>
        <v>100</v>
      </c>
      <c r="K41" s="561">
        <v>3</v>
      </c>
      <c r="L41" s="1978"/>
      <c r="M41" s="1968"/>
      <c r="N41" s="1968"/>
      <c r="O41" s="1977"/>
      <c r="P41" s="3756"/>
      <c r="Q41" s="1463" t="str">
        <f t="shared" ref="Q41:Q47" si="14">B41</f>
        <v>宗地形状</v>
      </c>
      <c r="R41" s="1464" t="s">
        <v>8</v>
      </c>
      <c r="S41" s="1465">
        <f t="shared" si="10"/>
        <v>97</v>
      </c>
      <c r="T41" s="1464" t="s">
        <v>8</v>
      </c>
      <c r="U41" s="1465">
        <f t="shared" si="11"/>
        <v>97</v>
      </c>
      <c r="V41" s="1464" t="s">
        <v>8</v>
      </c>
      <c r="W41" s="1465">
        <f t="shared" si="12"/>
        <v>100</v>
      </c>
      <c r="X41" s="1458"/>
      <c r="Y41" s="3756"/>
      <c r="Z41" s="1466" t="str">
        <f t="shared" si="13"/>
        <v>宗地形状</v>
      </c>
      <c r="AA41" s="1467">
        <f t="shared" si="3"/>
        <v>1.0309278350515463</v>
      </c>
      <c r="AB41" s="1467">
        <f t="shared" si="4"/>
        <v>1.0309278350515463</v>
      </c>
      <c r="AC41" s="1467">
        <f t="shared" si="5"/>
        <v>1</v>
      </c>
    </row>
    <row r="42" spans="1:29" ht="20.25">
      <c r="A42" s="571"/>
      <c r="B42" s="504" t="s">
        <v>537</v>
      </c>
      <c r="C42" s="576" t="s">
        <v>3548</v>
      </c>
      <c r="D42" s="517">
        <v>100</v>
      </c>
      <c r="E42" s="576" t="s">
        <v>3548</v>
      </c>
      <c r="F42" s="517">
        <f>SUMIF(122:122,E42,123:123)-SUMIF(122:122,C42,123:123)+100</f>
        <v>100</v>
      </c>
      <c r="G42" s="576" t="s">
        <v>3548</v>
      </c>
      <c r="H42" s="517">
        <f>SUMIF(122:122,G42,123:123)-SUMIF(122:122,C42,123:123)+100</f>
        <v>100</v>
      </c>
      <c r="I42" s="576" t="s">
        <v>3548</v>
      </c>
      <c r="J42" s="517">
        <f>SUMIF(122:122,I42,123:123)-SUMIF(122:122,C42,123:123)+100</f>
        <v>100</v>
      </c>
      <c r="K42" s="561">
        <v>2</v>
      </c>
      <c r="L42" s="1978"/>
      <c r="M42" s="1968"/>
      <c r="N42" s="1968"/>
      <c r="O42" s="1977"/>
      <c r="P42" s="3756"/>
      <c r="Q42" s="1463" t="str">
        <f t="shared" si="14"/>
        <v>临街宽度及深度</v>
      </c>
      <c r="R42" s="1464" t="s">
        <v>8</v>
      </c>
      <c r="S42" s="1465">
        <f t="shared" si="10"/>
        <v>100</v>
      </c>
      <c r="T42" s="1464" t="s">
        <v>8</v>
      </c>
      <c r="U42" s="1465">
        <f t="shared" si="11"/>
        <v>100</v>
      </c>
      <c r="V42" s="1464" t="s">
        <v>8</v>
      </c>
      <c r="W42" s="1465">
        <f t="shared" si="12"/>
        <v>100</v>
      </c>
      <c r="X42" s="1458"/>
      <c r="Y42" s="3756"/>
      <c r="Z42" s="1466" t="str">
        <f t="shared" si="13"/>
        <v>临街宽度及深度</v>
      </c>
      <c r="AA42" s="1467">
        <f t="shared" si="3"/>
        <v>1</v>
      </c>
      <c r="AB42" s="1467">
        <f t="shared" si="4"/>
        <v>1</v>
      </c>
      <c r="AC42" s="1467">
        <f t="shared" si="5"/>
        <v>1</v>
      </c>
    </row>
    <row r="43" spans="1:29" s="1167" customFormat="1" ht="20.25">
      <c r="A43" s="577"/>
      <c r="B43" s="1764" t="s">
        <v>2208</v>
      </c>
      <c r="C43" s="578" t="s">
        <v>3549</v>
      </c>
      <c r="D43" s="253">
        <v>100</v>
      </c>
      <c r="E43" s="578" t="s">
        <v>3550</v>
      </c>
      <c r="F43" s="517">
        <f>SUMIF(124:124,E43,125:125)-SUMIF(124:124,C43,125:125)+100</f>
        <v>98</v>
      </c>
      <c r="G43" s="578" t="s">
        <v>3551</v>
      </c>
      <c r="H43" s="517">
        <f>SUMIF(124:124,G43,125:125)-SUMIF(124:124,C43,125:125)+100</f>
        <v>97</v>
      </c>
      <c r="I43" s="578" t="s">
        <v>3550</v>
      </c>
      <c r="J43" s="517">
        <f>SUMIF(124:124,I43,125:125)-SUMIF(124:124,C43,125:125)+100</f>
        <v>98</v>
      </c>
      <c r="K43" s="561">
        <v>1</v>
      </c>
      <c r="L43" s="1971"/>
      <c r="M43" s="1968"/>
      <c r="N43" s="1968"/>
      <c r="O43" s="1973"/>
      <c r="P43" s="3756"/>
      <c r="Q43" s="1463" t="str">
        <f t="shared" si="14"/>
        <v>宗地开发程度</v>
      </c>
      <c r="R43" s="1459" t="s">
        <v>8</v>
      </c>
      <c r="S43" s="1460">
        <f t="shared" si="10"/>
        <v>98</v>
      </c>
      <c r="T43" s="1459" t="s">
        <v>8</v>
      </c>
      <c r="U43" s="1460">
        <f t="shared" si="11"/>
        <v>97</v>
      </c>
      <c r="V43" s="1459" t="s">
        <v>8</v>
      </c>
      <c r="W43" s="1460">
        <f t="shared" si="12"/>
        <v>98</v>
      </c>
      <c r="X43" s="1461"/>
      <c r="Y43" s="3756"/>
      <c r="Z43" s="1097" t="str">
        <f t="shared" si="13"/>
        <v>宗地开发程度</v>
      </c>
      <c r="AA43" s="1462">
        <f t="shared" si="3"/>
        <v>1.0204081632653061</v>
      </c>
      <c r="AB43" s="1462">
        <f t="shared" si="4"/>
        <v>1.0309278350515463</v>
      </c>
      <c r="AC43" s="1462">
        <f t="shared" si="5"/>
        <v>1.0204081632653061</v>
      </c>
    </row>
    <row r="44" spans="1:29" ht="21" thickBot="1">
      <c r="A44" s="571"/>
      <c r="B44" s="504" t="s">
        <v>538</v>
      </c>
      <c r="C44" s="576" t="s">
        <v>3367</v>
      </c>
      <c r="D44" s="517">
        <v>100</v>
      </c>
      <c r="E44" s="576" t="s">
        <v>3367</v>
      </c>
      <c r="F44" s="517">
        <f>SUMIF(126:126,E44,127:127)-SUMIF(126:126,C44,127:127)+100</f>
        <v>100</v>
      </c>
      <c r="G44" s="576" t="s">
        <v>3367</v>
      </c>
      <c r="H44" s="517">
        <f>SUMIF(126:126,G44,127:127)-SUMIF(126:126,C44,127:127)+100</f>
        <v>100</v>
      </c>
      <c r="I44" s="576" t="s">
        <v>3367</v>
      </c>
      <c r="J44" s="517">
        <f>SUMIF(126:126,I44,127:127)-SUMIF(126:126,C44,127:127)+100</f>
        <v>100</v>
      </c>
      <c r="K44" s="561">
        <v>2</v>
      </c>
      <c r="L44" s="1978"/>
      <c r="M44" s="1968"/>
      <c r="N44" s="1968"/>
      <c r="O44" s="1977"/>
      <c r="P44" s="3756" t="s">
        <v>533</v>
      </c>
      <c r="Q44" s="1463" t="str">
        <f t="shared" si="14"/>
        <v>工程地质条件</v>
      </c>
      <c r="R44" s="1464" t="s">
        <v>8</v>
      </c>
      <c r="S44" s="1465">
        <f t="shared" si="10"/>
        <v>100</v>
      </c>
      <c r="T44" s="1464" t="s">
        <v>8</v>
      </c>
      <c r="U44" s="1465">
        <f t="shared" si="11"/>
        <v>100</v>
      </c>
      <c r="V44" s="1464" t="s">
        <v>8</v>
      </c>
      <c r="W44" s="1465">
        <f t="shared" si="12"/>
        <v>100</v>
      </c>
      <c r="X44" s="1458"/>
      <c r="Y44" s="3756" t="s">
        <v>533</v>
      </c>
      <c r="Z44" s="1466" t="str">
        <f t="shared" si="13"/>
        <v>工程地质条件</v>
      </c>
      <c r="AA44" s="1467">
        <f t="shared" si="3"/>
        <v>1</v>
      </c>
      <c r="AB44" s="1467">
        <f t="shared" si="4"/>
        <v>1</v>
      </c>
      <c r="AC44" s="1467">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756"/>
      <c r="Q45" s="1463">
        <f t="shared" si="14"/>
        <v>111</v>
      </c>
      <c r="R45" s="1464" t="s">
        <v>8</v>
      </c>
      <c r="S45" s="1465">
        <f t="shared" si="10"/>
        <v>100</v>
      </c>
      <c r="T45" s="1464" t="s">
        <v>8</v>
      </c>
      <c r="U45" s="1465">
        <f t="shared" si="11"/>
        <v>100</v>
      </c>
      <c r="V45" s="1464" t="s">
        <v>8</v>
      </c>
      <c r="W45" s="1465">
        <f t="shared" si="12"/>
        <v>100</v>
      </c>
      <c r="X45" s="1458"/>
      <c r="Y45" s="3756"/>
      <c r="Z45" s="1466">
        <f t="shared" si="13"/>
        <v>111</v>
      </c>
      <c r="AA45" s="1467">
        <f t="shared" si="3"/>
        <v>1</v>
      </c>
      <c r="AB45" s="1467">
        <f t="shared" si="4"/>
        <v>1</v>
      </c>
      <c r="AC45" s="1467">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756"/>
      <c r="Q46" s="1463">
        <f t="shared" si="14"/>
        <v>111</v>
      </c>
      <c r="R46" s="1464" t="s">
        <v>8</v>
      </c>
      <c r="S46" s="1465">
        <f t="shared" si="10"/>
        <v>100</v>
      </c>
      <c r="T46" s="1464" t="s">
        <v>8</v>
      </c>
      <c r="U46" s="1465">
        <f t="shared" si="11"/>
        <v>100</v>
      </c>
      <c r="V46" s="1464" t="s">
        <v>8</v>
      </c>
      <c r="W46" s="1465">
        <f t="shared" si="12"/>
        <v>100</v>
      </c>
      <c r="X46" s="1458"/>
      <c r="Y46" s="3756"/>
      <c r="Z46" s="1466">
        <f t="shared" si="13"/>
        <v>111</v>
      </c>
      <c r="AA46" s="1467">
        <f t="shared" si="3"/>
        <v>1</v>
      </c>
      <c r="AB46" s="1467">
        <f t="shared" si="4"/>
        <v>1</v>
      </c>
      <c r="AC46" s="1467">
        <f t="shared" si="5"/>
        <v>1</v>
      </c>
    </row>
    <row r="47" spans="1:29" s="1249"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756"/>
      <c r="Q47" s="1463">
        <f t="shared" si="14"/>
        <v>111</v>
      </c>
      <c r="R47" s="1468" t="s">
        <v>8</v>
      </c>
      <c r="S47" s="1469">
        <f t="shared" si="10"/>
        <v>100</v>
      </c>
      <c r="T47" s="1468" t="s">
        <v>8</v>
      </c>
      <c r="U47" s="1469">
        <f t="shared" si="11"/>
        <v>100</v>
      </c>
      <c r="V47" s="1468" t="s">
        <v>8</v>
      </c>
      <c r="W47" s="1469">
        <f t="shared" si="12"/>
        <v>100</v>
      </c>
      <c r="X47" s="1470"/>
      <c r="Y47" s="3756"/>
      <c r="Z47" s="1471">
        <f t="shared" si="13"/>
        <v>111</v>
      </c>
      <c r="AA47" s="1467">
        <f t="shared" si="3"/>
        <v>1</v>
      </c>
      <c r="AB47" s="1467">
        <f t="shared" si="4"/>
        <v>1</v>
      </c>
      <c r="AC47" s="1467">
        <f t="shared" si="5"/>
        <v>1</v>
      </c>
    </row>
    <row r="48" spans="1:29" ht="20.25">
      <c r="A48" s="584" t="s">
        <v>539</v>
      </c>
      <c r="B48" s="585" t="s">
        <v>3377</v>
      </c>
      <c r="C48" s="586" t="s">
        <v>1</v>
      </c>
      <c r="D48" s="587"/>
      <c r="E48" s="588">
        <f>土地案例!O2</f>
        <v>7274</v>
      </c>
      <c r="F48" s="589"/>
      <c r="G48" s="590">
        <f>土地案例!O3</f>
        <v>7920</v>
      </c>
      <c r="H48" s="591"/>
      <c r="I48" s="588">
        <f>土地案例!O4</f>
        <v>7329</v>
      </c>
      <c r="J48" s="591"/>
      <c r="K48" s="1250"/>
      <c r="L48" s="1980"/>
      <c r="M48" s="1968"/>
      <c r="N48" s="1968"/>
      <c r="O48" s="1981"/>
      <c r="P48" s="3720" t="str">
        <f>A48</f>
        <v>成交单价</v>
      </c>
      <c r="Q48" s="3720"/>
      <c r="R48" s="3721">
        <f>E48</f>
        <v>7274</v>
      </c>
      <c r="S48" s="3721"/>
      <c r="T48" s="3721">
        <f>G48</f>
        <v>7920</v>
      </c>
      <c r="U48" s="3721"/>
      <c r="V48" s="3721">
        <f>I48</f>
        <v>7329</v>
      </c>
      <c r="W48" s="3721"/>
      <c r="X48" s="1453"/>
      <c r="Y48" s="1472"/>
      <c r="Z48" s="1453"/>
      <c r="AA48" s="1453"/>
      <c r="AB48" s="1453"/>
      <c r="AC48" s="1453"/>
    </row>
    <row r="49" spans="1:29" ht="21" thickBot="1">
      <c r="A49" s="592" t="s">
        <v>2407</v>
      </c>
      <c r="B49" s="593"/>
      <c r="C49" s="594">
        <f>R50</f>
        <v>6706</v>
      </c>
      <c r="D49" s="2922" t="s">
        <v>2691</v>
      </c>
      <c r="E49" s="594">
        <f>R49</f>
        <v>6441</v>
      </c>
      <c r="F49" s="2923"/>
      <c r="G49" s="595">
        <f>T49</f>
        <v>6965</v>
      </c>
      <c r="H49" s="2923"/>
      <c r="I49" s="594">
        <f>V49</f>
        <v>6713</v>
      </c>
      <c r="J49" s="2923"/>
      <c r="K49" s="2924">
        <f>F49+H49+J49</f>
        <v>0</v>
      </c>
      <c r="L49" s="1980"/>
      <c r="M49" s="1968"/>
      <c r="N49" s="1968"/>
      <c r="O49" s="1981"/>
      <c r="P49" s="3720" t="str">
        <f>A49</f>
        <v>比较价格（元/平方米）</v>
      </c>
      <c r="Q49" s="3720"/>
      <c r="R49" s="3722">
        <f>ROUND(PRODUCT(R48,AA9:AA47),0)</f>
        <v>6441</v>
      </c>
      <c r="S49" s="3722"/>
      <c r="T49" s="3722">
        <f>ROUND(PRODUCT(T48,AB9:AB47),0)</f>
        <v>6965</v>
      </c>
      <c r="U49" s="3722"/>
      <c r="V49" s="3722">
        <f>ROUND(PRODUCT(V48,AC9:AC47),0)</f>
        <v>6713</v>
      </c>
      <c r="W49" s="3722"/>
      <c r="X49" s="1453"/>
      <c r="Y49" s="1453"/>
      <c r="Z49" s="1453"/>
      <c r="AA49" s="1453"/>
      <c r="AB49" s="1453"/>
      <c r="AC49" s="1453"/>
    </row>
    <row r="50" spans="1:29" ht="21" thickBot="1">
      <c r="A50" s="596" t="s">
        <v>2626</v>
      </c>
      <c r="B50" s="597"/>
      <c r="C50" s="598">
        <f>R50</f>
        <v>6706</v>
      </c>
      <c r="D50" s="598"/>
      <c r="E50" s="598"/>
      <c r="F50" s="598"/>
      <c r="G50" s="598"/>
      <c r="H50" s="598"/>
      <c r="I50" s="598"/>
      <c r="J50" s="598"/>
      <c r="K50" s="1251"/>
      <c r="L50" s="1980"/>
      <c r="M50" s="1968"/>
      <c r="N50" s="1968"/>
      <c r="O50" s="1981"/>
      <c r="P50" s="3757" t="str">
        <f>A50</f>
        <v>估价对象XX用房的比较价格（楼面单价，元/平方米）</v>
      </c>
      <c r="Q50" s="3758"/>
      <c r="R50" s="3719">
        <f>ROUND(IF(D49="简单平均",AVERAGE(R49:W49),R49*F49+T49*H49+V49*J49),0)</f>
        <v>6706</v>
      </c>
      <c r="S50" s="3719"/>
      <c r="T50" s="3719"/>
      <c r="U50" s="3719"/>
      <c r="V50" s="3719"/>
      <c r="W50" s="3719"/>
      <c r="X50" s="1453"/>
      <c r="Y50" s="1453"/>
      <c r="Z50" s="1453"/>
      <c r="AA50" s="1453"/>
      <c r="AB50" s="1453"/>
      <c r="AC50" s="1453"/>
    </row>
    <row r="51" spans="1:29" ht="20.25">
      <c r="A51" s="3122"/>
      <c r="B51" s="3122"/>
      <c r="C51" s="3122">
        <f>F58/('数据-汇总表'!D3/666.67)</f>
        <v>257.77720035294413</v>
      </c>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f>IF(E48&lt;E49,E49/E48-1,E48/E49-1)</f>
        <v>0.12932774413910875</v>
      </c>
      <c r="F53" s="602" t="str">
        <f>IF(OR(E53&gt;=0.3,E53&lt;=-0.3),"超过30%","")</f>
        <v/>
      </c>
      <c r="G53" s="601">
        <f>IF(G48&lt;G49,G49/G48-1,G48/G49-1)</f>
        <v>0.13711414213926787</v>
      </c>
      <c r="H53" s="602" t="str">
        <f>IF(OR(G53&gt;=0.3,G53&lt;=-0.3),"超过30%","")</f>
        <v/>
      </c>
      <c r="I53" s="601">
        <f>IF(I48&lt;I49,I49/I48-1,I48/I49-1)</f>
        <v>9.1762252346194062E-2</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f>IF(E49&lt;G49,G49/E49-1,E49/G49-1)</f>
        <v>8.1353827045489879E-2</v>
      </c>
      <c r="F54" s="602" t="str">
        <f>IF(OR(E54&gt;=0.2,E54&lt;=-0.2),"超过20%","")</f>
        <v/>
      </c>
      <c r="G54" s="601">
        <f>IF(G49&lt;I49,I49/G49-1,G49/I49-1)</f>
        <v>3.7539103232533844E-2</v>
      </c>
      <c r="H54" s="602" t="str">
        <f>IF(OR(G54&gt;=0.2,G54&lt;=-0.2),"超过20%","")</f>
        <v/>
      </c>
      <c r="I54" s="601">
        <f>IF(I49&lt;E49,E49/I49-1,I49/E49-1)</f>
        <v>4.2229467473994697E-2</v>
      </c>
      <c r="J54" s="602"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4" customFormat="1" ht="13.5" customHeight="1">
      <c r="A55" s="3123"/>
      <c r="B55" s="3123"/>
      <c r="C55" s="599" t="s">
        <v>542</v>
      </c>
      <c r="D55" s="603"/>
      <c r="E55" s="601">
        <f>IF(E48&lt;G48,G48/E48-1,E48/G48-1)</f>
        <v>8.8809458344789594E-2</v>
      </c>
      <c r="F55" s="602" t="str">
        <f>IF(OR(E55&gt;=0.3,E55&lt;=-0.3),"超过30%","")</f>
        <v/>
      </c>
      <c r="G55" s="601">
        <f>IF(G48&lt;I48,I48/G48-1,G48/I48-1)</f>
        <v>8.0638559148587863E-2</v>
      </c>
      <c r="H55" s="602" t="str">
        <f>IF(OR(G55&gt;=0.3,G55&lt;=-0.3),"超过30%","")</f>
        <v/>
      </c>
      <c r="I55" s="601">
        <f>IF(I48&lt;E48,E48/I48-1,I48/E48-1)</f>
        <v>7.5611767940610974E-3</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4" customFormat="1" ht="21" thickBot="1">
      <c r="A56" s="1982"/>
      <c r="B56" s="1983"/>
      <c r="C56" s="1986"/>
      <c r="D56" s="1982"/>
      <c r="E56" s="1982"/>
      <c r="F56" s="1982"/>
      <c r="G56" s="1982"/>
      <c r="H56" s="1982"/>
      <c r="I56" s="1982"/>
      <c r="J56" s="1982"/>
      <c r="K56" s="3126"/>
      <c r="L56" s="1988"/>
      <c r="M56" s="1968"/>
      <c r="N56" s="1968"/>
      <c r="O56" s="3520" t="s">
        <v>3588</v>
      </c>
      <c r="P56" s="3520" t="s">
        <v>3589</v>
      </c>
      <c r="Q56" s="3520" t="s">
        <v>3590</v>
      </c>
      <c r="R56" s="3520" t="s">
        <v>3591</v>
      </c>
      <c r="S56" s="1982"/>
      <c r="T56" s="1982"/>
      <c r="U56" s="1982"/>
      <c r="V56" s="1982"/>
      <c r="W56" s="1982"/>
      <c r="X56" s="1982"/>
      <c r="Y56" s="1982"/>
      <c r="Z56" s="1982"/>
      <c r="AA56" s="1982"/>
      <c r="AB56" s="1982"/>
      <c r="AC56" s="1982"/>
    </row>
    <row r="57" spans="1:29" ht="26.25" customHeight="1">
      <c r="A57" s="604" t="s">
        <v>543</v>
      </c>
      <c r="B57" s="605" t="s">
        <v>544</v>
      </c>
      <c r="C57" s="1454" t="s">
        <v>1524</v>
      </c>
      <c r="D57" s="2061" t="s">
        <v>2080</v>
      </c>
      <c r="E57" s="606" t="s">
        <v>545</v>
      </c>
      <c r="F57" s="607" t="s">
        <v>546</v>
      </c>
      <c r="G57" s="3746" t="s">
        <v>2069</v>
      </c>
      <c r="H57" s="3747"/>
      <c r="I57" s="1450" t="s">
        <v>1522</v>
      </c>
      <c r="J57" s="1450">
        <f>项目基本情况!F41</f>
        <v>0</v>
      </c>
      <c r="K57" s="1989" t="s">
        <v>1523</v>
      </c>
      <c r="L57" s="1985"/>
      <c r="M57" s="1981"/>
      <c r="N57" s="1981" t="str">
        <f>资料!A72</f>
        <v>A-03</v>
      </c>
      <c r="O57" s="1981">
        <f>指标!D49</f>
        <v>2000</v>
      </c>
      <c r="P57" s="1981">
        <v>0</v>
      </c>
      <c r="Q57" s="1981">
        <f>ROUND(O57*$B$58/10000,0)</f>
        <v>1341</v>
      </c>
      <c r="R57" s="1981">
        <f ca="1">ROUND(Q57/$Q$61*结果表!$G$19,0)-结果表!D27</f>
        <v>1956</v>
      </c>
      <c r="S57" s="1981"/>
      <c r="T57" s="1981"/>
      <c r="U57" s="1981"/>
      <c r="V57" s="1981"/>
      <c r="W57" s="1981"/>
      <c r="X57" s="1981"/>
      <c r="Y57" s="1981"/>
      <c r="Z57" s="1981"/>
      <c r="AA57" s="1981"/>
      <c r="AB57" s="1981"/>
      <c r="AC57" s="1981"/>
    </row>
    <row r="58" spans="1:29" s="1255" customFormat="1">
      <c r="A58" s="608" t="s">
        <v>547</v>
      </c>
      <c r="B58" s="609">
        <f>C50</f>
        <v>6706</v>
      </c>
      <c r="C58" s="610">
        <v>1</v>
      </c>
      <c r="D58" s="2062">
        <v>1</v>
      </c>
      <c r="E58" s="610">
        <f>'数据-汇总表'!E8+'数据-汇总表'!E9</f>
        <v>17356.77</v>
      </c>
      <c r="F58" s="611">
        <f t="shared" ref="F58:F66" si="15">ROUND(B58*E58/10000,0)</f>
        <v>11639</v>
      </c>
      <c r="G58" s="3748"/>
      <c r="H58" s="3749"/>
      <c r="I58" s="1451">
        <v>1</v>
      </c>
      <c r="J58" s="1451">
        <v>1</v>
      </c>
      <c r="K58" s="3127"/>
      <c r="L58" s="1990"/>
      <c r="M58" s="1990"/>
      <c r="N58" s="1981" t="str">
        <f>资料!A73</f>
        <v>D-03</v>
      </c>
      <c r="O58" s="1981">
        <f>指标!D50</f>
        <v>2600</v>
      </c>
      <c r="P58" s="1990">
        <v>0</v>
      </c>
      <c r="Q58" s="1981">
        <f>ROUND(O58*$B$58/10000,0)</f>
        <v>1744</v>
      </c>
      <c r="R58" s="1981">
        <f ca="1">ROUND(Q58/$Q$61*结果表!$G$19,0)</f>
        <v>2556</v>
      </c>
      <c r="S58" s="1990"/>
      <c r="T58" s="1990"/>
      <c r="U58" s="1990"/>
      <c r="V58" s="1990"/>
      <c r="W58" s="1990"/>
      <c r="X58" s="1990"/>
      <c r="Y58" s="1990"/>
      <c r="Z58" s="1990"/>
      <c r="AA58" s="1990"/>
      <c r="AB58" s="1990"/>
      <c r="AC58" s="1990"/>
    </row>
    <row r="59" spans="1:29" s="1255" customFormat="1">
      <c r="A59" s="612" t="s">
        <v>548</v>
      </c>
      <c r="B59" s="613">
        <f>ROUND($C$50*C59*D59,0)</f>
        <v>838</v>
      </c>
      <c r="C59" s="372">
        <f t="shared" ref="C59:C66" si="16">IF($C$57="北京市系数",I59,J59)</f>
        <v>0.5</v>
      </c>
      <c r="D59" s="2063">
        <v>0.25</v>
      </c>
      <c r="E59" s="614">
        <v>0</v>
      </c>
      <c r="F59" s="611">
        <f t="shared" si="15"/>
        <v>0</v>
      </c>
      <c r="G59" s="3442" t="s">
        <v>2070</v>
      </c>
      <c r="H59" s="1817" t="str">
        <f>项目基本情况!B43</f>
        <v>十一级</v>
      </c>
      <c r="I59" s="1451">
        <f>SUMIF(修正!$A$57:$A$68,H59,修正!B57:B68)</f>
        <v>0.5</v>
      </c>
      <c r="J59" s="1452"/>
      <c r="K59" s="3127"/>
      <c r="L59" s="1990"/>
      <c r="M59" s="1990"/>
      <c r="N59" s="1981" t="str">
        <f>资料!A74</f>
        <v>D-04</v>
      </c>
      <c r="O59" s="1981">
        <f>指标!D51</f>
        <v>5149.7700000000004</v>
      </c>
      <c r="P59" s="1981">
        <v>0</v>
      </c>
      <c r="Q59" s="1981">
        <f>ROUND(O59*$B$58/10000,0)</f>
        <v>3453</v>
      </c>
      <c r="R59" s="1981">
        <f ca="1">ROUND(Q59/$Q$61*结果表!$G$19,0)</f>
        <v>5061</v>
      </c>
      <c r="S59" s="1990"/>
      <c r="T59" s="1990"/>
      <c r="U59" s="1990"/>
      <c r="V59" s="1990"/>
      <c r="W59" s="1990"/>
      <c r="X59" s="1990"/>
      <c r="Y59" s="1990"/>
      <c r="Z59" s="1990"/>
      <c r="AA59" s="1990"/>
      <c r="AB59" s="1990"/>
      <c r="AC59" s="1990"/>
    </row>
    <row r="60" spans="1:29" s="1255" customFormat="1">
      <c r="A60" s="612" t="s">
        <v>549</v>
      </c>
      <c r="B60" s="613">
        <f t="shared" ref="B60:B66" si="17">ROUND($C$50*C60*D60,0)</f>
        <v>335</v>
      </c>
      <c r="C60" s="372">
        <f t="shared" si="16"/>
        <v>0.2</v>
      </c>
      <c r="D60" s="2063">
        <v>0.25</v>
      </c>
      <c r="E60" s="614">
        <v>0</v>
      </c>
      <c r="F60" s="611">
        <f t="shared" si="15"/>
        <v>0</v>
      </c>
      <c r="G60" s="3443"/>
      <c r="H60" s="1817" t="str">
        <f>项目基本情况!B43</f>
        <v>十一级</v>
      </c>
      <c r="I60" s="1451">
        <f>SUMIF(修正!$A$57:$A$68,H60,修正!C57:C68)</f>
        <v>0.2</v>
      </c>
      <c r="J60" s="1452"/>
      <c r="K60" s="3127"/>
      <c r="L60" s="1990"/>
      <c r="M60" s="1990"/>
      <c r="N60" s="1981" t="str">
        <f>资料!A75</f>
        <v>D-05</v>
      </c>
      <c r="O60" s="1981">
        <f>指标!D52</f>
        <v>7607</v>
      </c>
      <c r="P60" s="1981">
        <v>0</v>
      </c>
      <c r="Q60" s="1981">
        <f>ROUND(O60*$B$58/10000,0)</f>
        <v>5101</v>
      </c>
      <c r="R60" s="1981">
        <f ca="1">ROUND(Q60/$Q$61*结果表!$G$19,0)-结果表!D28</f>
        <v>7430</v>
      </c>
      <c r="S60" s="1990"/>
      <c r="T60" s="1990"/>
      <c r="U60" s="1990"/>
      <c r="V60" s="1990"/>
      <c r="W60" s="1990"/>
      <c r="X60" s="1990"/>
      <c r="Y60" s="1990"/>
      <c r="Z60" s="1990"/>
      <c r="AA60" s="1990"/>
      <c r="AB60" s="1990"/>
      <c r="AC60" s="1990"/>
    </row>
    <row r="61" spans="1:29" s="1255" customFormat="1" ht="12.75">
      <c r="A61" s="612" t="s">
        <v>550</v>
      </c>
      <c r="B61" s="613">
        <f t="shared" si="17"/>
        <v>335</v>
      </c>
      <c r="C61" s="372">
        <f t="shared" si="16"/>
        <v>0.2</v>
      </c>
      <c r="D61" s="2063">
        <v>0.25</v>
      </c>
      <c r="E61" s="614">
        <v>0</v>
      </c>
      <c r="F61" s="611">
        <f t="shared" si="15"/>
        <v>0</v>
      </c>
      <c r="G61" s="3443"/>
      <c r="H61" s="1817" t="str">
        <f>项目基本情况!B43</f>
        <v>十一级</v>
      </c>
      <c r="I61" s="1451">
        <f>SUMIF(修正!$A$57:$A$68,H61,修正!D57:D68)</f>
        <v>0.2</v>
      </c>
      <c r="J61" s="1452"/>
      <c r="K61" s="3127"/>
      <c r="L61" s="1990"/>
      <c r="M61" s="1990"/>
      <c r="N61" s="1990"/>
      <c r="O61" s="1990"/>
      <c r="P61" s="1990"/>
      <c r="Q61" s="3521">
        <f>SUM(Q57:Q60)</f>
        <v>11639</v>
      </c>
      <c r="R61" s="3521">
        <f ca="1">SUM(R57:R60)</f>
        <v>17003</v>
      </c>
      <c r="S61" s="1990"/>
      <c r="T61" s="1990"/>
      <c r="U61" s="1990"/>
      <c r="V61" s="1990"/>
      <c r="W61" s="1990"/>
      <c r="X61" s="1990"/>
      <c r="Y61" s="1990"/>
      <c r="Z61" s="1990"/>
      <c r="AA61" s="1990"/>
      <c r="AB61" s="1990"/>
      <c r="AC61" s="1990"/>
    </row>
    <row r="62" spans="1:29" s="1255" customFormat="1" ht="12.75">
      <c r="A62" s="2165" t="s">
        <v>2115</v>
      </c>
      <c r="B62" s="613">
        <f t="shared" si="17"/>
        <v>0</v>
      </c>
      <c r="C62" s="372">
        <f t="shared" si="16"/>
        <v>0</v>
      </c>
      <c r="D62" s="2063">
        <v>0.25</v>
      </c>
      <c r="E62" s="616">
        <f>'数据-汇总表'!E11</f>
        <v>0</v>
      </c>
      <c r="F62" s="611">
        <f t="shared" si="15"/>
        <v>0</v>
      </c>
      <c r="G62" s="1814" t="s">
        <v>2071</v>
      </c>
      <c r="H62" s="1817">
        <f>项目基本情况!C43</f>
        <v>0</v>
      </c>
      <c r="I62" s="1451">
        <f>SUMIF(修正!$A$57:$A$68,H62,修正!E57:E68)</f>
        <v>0</v>
      </c>
      <c r="J62" s="1452"/>
      <c r="K62" s="3127"/>
      <c r="L62" s="1990"/>
      <c r="M62" s="1990"/>
      <c r="N62" s="1990"/>
      <c r="O62" s="1990"/>
      <c r="P62" s="1990"/>
      <c r="Q62" s="1990"/>
      <c r="R62" s="1990">
        <f ca="1">结果表!C32</f>
        <v>17003</v>
      </c>
      <c r="S62" s="1990"/>
      <c r="T62" s="1990"/>
      <c r="U62" s="1990"/>
      <c r="V62" s="1990"/>
      <c r="W62" s="1990"/>
      <c r="X62" s="1990"/>
      <c r="Y62" s="1990"/>
      <c r="Z62" s="1990"/>
      <c r="AA62" s="1990"/>
      <c r="AB62" s="1990"/>
      <c r="AC62" s="1990"/>
    </row>
    <row r="63" spans="1:29" s="1255" customFormat="1" ht="12.75">
      <c r="A63" s="612" t="s">
        <v>551</v>
      </c>
      <c r="B63" s="613">
        <f t="shared" si="17"/>
        <v>335</v>
      </c>
      <c r="C63" s="372">
        <f t="shared" si="16"/>
        <v>0.2</v>
      </c>
      <c r="D63" s="2063">
        <v>0.25</v>
      </c>
      <c r="E63" s="616">
        <f>'数据-汇总表'!E12</f>
        <v>9368.35</v>
      </c>
      <c r="F63" s="611"/>
      <c r="G63" s="1815" t="s">
        <v>3336</v>
      </c>
      <c r="H63" s="1813" t="str">
        <f>IF(G63="商业",项目基本情况!B43,IF(G63="办公",项目基本情况!C43,IF(G63="住宅",项目基本情况!D43,项目基本情况!E43)))</f>
        <v>十一级</v>
      </c>
      <c r="I63" s="1451">
        <f>SUMIF(修正!$A$57:$A$68,H63,修正!F57:F68)</f>
        <v>0.2</v>
      </c>
      <c r="J63" s="1452"/>
      <c r="K63" s="3127"/>
      <c r="L63" s="1990"/>
      <c r="M63" s="1990"/>
      <c r="N63" s="1990"/>
      <c r="O63" s="1990"/>
      <c r="P63" s="1990"/>
      <c r="Q63" s="1990"/>
      <c r="R63" s="1990"/>
      <c r="S63" s="1990"/>
      <c r="T63" s="1990"/>
      <c r="U63" s="1990"/>
      <c r="V63" s="1990"/>
      <c r="W63" s="1990"/>
      <c r="X63" s="1990"/>
      <c r="Y63" s="1990"/>
      <c r="Z63" s="1990"/>
      <c r="AA63" s="1990"/>
      <c r="AB63" s="1990"/>
      <c r="AC63" s="1990"/>
    </row>
    <row r="64" spans="1:29" s="1255" customFormat="1" ht="12.75">
      <c r="A64" s="612" t="s">
        <v>552</v>
      </c>
      <c r="B64" s="613">
        <f t="shared" si="17"/>
        <v>0</v>
      </c>
      <c r="C64" s="372">
        <f t="shared" si="16"/>
        <v>0</v>
      </c>
      <c r="D64" s="2063">
        <v>0.25</v>
      </c>
      <c r="E64" s="616">
        <f>'数据-汇总表'!E13</f>
        <v>0</v>
      </c>
      <c r="F64" s="611">
        <f t="shared" si="15"/>
        <v>0</v>
      </c>
      <c r="G64" s="1815" t="s">
        <v>902</v>
      </c>
      <c r="H64" s="1813">
        <f>IF(G64="商业",项目基本情况!B43,IF(G64="办公",项目基本情况!C43,IF(G64="住宅",项目基本情况!D43,项目基本情况!E43)))</f>
        <v>0</v>
      </c>
      <c r="I64" s="1451">
        <f>SUMIF(修正!$A$57:$A$68,H64,修正!G57:G68)</f>
        <v>0</v>
      </c>
      <c r="J64" s="1452"/>
      <c r="K64" s="3127"/>
      <c r="L64" s="1990"/>
      <c r="M64" s="1990"/>
      <c r="N64" s="1990"/>
      <c r="O64" s="1990"/>
      <c r="P64" s="1990"/>
      <c r="Q64" s="1990"/>
      <c r="R64" s="1990"/>
      <c r="S64" s="1990"/>
      <c r="T64" s="1990"/>
      <c r="U64" s="1990"/>
      <c r="V64" s="1990"/>
      <c r="W64" s="1990"/>
      <c r="X64" s="1990"/>
      <c r="Y64" s="1990"/>
      <c r="Z64" s="1990"/>
      <c r="AA64" s="1990"/>
      <c r="AB64" s="1990"/>
      <c r="AC64" s="1990"/>
    </row>
    <row r="65" spans="1:29" s="1255" customFormat="1" ht="12.75">
      <c r="A65" s="612" t="s">
        <v>553</v>
      </c>
      <c r="B65" s="613">
        <f t="shared" si="17"/>
        <v>168</v>
      </c>
      <c r="C65" s="372">
        <f t="shared" si="16"/>
        <v>0.1</v>
      </c>
      <c r="D65" s="2063">
        <v>0.25</v>
      </c>
      <c r="E65" s="616">
        <f>'数据-汇总表'!E14</f>
        <v>0</v>
      </c>
      <c r="F65" s="611">
        <f t="shared" si="15"/>
        <v>0</v>
      </c>
      <c r="G65" s="1814" t="s">
        <v>2070</v>
      </c>
      <c r="H65" s="1817" t="str">
        <f>项目基本情况!B43</f>
        <v>十一级</v>
      </c>
      <c r="I65" s="1451">
        <f>SUMIF(修正!$A$57:$A$68,H65,修正!G57:G68)</f>
        <v>0.1</v>
      </c>
      <c r="J65" s="1452"/>
      <c r="K65" s="3127"/>
      <c r="L65" s="1990"/>
      <c r="M65" s="1990"/>
      <c r="N65" s="1990"/>
      <c r="O65" s="1990"/>
      <c r="P65" s="1990"/>
      <c r="Q65" s="1990"/>
      <c r="R65" s="1990"/>
      <c r="S65" s="1990"/>
      <c r="T65" s="1990"/>
      <c r="U65" s="1990"/>
      <c r="V65" s="1990"/>
      <c r="W65" s="1990"/>
      <c r="X65" s="1990"/>
      <c r="Y65" s="1990"/>
      <c r="Z65" s="1990"/>
      <c r="AA65" s="1990"/>
      <c r="AB65" s="1990"/>
      <c r="AC65" s="1990"/>
    </row>
    <row r="66" spans="1:29" s="1255" customFormat="1" ht="13.5" thickBot="1">
      <c r="A66" s="612" t="s">
        <v>554</v>
      </c>
      <c r="B66" s="613">
        <f t="shared" si="17"/>
        <v>0</v>
      </c>
      <c r="C66" s="372">
        <f t="shared" si="16"/>
        <v>0</v>
      </c>
      <c r="D66" s="2063">
        <v>0.25</v>
      </c>
      <c r="E66" s="616">
        <f>'数据-汇总表'!E15</f>
        <v>0</v>
      </c>
      <c r="F66" s="611">
        <f t="shared" si="15"/>
        <v>0</v>
      </c>
      <c r="G66" s="1816" t="s">
        <v>2071</v>
      </c>
      <c r="H66" s="1818">
        <f>项目基本情况!C43</f>
        <v>0</v>
      </c>
      <c r="I66" s="1451">
        <f>SUMIF(修正!$A$57:$A$68,H66,修正!G57:G68)</f>
        <v>0</v>
      </c>
      <c r="J66" s="1452"/>
      <c r="K66" s="3127"/>
      <c r="L66" s="1990"/>
      <c r="M66" s="1990"/>
      <c r="N66" s="1990"/>
      <c r="O66" s="1990"/>
      <c r="P66" s="1990"/>
      <c r="Q66" s="1990"/>
      <c r="R66" s="1990"/>
      <c r="S66" s="1990"/>
      <c r="T66" s="1990"/>
      <c r="U66" s="1990"/>
      <c r="V66" s="1990"/>
      <c r="W66" s="1990"/>
      <c r="X66" s="1990"/>
      <c r="Y66" s="1990"/>
      <c r="Z66" s="1990"/>
      <c r="AA66" s="1990"/>
      <c r="AB66" s="1990"/>
      <c r="AC66" s="1990"/>
    </row>
    <row r="67" spans="1:29" s="1255" customFormat="1" ht="13.5" thickBot="1">
      <c r="A67" s="617" t="s">
        <v>555</v>
      </c>
      <c r="B67" s="618" t="s">
        <v>17</v>
      </c>
      <c r="C67" s="618" t="s">
        <v>18</v>
      </c>
      <c r="D67" s="618" t="s">
        <v>2081</v>
      </c>
      <c r="E67" s="618">
        <f>IF(B48="楼面地价",SUM(E58:E66),'数据-汇总表'!D3)</f>
        <v>26725.120000000003</v>
      </c>
      <c r="F67" s="619">
        <f>IF(B48="楼面地价",SUM(F58:F66),ROUND(C50*E67/10000,0))</f>
        <v>11639</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2022-5-1</v>
      </c>
      <c r="D69" s="2438">
        <f>EDATE(C69,-3)</f>
        <v>44593</v>
      </c>
      <c r="E69" s="2438">
        <f t="shared" ref="E69:N69" si="18">EDATE(D69,-3)</f>
        <v>44501</v>
      </c>
      <c r="F69" s="2438">
        <f t="shared" si="18"/>
        <v>44409</v>
      </c>
      <c r="G69" s="2438">
        <f t="shared" si="18"/>
        <v>44317</v>
      </c>
      <c r="H69" s="2438">
        <f t="shared" si="18"/>
        <v>44228</v>
      </c>
      <c r="I69" s="2438">
        <f t="shared" si="18"/>
        <v>44136</v>
      </c>
      <c r="J69" s="2438">
        <f t="shared" si="18"/>
        <v>44044</v>
      </c>
      <c r="K69" s="2438">
        <f t="shared" si="18"/>
        <v>43952</v>
      </c>
      <c r="L69" s="2438">
        <f t="shared" si="18"/>
        <v>43862</v>
      </c>
      <c r="M69" s="2438">
        <f t="shared" si="18"/>
        <v>43770</v>
      </c>
      <c r="N69" s="2438">
        <f t="shared" si="18"/>
        <v>43678</v>
      </c>
      <c r="O69" s="1981"/>
      <c r="P69" s="1981"/>
      <c r="Q69" s="1981"/>
      <c r="R69" s="1981"/>
      <c r="S69" s="1981"/>
      <c r="T69" s="1981"/>
      <c r="U69" s="1981"/>
      <c r="V69" s="1981"/>
      <c r="W69" s="1981"/>
      <c r="X69" s="1981"/>
      <c r="Y69" s="1981"/>
      <c r="Z69" s="1981"/>
      <c r="AA69" s="1981"/>
      <c r="AB69" s="1981"/>
      <c r="AC69" s="1981"/>
    </row>
    <row r="70" spans="1:29" ht="21.75" thickBot="1">
      <c r="A70" s="1475" t="s">
        <v>556</v>
      </c>
      <c r="B70" s="1453"/>
      <c r="C70" s="1474"/>
      <c r="D70" s="1474"/>
      <c r="E70" s="1474"/>
      <c r="F70" s="1476"/>
      <c r="G70" s="1476"/>
      <c r="H70" s="1474"/>
      <c r="I70" s="1474"/>
      <c r="J70" s="1474"/>
      <c r="K70" s="1477"/>
      <c r="L70" s="1473"/>
      <c r="M70" s="1474"/>
      <c r="N70" s="1474"/>
      <c r="O70" s="1992"/>
      <c r="P70" s="1992"/>
      <c r="Q70" s="1993"/>
      <c r="R70" s="1981"/>
      <c r="S70" s="1981"/>
      <c r="T70" s="1981"/>
      <c r="U70" s="1981"/>
      <c r="V70" s="1981"/>
      <c r="W70" s="1981"/>
      <c r="X70" s="1981"/>
      <c r="Y70" s="1981"/>
      <c r="Z70" s="1981"/>
      <c r="AA70" s="1981"/>
      <c r="AB70" s="1981"/>
      <c r="AC70" s="1981"/>
    </row>
    <row r="71" spans="1:29" s="1256" customFormat="1" ht="15">
      <c r="A71" s="2343" t="s">
        <v>2247</v>
      </c>
      <c r="B71" s="2344"/>
      <c r="C71" s="2435" t="str">
        <f>YEAR(C69)&amp;"-"&amp;ROUNDUP(MONTH(C69)/3,0)</f>
        <v>2022-2</v>
      </c>
      <c r="D71" s="2440" t="str">
        <f>YEAR(D69)&amp;"-"&amp;ROUNDUP(MONTH(D69)/3,0)</f>
        <v>2022-1</v>
      </c>
      <c r="E71" s="2440" t="str">
        <f t="shared" ref="E71:N71" si="19">YEAR(E69)&amp;"-"&amp;ROUNDUP(MONTH(E69)/3,0)</f>
        <v>2021-4</v>
      </c>
      <c r="F71" s="2440" t="str">
        <f t="shared" si="19"/>
        <v>2021-3</v>
      </c>
      <c r="G71" s="2440" t="str">
        <f t="shared" si="19"/>
        <v>2021-2</v>
      </c>
      <c r="H71" s="2440" t="str">
        <f t="shared" si="19"/>
        <v>2021-1</v>
      </c>
      <c r="I71" s="2440" t="str">
        <f t="shared" si="19"/>
        <v>2020-4</v>
      </c>
      <c r="J71" s="2440" t="str">
        <f t="shared" si="19"/>
        <v>2020-3</v>
      </c>
      <c r="K71" s="2440" t="str">
        <f t="shared" si="19"/>
        <v>2020-2</v>
      </c>
      <c r="L71" s="2440" t="str">
        <f t="shared" si="19"/>
        <v>2020-1</v>
      </c>
      <c r="M71" s="2440" t="str">
        <f t="shared" si="19"/>
        <v>2019-4</v>
      </c>
      <c r="N71" s="2440" t="str">
        <f t="shared" si="19"/>
        <v>2019-3</v>
      </c>
      <c r="O71" s="1994"/>
      <c r="P71" s="1995"/>
      <c r="Q71" s="1996"/>
      <c r="R71" s="1996"/>
      <c r="S71" s="1996"/>
      <c r="T71" s="1996"/>
      <c r="U71" s="1996"/>
      <c r="V71" s="1996"/>
      <c r="W71" s="1996"/>
      <c r="X71" s="1996"/>
      <c r="Y71" s="1996"/>
      <c r="Z71" s="1996"/>
      <c r="AA71" s="1996"/>
      <c r="AB71" s="1996"/>
      <c r="AC71" s="1996"/>
    </row>
    <row r="72" spans="1:29" s="1167" customFormat="1" ht="27" customHeight="1">
      <c r="A72" s="2445" t="s">
        <v>2361</v>
      </c>
      <c r="B72" s="472" t="str">
        <f>"北京市平均增长率"&amp;TEXT(SUMIF(基准地价!N21:N25,A72,基准地价!P21:P25),"0.00%")</f>
        <v>北京市平均增长率1.60%</v>
      </c>
      <c r="C72" s="866">
        <v>100</v>
      </c>
      <c r="D72" s="705">
        <f t="shared" ref="D72:J72" si="20">C72-0.5</f>
        <v>99.5</v>
      </c>
      <c r="E72" s="705">
        <f t="shared" si="20"/>
        <v>99</v>
      </c>
      <c r="F72" s="705">
        <f t="shared" si="20"/>
        <v>98.5</v>
      </c>
      <c r="G72" s="705">
        <f t="shared" si="20"/>
        <v>98</v>
      </c>
      <c r="H72" s="705">
        <f t="shared" si="20"/>
        <v>97.5</v>
      </c>
      <c r="I72" s="705">
        <f t="shared" si="20"/>
        <v>97</v>
      </c>
      <c r="J72" s="705">
        <f t="shared" si="20"/>
        <v>96.5</v>
      </c>
      <c r="K72" s="705"/>
      <c r="L72" s="705"/>
      <c r="M72" s="2433"/>
      <c r="N72" s="2434"/>
      <c r="O72" s="1997"/>
      <c r="P72" s="1993"/>
      <c r="Q72" s="1859"/>
      <c r="R72" s="1859"/>
      <c r="S72" s="1859"/>
      <c r="T72" s="1859"/>
      <c r="U72" s="1859"/>
      <c r="V72" s="1859"/>
      <c r="W72" s="1859"/>
      <c r="X72" s="1859"/>
      <c r="Y72" s="1859"/>
      <c r="Z72" s="1859"/>
      <c r="AA72" s="1859"/>
      <c r="AB72" s="1859"/>
      <c r="AC72" s="1859"/>
    </row>
    <row r="73" spans="1:29" s="1167" customFormat="1" ht="15" customHeight="1" thickBot="1">
      <c r="A73" s="2436" t="s">
        <v>2360</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7"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7"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461" t="s">
        <v>3305</v>
      </c>
      <c r="D76" s="3461" t="s">
        <v>3560</v>
      </c>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v>100</v>
      </c>
      <c r="D77" s="646">
        <v>80</v>
      </c>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0（含）-0.5</v>
      </c>
      <c r="D80" s="657" t="str">
        <f t="shared" ref="D80:L80" si="21">D81&amp;"（含）"&amp;"-"&amp;E81</f>
        <v>0.5（含）-1</v>
      </c>
      <c r="E80" s="657" t="str">
        <f t="shared" si="21"/>
        <v>1（含）-1.5</v>
      </c>
      <c r="F80" s="657" t="str">
        <f t="shared" si="21"/>
        <v>1.5（含）-2</v>
      </c>
      <c r="G80" s="657" t="str">
        <f t="shared" si="21"/>
        <v>2（含）-2.5</v>
      </c>
      <c r="H80" s="657" t="str">
        <f t="shared" si="21"/>
        <v>2.5（含）-3</v>
      </c>
      <c r="I80" s="657" t="str">
        <f t="shared" si="21"/>
        <v>3（含）-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0.5</v>
      </c>
      <c r="E81" s="518">
        <v>1</v>
      </c>
      <c r="F81" s="518">
        <v>1.5</v>
      </c>
      <c r="G81" s="518">
        <v>2</v>
      </c>
      <c r="H81" s="518">
        <v>2.5</v>
      </c>
      <c r="I81" s="518">
        <v>3</v>
      </c>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96</v>
      </c>
      <c r="E82" s="654">
        <f t="shared" si="22"/>
        <v>92</v>
      </c>
      <c r="F82" s="654">
        <f t="shared" si="22"/>
        <v>88</v>
      </c>
      <c r="G82" s="654">
        <f t="shared" si="22"/>
        <v>84</v>
      </c>
      <c r="H82" s="654">
        <f t="shared" si="22"/>
        <v>80</v>
      </c>
      <c r="I82" s="654">
        <f t="shared" si="22"/>
        <v>76</v>
      </c>
      <c r="J82" s="654">
        <f t="shared" si="22"/>
        <v>72</v>
      </c>
      <c r="K82" s="654">
        <f t="shared" si="22"/>
        <v>68</v>
      </c>
      <c r="L82" s="654">
        <f t="shared" si="22"/>
        <v>64</v>
      </c>
      <c r="M82" s="654">
        <f t="shared" si="22"/>
        <v>60</v>
      </c>
      <c r="N82" s="2001"/>
      <c r="O82" s="2001"/>
      <c r="P82" s="2000"/>
      <c r="Q82" s="1993"/>
      <c r="R82" s="1981"/>
      <c r="S82" s="1981"/>
      <c r="T82" s="1981"/>
      <c r="U82" s="1981"/>
      <c r="V82" s="1981"/>
      <c r="W82" s="1981"/>
      <c r="X82" s="1981"/>
      <c r="Y82" s="1981"/>
      <c r="Z82" s="1981"/>
      <c r="AA82" s="1981"/>
      <c r="AB82" s="1981"/>
      <c r="AC82" s="1981"/>
    </row>
    <row r="83" spans="1:29" s="1249" customFormat="1" ht="15.75" thickTop="1">
      <c r="A83" s="662"/>
      <c r="B83" s="648" t="str">
        <f>B14</f>
        <v>配建</v>
      </c>
      <c r="C83" s="663"/>
      <c r="D83" s="1283"/>
      <c r="E83" s="1284"/>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9"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9" customFormat="1" ht="15.75" thickTop="1">
      <c r="A85" s="662"/>
      <c r="B85" s="648" t="str">
        <f>B15</f>
        <v>自持</v>
      </c>
      <c r="C85" s="3470" t="s">
        <v>3565</v>
      </c>
      <c r="D85" s="3470" t="s">
        <v>3566</v>
      </c>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9" customFormat="1" ht="15.75" thickBot="1">
      <c r="A86" s="662"/>
      <c r="B86" s="653"/>
      <c r="C86" s="667">
        <v>95</v>
      </c>
      <c r="D86" s="667">
        <v>100</v>
      </c>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9"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9"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98</v>
      </c>
      <c r="E92" s="654">
        <f>D92-$K19</f>
        <v>96</v>
      </c>
      <c r="F92" s="654">
        <f>E92-$K19</f>
        <v>94</v>
      </c>
      <c r="G92" s="654">
        <f>F92-$K19</f>
        <v>92</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98</v>
      </c>
      <c r="E96" s="654">
        <f>D96-$K23</f>
        <v>96</v>
      </c>
      <c r="F96" s="654">
        <f>E96-$K23</f>
        <v>94</v>
      </c>
      <c r="G96" s="654">
        <f>F96-$K23</f>
        <v>92</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7"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7"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9" customFormat="1" ht="15.75" thickTop="1">
      <c r="A101" s="662"/>
      <c r="B101" s="1765" t="s">
        <v>2263</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9"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9" customFormat="1" ht="15.75" thickTop="1">
      <c r="A103" s="662"/>
      <c r="B103" s="2363" t="s">
        <v>2265</v>
      </c>
      <c r="C103" s="2364" t="s">
        <v>2266</v>
      </c>
      <c r="D103" s="2364" t="s">
        <v>2267</v>
      </c>
      <c r="E103" s="2364" t="s">
        <v>2268</v>
      </c>
      <c r="F103" s="2364" t="s">
        <v>2269</v>
      </c>
      <c r="G103" s="2364" t="s">
        <v>2270</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6"/>
      <c r="C104" s="654">
        <v>100</v>
      </c>
      <c r="D104" s="654">
        <f>C104-$K31</f>
        <v>99</v>
      </c>
      <c r="E104" s="654">
        <f>D104-$K31</f>
        <v>98</v>
      </c>
      <c r="F104" s="654">
        <f>E104-$K31</f>
        <v>97</v>
      </c>
      <c r="G104" s="654">
        <f>F104-$K31</f>
        <v>96</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9"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9"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0(含)-20000</v>
      </c>
      <c r="D117" s="679" t="str">
        <f t="shared" si="26"/>
        <v>20000(含)-50000</v>
      </c>
      <c r="E117" s="679" t="str">
        <f t="shared" si="26"/>
        <v>50000(含)-100000</v>
      </c>
      <c r="F117" s="679" t="str">
        <f t="shared" si="26"/>
        <v>100000(含)-200000</v>
      </c>
      <c r="G117" s="679" t="str">
        <f t="shared" si="26"/>
        <v>200000(含)-</v>
      </c>
      <c r="H117" s="679" t="str">
        <f t="shared" si="26"/>
        <v>(含)-</v>
      </c>
      <c r="I117" s="679" t="str">
        <f t="shared" si="26"/>
        <v>(含)-</v>
      </c>
      <c r="J117" s="2698" t="str">
        <f t="shared" si="26"/>
        <v>(含)-</v>
      </c>
      <c r="K117" s="2698" t="str">
        <f t="shared" si="26"/>
        <v>(含)-</v>
      </c>
      <c r="L117" s="2699" t="str">
        <f t="shared" si="26"/>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v>20000</v>
      </c>
      <c r="E118" s="705">
        <v>50000</v>
      </c>
      <c r="F118" s="705">
        <v>100000</v>
      </c>
      <c r="G118" s="705">
        <v>200000</v>
      </c>
      <c r="H118" s="705"/>
      <c r="I118" s="705"/>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f>C119+1</f>
        <v>101</v>
      </c>
      <c r="E119" s="701">
        <f t="shared" ref="E119:F119" si="27">D119+1</f>
        <v>102</v>
      </c>
      <c r="F119" s="701">
        <f t="shared" si="27"/>
        <v>103</v>
      </c>
      <c r="G119" s="701"/>
      <c r="H119" s="701"/>
      <c r="I119" s="701"/>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469" t="s">
        <v>3369</v>
      </c>
      <c r="D120" s="3469" t="s">
        <v>3370</v>
      </c>
      <c r="E120" s="3469" t="s">
        <v>3371</v>
      </c>
      <c r="F120" s="3469" t="s">
        <v>3372</v>
      </c>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8">C121-$K41</f>
        <v>97</v>
      </c>
      <c r="E121" s="654">
        <f t="shared" si="28"/>
        <v>94</v>
      </c>
      <c r="F121" s="654">
        <f t="shared" si="28"/>
        <v>91</v>
      </c>
      <c r="G121" s="654">
        <f t="shared" si="28"/>
        <v>88</v>
      </c>
      <c r="H121" s="654">
        <f t="shared" si="28"/>
        <v>85</v>
      </c>
      <c r="I121" s="654">
        <f t="shared" si="28"/>
        <v>82</v>
      </c>
      <c r="J121" s="654">
        <f t="shared" si="28"/>
        <v>79</v>
      </c>
      <c r="K121" s="654">
        <f t="shared" si="28"/>
        <v>76</v>
      </c>
      <c r="L121" s="654">
        <f t="shared" si="28"/>
        <v>73</v>
      </c>
      <c r="M121" s="655">
        <f t="shared" si="28"/>
        <v>70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3470" t="s">
        <v>3373</v>
      </c>
      <c r="D122" s="3470" t="s">
        <v>3374</v>
      </c>
      <c r="E122" s="3470" t="s">
        <v>3375</v>
      </c>
      <c r="F122" s="3469" t="s">
        <v>3376</v>
      </c>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5">
        <f t="shared" si="29"/>
        <v>80</v>
      </c>
      <c r="N123" s="2001"/>
      <c r="O123" s="2001"/>
      <c r="P123" s="2000"/>
      <c r="Q123" s="1993"/>
      <c r="R123" s="1981"/>
      <c r="S123" s="1981"/>
      <c r="T123" s="1981"/>
      <c r="U123" s="1981"/>
      <c r="V123" s="1981"/>
      <c r="W123" s="1981"/>
      <c r="X123" s="1981"/>
      <c r="Y123" s="1981"/>
      <c r="Z123" s="1981"/>
      <c r="AA123" s="1981"/>
      <c r="AB123" s="1981"/>
      <c r="AC123" s="1981"/>
    </row>
    <row r="124" spans="1:29" s="1249" customFormat="1" ht="15" thickTop="1">
      <c r="A124" s="703"/>
      <c r="B124" s="1765" t="s">
        <v>2209</v>
      </c>
      <c r="C124" s="1283" t="str">
        <f>C103</f>
        <v>七通</v>
      </c>
      <c r="D124" s="1283" t="str">
        <f>D103</f>
        <v>六通</v>
      </c>
      <c r="E124" s="1283" t="str">
        <f>E103</f>
        <v>五通</v>
      </c>
      <c r="F124" s="1283" t="str">
        <f>F103</f>
        <v>四通</v>
      </c>
      <c r="G124" s="1283" t="str">
        <f>G103</f>
        <v>三通</v>
      </c>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9" customFormat="1" ht="15.75" thickBot="1">
      <c r="A125" s="662"/>
      <c r="B125" s="653"/>
      <c r="C125" s="654">
        <v>100</v>
      </c>
      <c r="D125" s="654">
        <f t="shared" ref="D125:M125" si="30">C125-$K43</f>
        <v>99</v>
      </c>
      <c r="E125" s="654">
        <f t="shared" si="30"/>
        <v>98</v>
      </c>
      <c r="F125" s="654">
        <f t="shared" si="30"/>
        <v>97</v>
      </c>
      <c r="G125" s="654">
        <f t="shared" si="30"/>
        <v>96</v>
      </c>
      <c r="H125" s="654">
        <f t="shared" si="30"/>
        <v>95</v>
      </c>
      <c r="I125" s="654">
        <f t="shared" si="30"/>
        <v>94</v>
      </c>
      <c r="J125" s="654">
        <f t="shared" si="30"/>
        <v>93</v>
      </c>
      <c r="K125" s="654">
        <f t="shared" si="30"/>
        <v>92</v>
      </c>
      <c r="L125" s="654">
        <f t="shared" si="30"/>
        <v>91</v>
      </c>
      <c r="M125" s="655">
        <f t="shared" si="30"/>
        <v>90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t="str">
        <f>C101</f>
        <v>好</v>
      </c>
      <c r="D126" s="663" t="str">
        <f>D101</f>
        <v>较好</v>
      </c>
      <c r="E126" s="663" t="str">
        <f>E101</f>
        <v>一般</v>
      </c>
      <c r="F126" s="663" t="str">
        <f>F101</f>
        <v>较差</v>
      </c>
      <c r="G126" s="663" t="str">
        <f>G101</f>
        <v>差</v>
      </c>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1">C127-$K44</f>
        <v>98</v>
      </c>
      <c r="E127" s="654">
        <f t="shared" si="31"/>
        <v>96</v>
      </c>
      <c r="F127" s="654">
        <f t="shared" si="31"/>
        <v>94</v>
      </c>
      <c r="G127" s="654">
        <f t="shared" si="31"/>
        <v>92</v>
      </c>
      <c r="H127" s="654">
        <f t="shared" si="31"/>
        <v>90</v>
      </c>
      <c r="I127" s="654">
        <f t="shared" si="31"/>
        <v>88</v>
      </c>
      <c r="J127" s="654">
        <f t="shared" si="31"/>
        <v>86</v>
      </c>
      <c r="K127" s="654">
        <f t="shared" si="31"/>
        <v>84</v>
      </c>
      <c r="L127" s="654">
        <f t="shared" si="31"/>
        <v>82</v>
      </c>
      <c r="M127" s="655">
        <f t="shared" si="31"/>
        <v>80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9"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9"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8"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8"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8"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8"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8"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8"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8"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8"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8"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8"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8"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8"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8"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8"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8"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8"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8"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8"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8"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8"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8"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8"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8"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8"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8"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8"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8"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8"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8"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8"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8"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8"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8"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8"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8"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8"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8"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8"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8"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8"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8"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8"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8"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8"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8"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8"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8"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8"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8"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8"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8"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8"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8"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8"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8"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8"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8"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8"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8"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8"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8"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8"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8"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8"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8"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8"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8"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8"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8"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8"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8"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8"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8"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8"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8"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8"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8"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8"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8"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8"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8"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8"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8"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8"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8"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8"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8"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8"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8"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8"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8"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8"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8"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8"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8"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8"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8"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8"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8"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8"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8"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8"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8"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8"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8"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8"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8"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8"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8"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8"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8"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8"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8"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8"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8"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8"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8"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8"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8"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8"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8"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c r="A3" s="1288"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6"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6"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726" t="s">
        <v>505</v>
      </c>
      <c r="D6" s="3727"/>
      <c r="E6" s="3761" t="s">
        <v>506</v>
      </c>
      <c r="F6" s="3762"/>
      <c r="G6" s="3726" t="s">
        <v>507</v>
      </c>
      <c r="H6" s="3727"/>
      <c r="I6" s="3726" t="s">
        <v>508</v>
      </c>
      <c r="J6" s="3727"/>
      <c r="K6" s="491" t="s">
        <v>509</v>
      </c>
      <c r="L6" s="1969"/>
      <c r="M6" s="1970"/>
      <c r="N6" s="1970"/>
      <c r="O6" s="1970"/>
      <c r="P6" s="3728" t="s">
        <v>510</v>
      </c>
      <c r="Q6" s="3729"/>
      <c r="R6" s="3734" t="s">
        <v>506</v>
      </c>
      <c r="S6" s="3735"/>
      <c r="T6" s="3734" t="s">
        <v>507</v>
      </c>
      <c r="U6" s="3735"/>
      <c r="V6" s="3721" t="s">
        <v>508</v>
      </c>
      <c r="W6" s="3721"/>
      <c r="X6" s="1458"/>
      <c r="Y6" s="3734" t="s">
        <v>510</v>
      </c>
      <c r="Z6" s="3735"/>
      <c r="AA6" s="3723" t="s">
        <v>506</v>
      </c>
      <c r="AB6" s="3724" t="s">
        <v>507</v>
      </c>
      <c r="AC6" s="3723" t="s">
        <v>508</v>
      </c>
    </row>
    <row r="7" spans="1:29" ht="15">
      <c r="A7" s="492"/>
      <c r="B7" s="493"/>
      <c r="C7" s="3742" t="s">
        <v>2620</v>
      </c>
      <c r="D7" s="3743"/>
      <c r="E7" s="3763" t="s">
        <v>2621</v>
      </c>
      <c r="F7" s="3764"/>
      <c r="G7" s="3742" t="s">
        <v>2622</v>
      </c>
      <c r="H7" s="3743"/>
      <c r="I7" s="3742" t="s">
        <v>2623</v>
      </c>
      <c r="J7" s="3743"/>
      <c r="K7" s="491"/>
      <c r="L7" s="1969"/>
      <c r="M7" s="1970"/>
      <c r="N7" s="1970"/>
      <c r="O7" s="1970"/>
      <c r="P7" s="3730"/>
      <c r="Q7" s="3731"/>
      <c r="R7" s="3736"/>
      <c r="S7" s="3737"/>
      <c r="T7" s="3736"/>
      <c r="U7" s="3737"/>
      <c r="V7" s="3721"/>
      <c r="W7" s="3721"/>
      <c r="X7" s="1458"/>
      <c r="Y7" s="3736"/>
      <c r="Z7" s="3737"/>
      <c r="AA7" s="3724"/>
      <c r="AB7" s="3724"/>
      <c r="AC7" s="3724"/>
    </row>
    <row r="8" spans="1:29" ht="15.75" thickBot="1">
      <c r="A8" s="494"/>
      <c r="B8" s="495"/>
      <c r="C8" s="3740" t="s">
        <v>2624</v>
      </c>
      <c r="D8" s="3741"/>
      <c r="E8" s="3759" t="s">
        <v>2624</v>
      </c>
      <c r="F8" s="3760"/>
      <c r="G8" s="3740" t="s">
        <v>2624</v>
      </c>
      <c r="H8" s="3741"/>
      <c r="I8" s="3740" t="s">
        <v>2624</v>
      </c>
      <c r="J8" s="3741"/>
      <c r="K8" s="491" t="s">
        <v>511</v>
      </c>
      <c r="L8" s="1969"/>
      <c r="M8" s="1970"/>
      <c r="N8" s="1970"/>
      <c r="O8" s="1970"/>
      <c r="P8" s="3732"/>
      <c r="Q8" s="3733"/>
      <c r="R8" s="3736"/>
      <c r="S8" s="3737"/>
      <c r="T8" s="3738"/>
      <c r="U8" s="3739"/>
      <c r="V8" s="3721"/>
      <c r="W8" s="3721"/>
      <c r="X8" s="1458"/>
      <c r="Y8" s="3738"/>
      <c r="Z8" s="3739"/>
      <c r="AA8" s="3725"/>
      <c r="AB8" s="3725"/>
      <c r="AC8" s="3725"/>
    </row>
    <row r="9" spans="1:29" s="1167" customFormat="1" ht="15.75" thickBot="1">
      <c r="A9" s="2551"/>
      <c r="B9" s="2558" t="s">
        <v>512</v>
      </c>
      <c r="C9" s="496">
        <f>'数据-取费表'!B2</f>
        <v>44705</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750" t="s">
        <v>513</v>
      </c>
      <c r="Q9" s="3752"/>
      <c r="R9" s="1459" t="s">
        <v>8</v>
      </c>
      <c r="S9" s="1460">
        <f t="shared" ref="S9:S17" si="0">F9</f>
        <v>0</v>
      </c>
      <c r="T9" s="1459" t="s">
        <v>8</v>
      </c>
      <c r="U9" s="1460">
        <f t="shared" ref="U9:U17" si="1">H9</f>
        <v>0</v>
      </c>
      <c r="V9" s="1459" t="s">
        <v>8</v>
      </c>
      <c r="W9" s="1460">
        <f t="shared" ref="W9:W17" si="2">J9</f>
        <v>0</v>
      </c>
      <c r="X9" s="1461"/>
      <c r="Y9" s="3750" t="s">
        <v>513</v>
      </c>
      <c r="Z9" s="3751"/>
      <c r="AA9" s="1462" t="e">
        <f>D9/F9</f>
        <v>#DIV/0!</v>
      </c>
      <c r="AB9" s="1462" t="e">
        <f>D9/H9</f>
        <v>#DIV/0!</v>
      </c>
      <c r="AC9" s="1462" t="e">
        <f>D9/J9</f>
        <v>#DIV/0!</v>
      </c>
    </row>
    <row r="10" spans="1:29" s="1167"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750" t="s">
        <v>516</v>
      </c>
      <c r="Q10" s="3751"/>
      <c r="R10" s="1459" t="s">
        <v>8</v>
      </c>
      <c r="S10" s="1460">
        <f t="shared" si="0"/>
        <v>0</v>
      </c>
      <c r="T10" s="1459" t="s">
        <v>8</v>
      </c>
      <c r="U10" s="1460">
        <f t="shared" si="1"/>
        <v>0</v>
      </c>
      <c r="V10" s="1459" t="s">
        <v>8</v>
      </c>
      <c r="W10" s="1460">
        <f t="shared" si="2"/>
        <v>0</v>
      </c>
      <c r="X10" s="1461"/>
      <c r="Y10" s="3750" t="s">
        <v>516</v>
      </c>
      <c r="Z10" s="3751"/>
      <c r="AA10" s="1462" t="e">
        <f t="shared" ref="AA10:AA42" si="3">D10/F10</f>
        <v>#DIV/0!</v>
      </c>
      <c r="AB10" s="1462" t="e">
        <f t="shared" ref="AB10:AB42" si="4">D10/H10</f>
        <v>#DIV/0!</v>
      </c>
      <c r="AC10" s="1462" t="e">
        <f t="shared" ref="AC10:AC42" si="5">D10/J10</f>
        <v>#DIV/0!</v>
      </c>
    </row>
    <row r="11" spans="1:29" s="1167" customFormat="1" ht="15">
      <c r="A11" s="2553"/>
      <c r="B11" s="2560" t="s">
        <v>2470</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720" t="s">
        <v>518</v>
      </c>
      <c r="Q11" s="1098" t="str">
        <f t="shared" ref="Q11:Q17" si="6">B11</f>
        <v>用途</v>
      </c>
      <c r="R11" s="1459" t="s">
        <v>8</v>
      </c>
      <c r="S11" s="1460">
        <f t="shared" si="0"/>
        <v>100</v>
      </c>
      <c r="T11" s="1459" t="s">
        <v>8</v>
      </c>
      <c r="U11" s="1460">
        <f t="shared" si="1"/>
        <v>100</v>
      </c>
      <c r="V11" s="1459" t="s">
        <v>8</v>
      </c>
      <c r="W11" s="1460">
        <f t="shared" si="2"/>
        <v>100</v>
      </c>
      <c r="X11" s="1461"/>
      <c r="Y11" s="3651" t="s">
        <v>519</v>
      </c>
      <c r="Z11" s="1097" t="str">
        <f t="shared" ref="Z11:Z17" si="7">Q11</f>
        <v>用途</v>
      </c>
      <c r="AA11" s="1462">
        <f t="shared" si="3"/>
        <v>1</v>
      </c>
      <c r="AB11" s="1462">
        <f t="shared" si="4"/>
        <v>1</v>
      </c>
      <c r="AC11" s="1462">
        <f t="shared" si="5"/>
        <v>1</v>
      </c>
    </row>
    <row r="12" spans="1:29" s="1248" customFormat="1" ht="27">
      <c r="A12" s="2554"/>
      <c r="B12" s="2559" t="s">
        <v>2471</v>
      </c>
      <c r="C12" s="505"/>
      <c r="D12" s="253">
        <v>100</v>
      </c>
      <c r="E12" s="505"/>
      <c r="F12" s="253">
        <f>ROUND(100/'数据-取费表'!G16,0)</f>
        <v>103</v>
      </c>
      <c r="G12" s="505"/>
      <c r="H12" s="253">
        <f>ROUND(100/'数据-取费表'!G16,0)</f>
        <v>103</v>
      </c>
      <c r="I12" s="505"/>
      <c r="J12" s="253">
        <f>ROUND(100/'数据-取费表'!G16,0)</f>
        <v>103</v>
      </c>
      <c r="K12" s="508"/>
      <c r="L12" s="1974"/>
      <c r="M12" s="2013"/>
      <c r="N12" s="2013"/>
      <c r="O12" s="1975"/>
      <c r="P12" s="3720"/>
      <c r="Q12" s="1098" t="str">
        <f t="shared" si="6"/>
        <v>土地使用年限（年）</v>
      </c>
      <c r="R12" s="1459" t="s">
        <v>8</v>
      </c>
      <c r="S12" s="1460">
        <f t="shared" si="0"/>
        <v>103</v>
      </c>
      <c r="T12" s="1459" t="s">
        <v>8</v>
      </c>
      <c r="U12" s="1460">
        <f t="shared" si="1"/>
        <v>103</v>
      </c>
      <c r="V12" s="1459" t="s">
        <v>8</v>
      </c>
      <c r="W12" s="1460">
        <f t="shared" si="2"/>
        <v>103</v>
      </c>
      <c r="X12" s="1461"/>
      <c r="Y12" s="3651"/>
      <c r="Z12" s="1097" t="str">
        <f t="shared" si="7"/>
        <v>土地使用年限（年）</v>
      </c>
      <c r="AA12" s="1462">
        <f t="shared" si="3"/>
        <v>0.970873786407767</v>
      </c>
      <c r="AB12" s="1462">
        <f t="shared" si="4"/>
        <v>0.970873786407767</v>
      </c>
      <c r="AC12" s="1462">
        <f t="shared" si="5"/>
        <v>0.970873786407767</v>
      </c>
    </row>
    <row r="13" spans="1:29" ht="15">
      <c r="A13" s="2555"/>
      <c r="B13" s="2559" t="s">
        <v>2472</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720"/>
      <c r="Q13" s="1098" t="str">
        <f t="shared" si="6"/>
        <v>容积率</v>
      </c>
      <c r="R13" s="1459" t="s">
        <v>8</v>
      </c>
      <c r="S13" s="1460" t="e">
        <f t="shared" si="0"/>
        <v>#N/A</v>
      </c>
      <c r="T13" s="1459" t="s">
        <v>8</v>
      </c>
      <c r="U13" s="1460" t="e">
        <f t="shared" si="1"/>
        <v>#N/A</v>
      </c>
      <c r="V13" s="1459" t="s">
        <v>8</v>
      </c>
      <c r="W13" s="1460" t="e">
        <f t="shared" si="2"/>
        <v>#N/A</v>
      </c>
      <c r="X13" s="1461"/>
      <c r="Y13" s="3651"/>
      <c r="Z13" s="1097" t="str">
        <f t="shared" si="7"/>
        <v>容积率</v>
      </c>
      <c r="AA13" s="1462" t="e">
        <f t="shared" si="3"/>
        <v>#N/A</v>
      </c>
      <c r="AB13" s="1462" t="e">
        <f t="shared" si="4"/>
        <v>#N/A</v>
      </c>
      <c r="AC13" s="1462" t="e">
        <f t="shared" si="5"/>
        <v>#N/A</v>
      </c>
    </row>
    <row r="14" spans="1:29" s="1167"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720"/>
      <c r="Q14" s="1098">
        <f t="shared" si="6"/>
        <v>111</v>
      </c>
      <c r="R14" s="1459" t="s">
        <v>8</v>
      </c>
      <c r="S14" s="1460">
        <f t="shared" si="0"/>
        <v>100</v>
      </c>
      <c r="T14" s="1459" t="s">
        <v>8</v>
      </c>
      <c r="U14" s="1460">
        <f t="shared" si="1"/>
        <v>100</v>
      </c>
      <c r="V14" s="1459" t="s">
        <v>8</v>
      </c>
      <c r="W14" s="1460">
        <f t="shared" si="2"/>
        <v>100</v>
      </c>
      <c r="X14" s="1461"/>
      <c r="Y14" s="3651"/>
      <c r="Z14" s="1097">
        <f t="shared" si="7"/>
        <v>111</v>
      </c>
      <c r="AA14" s="1462">
        <f>D14/F14</f>
        <v>1</v>
      </c>
      <c r="AB14" s="1462">
        <f>D14/H14</f>
        <v>1</v>
      </c>
      <c r="AC14" s="1462">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720"/>
      <c r="Q15" s="1098">
        <f t="shared" si="6"/>
        <v>111</v>
      </c>
      <c r="R15" s="1459" t="s">
        <v>8</v>
      </c>
      <c r="S15" s="1460">
        <f t="shared" si="0"/>
        <v>100</v>
      </c>
      <c r="T15" s="1459" t="s">
        <v>8</v>
      </c>
      <c r="U15" s="1460">
        <f t="shared" si="1"/>
        <v>100</v>
      </c>
      <c r="V15" s="1459" t="s">
        <v>8</v>
      </c>
      <c r="W15" s="1460">
        <f t="shared" si="2"/>
        <v>100</v>
      </c>
      <c r="X15" s="1461"/>
      <c r="Y15" s="3651"/>
      <c r="Z15" s="1097">
        <f t="shared" si="7"/>
        <v>111</v>
      </c>
      <c r="AA15" s="1462">
        <f t="shared" si="3"/>
        <v>1</v>
      </c>
      <c r="AB15" s="1462">
        <f t="shared" si="4"/>
        <v>1</v>
      </c>
      <c r="AC15" s="1462">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720"/>
      <c r="Q16" s="1098">
        <f t="shared" si="6"/>
        <v>111</v>
      </c>
      <c r="R16" s="1459" t="s">
        <v>8</v>
      </c>
      <c r="S16" s="1460">
        <f t="shared" si="0"/>
        <v>100</v>
      </c>
      <c r="T16" s="1459" t="s">
        <v>8</v>
      </c>
      <c r="U16" s="1460">
        <f t="shared" si="1"/>
        <v>100</v>
      </c>
      <c r="V16" s="1459" t="s">
        <v>8</v>
      </c>
      <c r="W16" s="1460">
        <f t="shared" si="2"/>
        <v>100</v>
      </c>
      <c r="X16" s="1461"/>
      <c r="Y16" s="3651"/>
      <c r="Z16" s="1097">
        <f t="shared" si="7"/>
        <v>111</v>
      </c>
      <c r="AA16" s="1462">
        <f t="shared" si="3"/>
        <v>1</v>
      </c>
      <c r="AB16" s="1462">
        <f t="shared" si="4"/>
        <v>1</v>
      </c>
      <c r="AC16" s="1462">
        <f t="shared" si="5"/>
        <v>1</v>
      </c>
    </row>
    <row r="17" spans="1:29" ht="57">
      <c r="A17" s="2549" t="s">
        <v>2468</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753" t="s">
        <v>523</v>
      </c>
      <c r="Q17" s="1463" t="str">
        <f t="shared" si="6"/>
        <v>产业集聚程度</v>
      </c>
      <c r="R17" s="1464" t="s">
        <v>8</v>
      </c>
      <c r="S17" s="1465">
        <f t="shared" si="0"/>
        <v>100</v>
      </c>
      <c r="T17" s="1464" t="s">
        <v>8</v>
      </c>
      <c r="U17" s="1465">
        <f t="shared" si="1"/>
        <v>100</v>
      </c>
      <c r="V17" s="1464" t="s">
        <v>8</v>
      </c>
      <c r="W17" s="1465">
        <f t="shared" si="2"/>
        <v>100</v>
      </c>
      <c r="X17" s="1458"/>
      <c r="Y17" s="3753"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8"/>
      <c r="M18" s="1970"/>
      <c r="N18" s="1970"/>
      <c r="O18" s="1977"/>
      <c r="P18" s="3754"/>
      <c r="Q18" s="1463"/>
      <c r="R18" s="1464"/>
      <c r="S18" s="1465"/>
      <c r="T18" s="1464"/>
      <c r="U18" s="1465"/>
      <c r="V18" s="1464"/>
      <c r="W18" s="1465"/>
      <c r="X18" s="1458"/>
      <c r="Y18" s="3754"/>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754"/>
      <c r="Q19" s="1463" t="str">
        <f>B19</f>
        <v>交通便捷度</v>
      </c>
      <c r="R19" s="1464" t="s">
        <v>8</v>
      </c>
      <c r="S19" s="1465">
        <f>F19</f>
        <v>100</v>
      </c>
      <c r="T19" s="1464" t="s">
        <v>8</v>
      </c>
      <c r="U19" s="1465">
        <f>H19</f>
        <v>100</v>
      </c>
      <c r="V19" s="1464" t="s">
        <v>8</v>
      </c>
      <c r="W19" s="1465">
        <f>J19</f>
        <v>100</v>
      </c>
      <c r="X19" s="1458"/>
      <c r="Y19" s="3754"/>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8"/>
      <c r="M20" s="1970"/>
      <c r="N20" s="1970"/>
      <c r="O20" s="1977"/>
      <c r="P20" s="3754"/>
      <c r="Q20" s="1463"/>
      <c r="R20" s="1464"/>
      <c r="S20" s="1465"/>
      <c r="T20" s="1464"/>
      <c r="U20" s="1465"/>
      <c r="V20" s="1464"/>
      <c r="W20" s="1465"/>
      <c r="X20" s="1458"/>
      <c r="Y20" s="3754"/>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8"/>
      <c r="M21" s="1970"/>
      <c r="N21" s="1970"/>
      <c r="O21" s="1977"/>
      <c r="P21" s="3754"/>
      <c r="Q21" s="1463" t="str">
        <f t="shared" ref="Q21:Q35" si="8">B21</f>
        <v>区域土地利用方向</v>
      </c>
      <c r="R21" s="1464" t="s">
        <v>8</v>
      </c>
      <c r="S21" s="1465">
        <f>F21</f>
        <v>100</v>
      </c>
      <c r="T21" s="1464" t="s">
        <v>8</v>
      </c>
      <c r="U21" s="1465">
        <f>H21</f>
        <v>100</v>
      </c>
      <c r="V21" s="1464" t="s">
        <v>8</v>
      </c>
      <c r="W21" s="1465">
        <f>J21</f>
        <v>100</v>
      </c>
      <c r="X21" s="1458"/>
      <c r="Y21" s="3754"/>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8"/>
      <c r="M22" s="1970"/>
      <c r="N22" s="1970"/>
      <c r="O22" s="1977"/>
      <c r="P22" s="3754"/>
      <c r="Q22" s="1463"/>
      <c r="R22" s="1464"/>
      <c r="S22" s="1465"/>
      <c r="T22" s="1464"/>
      <c r="U22" s="1465"/>
      <c r="V22" s="1464"/>
      <c r="W22" s="1465"/>
      <c r="X22" s="1458"/>
      <c r="Y22" s="3754"/>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754"/>
      <c r="Q23" s="1463" t="str">
        <f t="shared" si="8"/>
        <v>环境状况</v>
      </c>
      <c r="R23" s="1464" t="s">
        <v>8</v>
      </c>
      <c r="S23" s="1465">
        <f>F23</f>
        <v>100</v>
      </c>
      <c r="T23" s="1464" t="s">
        <v>8</v>
      </c>
      <c r="U23" s="1465">
        <f>H23</f>
        <v>100</v>
      </c>
      <c r="V23" s="1464" t="s">
        <v>8</v>
      </c>
      <c r="W23" s="1465">
        <f>J23</f>
        <v>100</v>
      </c>
      <c r="X23" s="1458"/>
      <c r="Y23" s="3754"/>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8"/>
      <c r="M24" s="1970"/>
      <c r="N24" s="1970"/>
      <c r="O24" s="1977"/>
      <c r="P24" s="3754"/>
      <c r="Q24" s="1463"/>
      <c r="R24" s="1464"/>
      <c r="S24" s="1465"/>
      <c r="T24" s="1464"/>
      <c r="U24" s="1465"/>
      <c r="V24" s="1464"/>
      <c r="W24" s="1465"/>
      <c r="X24" s="1458"/>
      <c r="Y24" s="3754"/>
      <c r="Z24" s="1466"/>
      <c r="AA24" s="1467">
        <v>1</v>
      </c>
      <c r="AB24" s="1467">
        <v>1</v>
      </c>
      <c r="AC24" s="1467">
        <v>1</v>
      </c>
    </row>
    <row r="25" spans="1:29" s="1167" customFormat="1" ht="42.75">
      <c r="A25" s="554"/>
      <c r="B25" s="2359" t="s">
        <v>2263</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754"/>
      <c r="Q25" s="1098" t="str">
        <f t="shared" si="8"/>
        <v>公共配套设施</v>
      </c>
      <c r="R25" s="1459" t="s">
        <v>8</v>
      </c>
      <c r="S25" s="1460">
        <f>F25</f>
        <v>100</v>
      </c>
      <c r="T25" s="1459" t="s">
        <v>8</v>
      </c>
      <c r="U25" s="1460">
        <f>H25</f>
        <v>100</v>
      </c>
      <c r="V25" s="1459" t="s">
        <v>8</v>
      </c>
      <c r="W25" s="1460">
        <f>J25</f>
        <v>100</v>
      </c>
      <c r="X25" s="1461"/>
      <c r="Y25" s="3754"/>
      <c r="Z25" s="1097" t="str">
        <f>Q25</f>
        <v>公共配套设施</v>
      </c>
      <c r="AA25" s="1467">
        <f>D25/F25</f>
        <v>1</v>
      </c>
      <c r="AB25" s="1467">
        <f>D25/H25</f>
        <v>1</v>
      </c>
      <c r="AC25" s="1467">
        <f>D25/J25</f>
        <v>1</v>
      </c>
    </row>
    <row r="26" spans="1:29" s="1167" customFormat="1" ht="15">
      <c r="A26" s="554"/>
      <c r="B26" s="572"/>
      <c r="C26" s="2358"/>
      <c r="D26" s="532"/>
      <c r="E26" s="531"/>
      <c r="F26" s="532"/>
      <c r="G26" s="531"/>
      <c r="H26" s="532"/>
      <c r="I26" s="553"/>
      <c r="J26" s="532"/>
      <c r="K26" s="508"/>
      <c r="L26" s="1971"/>
      <c r="M26" s="1972"/>
      <c r="N26" s="1972"/>
      <c r="O26" s="1973"/>
      <c r="P26" s="3754"/>
      <c r="Q26" s="1098"/>
      <c r="R26" s="1459"/>
      <c r="S26" s="1460"/>
      <c r="T26" s="1459"/>
      <c r="U26" s="1460"/>
      <c r="V26" s="1459"/>
      <c r="W26" s="1460"/>
      <c r="X26" s="1461"/>
      <c r="Y26" s="3754"/>
      <c r="Z26" s="1097"/>
      <c r="AA26" s="1462">
        <v>1</v>
      </c>
      <c r="AB26" s="1462">
        <v>1</v>
      </c>
      <c r="AC26" s="1462">
        <v>1</v>
      </c>
    </row>
    <row r="27" spans="1:29" s="1167" customFormat="1" ht="28.5">
      <c r="A27" s="554"/>
      <c r="B27" s="2359" t="s">
        <v>2264</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754"/>
      <c r="Q27" s="2350" t="str">
        <f t="shared" ref="Q27" si="9">B27</f>
        <v>基础设施水平</v>
      </c>
      <c r="R27" s="1459" t="s">
        <v>8</v>
      </c>
      <c r="S27" s="1460">
        <f>F27</f>
        <v>100</v>
      </c>
      <c r="T27" s="1459" t="s">
        <v>8</v>
      </c>
      <c r="U27" s="1460">
        <f>H27</f>
        <v>100</v>
      </c>
      <c r="V27" s="1459" t="s">
        <v>8</v>
      </c>
      <c r="W27" s="1460">
        <f>J27</f>
        <v>100</v>
      </c>
      <c r="X27" s="1461"/>
      <c r="Y27" s="3754"/>
      <c r="Z27" s="2349" t="str">
        <f>Q27</f>
        <v>基础设施水平</v>
      </c>
      <c r="AA27" s="1467">
        <f>D27/F27</f>
        <v>1</v>
      </c>
      <c r="AB27" s="1467">
        <f>D27/H27</f>
        <v>1</v>
      </c>
      <c r="AC27" s="1467">
        <f>D27/J27</f>
        <v>1</v>
      </c>
    </row>
    <row r="28" spans="1:29" s="1167" customFormat="1" ht="15">
      <c r="A28" s="554"/>
      <c r="B28" s="572"/>
      <c r="C28" s="2358"/>
      <c r="D28" s="532"/>
      <c r="E28" s="556"/>
      <c r="F28" s="532"/>
      <c r="G28" s="556"/>
      <c r="H28" s="532"/>
      <c r="I28" s="556"/>
      <c r="J28" s="532"/>
      <c r="K28" s="508"/>
      <c r="L28" s="1971"/>
      <c r="M28" s="1972"/>
      <c r="N28" s="1972"/>
      <c r="O28" s="1973"/>
      <c r="P28" s="3754"/>
      <c r="Q28" s="2350"/>
      <c r="R28" s="1459"/>
      <c r="S28" s="1460"/>
      <c r="T28" s="1459"/>
      <c r="U28" s="1460"/>
      <c r="V28" s="1459"/>
      <c r="W28" s="1460"/>
      <c r="X28" s="1461"/>
      <c r="Y28" s="3754"/>
      <c r="Z28" s="2349"/>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754"/>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754"/>
      <c r="Z29" s="1466" t="str">
        <f t="shared" ref="Z29:Z42" si="13">Q29</f>
        <v>临街状况</v>
      </c>
      <c r="AA29" s="1467">
        <f t="shared" si="3"/>
        <v>1</v>
      </c>
      <c r="AB29" s="1467">
        <f t="shared" si="4"/>
        <v>1</v>
      </c>
      <c r="AC29" s="1467">
        <f t="shared" si="5"/>
        <v>1</v>
      </c>
    </row>
    <row r="30" spans="1:29" ht="27">
      <c r="A30" s="509"/>
      <c r="B30" s="894"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754"/>
      <c r="Q30" s="1463" t="str">
        <f t="shared" si="8"/>
        <v>毗邻道路的类型与等级</v>
      </c>
      <c r="R30" s="1464" t="s">
        <v>8</v>
      </c>
      <c r="S30" s="1465">
        <f t="shared" si="10"/>
        <v>100</v>
      </c>
      <c r="T30" s="1464" t="s">
        <v>8</v>
      </c>
      <c r="U30" s="1465">
        <f t="shared" si="11"/>
        <v>100</v>
      </c>
      <c r="V30" s="1464" t="s">
        <v>8</v>
      </c>
      <c r="W30" s="1465">
        <f t="shared" si="12"/>
        <v>100</v>
      </c>
      <c r="X30" s="1458"/>
      <c r="Y30" s="3754"/>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8"/>
      <c r="M31" s="1970"/>
      <c r="N31" s="1970"/>
      <c r="O31" s="1977"/>
      <c r="P31" s="3754"/>
      <c r="Q31" s="1463"/>
      <c r="R31" s="1464"/>
      <c r="S31" s="1465"/>
      <c r="T31" s="1464"/>
      <c r="U31" s="1465"/>
      <c r="V31" s="1464"/>
      <c r="W31" s="1465"/>
      <c r="X31" s="1458"/>
      <c r="Y31" s="3754"/>
      <c r="Z31" s="1466"/>
      <c r="AA31" s="1467">
        <v>1</v>
      </c>
      <c r="AB31" s="1467">
        <v>1</v>
      </c>
      <c r="AC31" s="1467">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754"/>
      <c r="Q32" s="1463" t="str">
        <f t="shared" si="8"/>
        <v>土地级别</v>
      </c>
      <c r="R32" s="1464" t="s">
        <v>8</v>
      </c>
      <c r="S32" s="1465">
        <f t="shared" si="10"/>
        <v>100</v>
      </c>
      <c r="T32" s="1464" t="s">
        <v>8</v>
      </c>
      <c r="U32" s="1465">
        <f t="shared" si="11"/>
        <v>100</v>
      </c>
      <c r="V32" s="1464" t="s">
        <v>8</v>
      </c>
      <c r="W32" s="1465">
        <f t="shared" si="12"/>
        <v>100</v>
      </c>
      <c r="X32" s="1458"/>
      <c r="Y32" s="3754"/>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754"/>
      <c r="Q33" s="1463">
        <f t="shared" si="8"/>
        <v>111</v>
      </c>
      <c r="R33" s="1464" t="s">
        <v>8</v>
      </c>
      <c r="S33" s="1465">
        <f t="shared" si="10"/>
        <v>100</v>
      </c>
      <c r="T33" s="1464" t="s">
        <v>8</v>
      </c>
      <c r="U33" s="1465">
        <f t="shared" si="11"/>
        <v>100</v>
      </c>
      <c r="V33" s="1464" t="s">
        <v>8</v>
      </c>
      <c r="W33" s="1465">
        <f t="shared" si="12"/>
        <v>100</v>
      </c>
      <c r="X33" s="1458"/>
      <c r="Y33" s="3754"/>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755" t="s">
        <v>533</v>
      </c>
      <c r="Q34" s="1463">
        <f t="shared" si="8"/>
        <v>111</v>
      </c>
      <c r="R34" s="1464" t="s">
        <v>8</v>
      </c>
      <c r="S34" s="1465">
        <f t="shared" si="10"/>
        <v>100</v>
      </c>
      <c r="T34" s="1464" t="s">
        <v>8</v>
      </c>
      <c r="U34" s="1465">
        <f t="shared" si="11"/>
        <v>100</v>
      </c>
      <c r="V34" s="1464" t="s">
        <v>8</v>
      </c>
      <c r="W34" s="1465">
        <f t="shared" si="12"/>
        <v>100</v>
      </c>
      <c r="X34" s="1458"/>
      <c r="Y34" s="3756" t="s">
        <v>533</v>
      </c>
      <c r="Z34" s="1466">
        <f t="shared" si="13"/>
        <v>111</v>
      </c>
      <c r="AA34" s="1467">
        <f t="shared" si="3"/>
        <v>1</v>
      </c>
      <c r="AB34" s="1467">
        <f t="shared" si="4"/>
        <v>1</v>
      </c>
      <c r="AC34" s="1467">
        <f t="shared" si="5"/>
        <v>1</v>
      </c>
    </row>
    <row r="35" spans="1:29" s="1249"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756"/>
      <c r="Q35" s="1463">
        <f t="shared" si="8"/>
        <v>111</v>
      </c>
      <c r="R35" s="1468" t="s">
        <v>8</v>
      </c>
      <c r="S35" s="1469">
        <f t="shared" si="10"/>
        <v>100</v>
      </c>
      <c r="T35" s="1468" t="s">
        <v>8</v>
      </c>
      <c r="U35" s="1469">
        <f t="shared" si="11"/>
        <v>100</v>
      </c>
      <c r="V35" s="1468" t="s">
        <v>8</v>
      </c>
      <c r="W35" s="1469">
        <f t="shared" si="12"/>
        <v>100</v>
      </c>
      <c r="X35" s="1470"/>
      <c r="Y35" s="3756"/>
      <c r="Z35" s="1471">
        <f t="shared" si="13"/>
        <v>111</v>
      </c>
      <c r="AA35" s="1467">
        <f t="shared" si="3"/>
        <v>1</v>
      </c>
      <c r="AB35" s="1467">
        <f t="shared" si="4"/>
        <v>1</v>
      </c>
      <c r="AC35" s="1467">
        <f t="shared" si="5"/>
        <v>1</v>
      </c>
    </row>
    <row r="36" spans="1:29" ht="15">
      <c r="A36" s="2546" t="s">
        <v>2469</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756"/>
      <c r="Q36" s="1463" t="str">
        <f>B36</f>
        <v>宗地面积</v>
      </c>
      <c r="R36" s="1464" t="s">
        <v>8</v>
      </c>
      <c r="S36" s="1465" t="e">
        <f t="shared" si="10"/>
        <v>#N/A</v>
      </c>
      <c r="T36" s="1464" t="s">
        <v>8</v>
      </c>
      <c r="U36" s="1465" t="e">
        <f t="shared" si="11"/>
        <v>#N/A</v>
      </c>
      <c r="V36" s="1464" t="s">
        <v>8</v>
      </c>
      <c r="W36" s="1465" t="e">
        <f t="shared" si="12"/>
        <v>#N/A</v>
      </c>
      <c r="X36" s="1458"/>
      <c r="Y36" s="3756"/>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756"/>
      <c r="Q37" s="1463" t="str">
        <f t="shared" ref="Q37:Q42" si="14">B37</f>
        <v>宗地形状</v>
      </c>
      <c r="R37" s="1464" t="s">
        <v>8</v>
      </c>
      <c r="S37" s="1465">
        <f t="shared" si="10"/>
        <v>100</v>
      </c>
      <c r="T37" s="1464" t="s">
        <v>8</v>
      </c>
      <c r="U37" s="1465">
        <f t="shared" si="11"/>
        <v>100</v>
      </c>
      <c r="V37" s="1464" t="s">
        <v>8</v>
      </c>
      <c r="W37" s="1465">
        <f t="shared" si="12"/>
        <v>100</v>
      </c>
      <c r="X37" s="1458"/>
      <c r="Y37" s="3756"/>
      <c r="Z37" s="1466" t="str">
        <f t="shared" si="13"/>
        <v>宗地形状</v>
      </c>
      <c r="AA37" s="1467">
        <f t="shared" si="3"/>
        <v>1</v>
      </c>
      <c r="AB37" s="1467">
        <f t="shared" si="4"/>
        <v>1</v>
      </c>
      <c r="AC37" s="1467">
        <f t="shared" si="5"/>
        <v>1</v>
      </c>
    </row>
    <row r="38" spans="1:29" s="1167" customFormat="1" ht="15">
      <c r="A38" s="577"/>
      <c r="B38" s="1764" t="s">
        <v>2208</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756"/>
      <c r="Q38" s="1463" t="str">
        <f t="shared" si="14"/>
        <v>宗地开发程度</v>
      </c>
      <c r="R38" s="1459" t="s">
        <v>8</v>
      </c>
      <c r="S38" s="1460">
        <f t="shared" si="10"/>
        <v>100</v>
      </c>
      <c r="T38" s="1459" t="s">
        <v>8</v>
      </c>
      <c r="U38" s="1460">
        <f t="shared" si="11"/>
        <v>100</v>
      </c>
      <c r="V38" s="1459" t="s">
        <v>8</v>
      </c>
      <c r="W38" s="1460">
        <f t="shared" si="12"/>
        <v>100</v>
      </c>
      <c r="X38" s="1461"/>
      <c r="Y38" s="3756"/>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756" t="s">
        <v>583</v>
      </c>
      <c r="Q39" s="1463" t="str">
        <f t="shared" si="14"/>
        <v>工程地质条件</v>
      </c>
      <c r="R39" s="1464" t="s">
        <v>8</v>
      </c>
      <c r="S39" s="1465">
        <f t="shared" si="10"/>
        <v>100</v>
      </c>
      <c r="T39" s="1464" t="s">
        <v>8</v>
      </c>
      <c r="U39" s="1465">
        <f t="shared" si="11"/>
        <v>100</v>
      </c>
      <c r="V39" s="1464" t="s">
        <v>8</v>
      </c>
      <c r="W39" s="1465">
        <f t="shared" si="12"/>
        <v>100</v>
      </c>
      <c r="X39" s="1458"/>
      <c r="Y39" s="3756"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756"/>
      <c r="Q40" s="1463">
        <f t="shared" si="14"/>
        <v>111</v>
      </c>
      <c r="R40" s="1464" t="s">
        <v>8</v>
      </c>
      <c r="S40" s="1465">
        <f t="shared" si="10"/>
        <v>100</v>
      </c>
      <c r="T40" s="1464" t="s">
        <v>8</v>
      </c>
      <c r="U40" s="1465">
        <f t="shared" si="11"/>
        <v>100</v>
      </c>
      <c r="V40" s="1464" t="s">
        <v>8</v>
      </c>
      <c r="W40" s="1465">
        <f t="shared" si="12"/>
        <v>100</v>
      </c>
      <c r="X40" s="1458"/>
      <c r="Y40" s="3756"/>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756"/>
      <c r="Q41" s="1463">
        <f t="shared" si="14"/>
        <v>111</v>
      </c>
      <c r="R41" s="1464" t="s">
        <v>8</v>
      </c>
      <c r="S41" s="1465">
        <f t="shared" si="10"/>
        <v>100</v>
      </c>
      <c r="T41" s="1464" t="s">
        <v>8</v>
      </c>
      <c r="U41" s="1465">
        <f t="shared" si="11"/>
        <v>100</v>
      </c>
      <c r="V41" s="1464" t="s">
        <v>8</v>
      </c>
      <c r="W41" s="1465">
        <f t="shared" si="12"/>
        <v>100</v>
      </c>
      <c r="X41" s="1458"/>
      <c r="Y41" s="3756"/>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756"/>
      <c r="Q42" s="1463">
        <f t="shared" si="14"/>
        <v>111</v>
      </c>
      <c r="R42" s="1468" t="s">
        <v>8</v>
      </c>
      <c r="S42" s="1469">
        <f t="shared" si="10"/>
        <v>100</v>
      </c>
      <c r="T42" s="1468" t="s">
        <v>8</v>
      </c>
      <c r="U42" s="1469">
        <f t="shared" si="11"/>
        <v>100</v>
      </c>
      <c r="V42" s="1468" t="s">
        <v>8</v>
      </c>
      <c r="W42" s="1469">
        <f t="shared" si="12"/>
        <v>100</v>
      </c>
      <c r="X42" s="1470"/>
      <c r="Y42" s="3756"/>
      <c r="Z42" s="1471">
        <f t="shared" si="13"/>
        <v>111</v>
      </c>
      <c r="AA42" s="1467">
        <f t="shared" si="3"/>
        <v>1</v>
      </c>
      <c r="AB42" s="1467">
        <f t="shared" si="4"/>
        <v>1</v>
      </c>
      <c r="AC42" s="1467">
        <f t="shared" si="5"/>
        <v>1</v>
      </c>
    </row>
    <row r="43" spans="1:29" ht="15">
      <c r="A43" s="584" t="s">
        <v>539</v>
      </c>
      <c r="B43" s="585" t="s">
        <v>2625</v>
      </c>
      <c r="C43" s="586" t="s">
        <v>1</v>
      </c>
      <c r="D43" s="587"/>
      <c r="E43" s="588"/>
      <c r="F43" s="589"/>
      <c r="G43" s="590"/>
      <c r="H43" s="591"/>
      <c r="I43" s="588"/>
      <c r="J43" s="591"/>
      <c r="K43" s="1250"/>
      <c r="L43" s="1980"/>
      <c r="M43" s="1970"/>
      <c r="N43" s="1970"/>
      <c r="O43" s="1981"/>
      <c r="P43" s="3720" t="str">
        <f>A43</f>
        <v>成交单价</v>
      </c>
      <c r="Q43" s="3720"/>
      <c r="R43" s="3721">
        <f>E43</f>
        <v>0</v>
      </c>
      <c r="S43" s="3721"/>
      <c r="T43" s="3721">
        <f>G43</f>
        <v>0</v>
      </c>
      <c r="U43" s="3721"/>
      <c r="V43" s="3721">
        <f>I43</f>
        <v>0</v>
      </c>
      <c r="W43" s="3721"/>
      <c r="X43" s="1453"/>
      <c r="Y43" s="1472"/>
      <c r="Z43" s="1453"/>
      <c r="AA43" s="1453"/>
      <c r="AB43" s="1453"/>
      <c r="AC43" s="1453"/>
    </row>
    <row r="44" spans="1:29" ht="15.75" thickBot="1">
      <c r="A44" s="592" t="s">
        <v>2407</v>
      </c>
      <c r="B44" s="593"/>
      <c r="C44" s="594" t="e">
        <f>R45</f>
        <v>#DIV/0!</v>
      </c>
      <c r="D44" s="2922" t="s">
        <v>2691</v>
      </c>
      <c r="E44" s="594" t="e">
        <f>R44</f>
        <v>#DIV/0!</v>
      </c>
      <c r="F44" s="2923"/>
      <c r="G44" s="595" t="e">
        <f>T44</f>
        <v>#DIV/0!</v>
      </c>
      <c r="H44" s="2923"/>
      <c r="I44" s="594" t="e">
        <f>V44</f>
        <v>#DIV/0!</v>
      </c>
      <c r="J44" s="2923"/>
      <c r="K44" s="2924">
        <f>F44+H44+J44</f>
        <v>0</v>
      </c>
      <c r="L44" s="1980"/>
      <c r="M44" s="1970"/>
      <c r="N44" s="1970"/>
      <c r="O44" s="1981"/>
      <c r="P44" s="3720" t="str">
        <f>A44</f>
        <v>比较价格（元/平方米）</v>
      </c>
      <c r="Q44" s="3720"/>
      <c r="R44" s="3722" t="e">
        <f>ROUND(PRODUCT(R43,AA9:AA42),0)</f>
        <v>#DIV/0!</v>
      </c>
      <c r="S44" s="3722"/>
      <c r="T44" s="3722" t="e">
        <f>ROUND(PRODUCT(T43,AB9:AB42),0)</f>
        <v>#DIV/0!</v>
      </c>
      <c r="U44" s="3722"/>
      <c r="V44" s="3722" t="e">
        <f>ROUND(PRODUCT(V43,AC9:AC42),0)</f>
        <v>#DIV/0!</v>
      </c>
      <c r="W44" s="3722"/>
      <c r="X44" s="1453"/>
      <c r="Y44" s="1453"/>
      <c r="Z44" s="1453"/>
      <c r="AA44" s="1453"/>
      <c r="AB44" s="1453"/>
      <c r="AC44" s="1453"/>
    </row>
    <row r="45" spans="1:29" ht="15.75" thickBot="1">
      <c r="A45" s="596" t="s">
        <v>2626</v>
      </c>
      <c r="B45" s="597"/>
      <c r="C45" s="598" t="e">
        <f>R45</f>
        <v>#DIV/0!</v>
      </c>
      <c r="D45" s="598"/>
      <c r="E45" s="598"/>
      <c r="F45" s="598"/>
      <c r="G45" s="598"/>
      <c r="H45" s="598"/>
      <c r="I45" s="598"/>
      <c r="J45" s="598"/>
      <c r="K45" s="1251"/>
      <c r="L45" s="1980"/>
      <c r="M45" s="1970"/>
      <c r="N45" s="1970"/>
      <c r="O45" s="1981"/>
      <c r="P45" s="3757" t="str">
        <f>A45</f>
        <v>估价对象XX用房的比较价格（楼面单价，元/平方米）</v>
      </c>
      <c r="Q45" s="3758"/>
      <c r="R45" s="3769" t="e">
        <f>ROUND(IF(D44="简单平均",AVERAGE(R44:W44),R44*F44+T44*H44+V44*J44),0)</f>
        <v>#DIV/0!</v>
      </c>
      <c r="S45" s="3769"/>
      <c r="T45" s="3769"/>
      <c r="U45" s="3769"/>
      <c r="V45" s="3769"/>
      <c r="W45" s="3769"/>
      <c r="X45" s="1453"/>
      <c r="Y45" s="1453"/>
      <c r="Z45" s="1453"/>
      <c r="AA45" s="1453"/>
      <c r="AB45" s="1453"/>
      <c r="AC45" s="1453"/>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4"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4"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4" t="s">
        <v>1524</v>
      </c>
      <c r="D52" s="2061" t="s">
        <v>2080</v>
      </c>
      <c r="E52" s="606" t="s">
        <v>545</v>
      </c>
      <c r="F52" s="1820" t="s">
        <v>546</v>
      </c>
      <c r="G52" s="3765" t="s">
        <v>2072</v>
      </c>
      <c r="H52" s="3766"/>
      <c r="I52" s="1821" t="s">
        <v>1737</v>
      </c>
      <c r="J52" s="1450">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5" customFormat="1" ht="12.75">
      <c r="A53" s="608" t="s">
        <v>547</v>
      </c>
      <c r="B53" s="609" t="e">
        <f>C45</f>
        <v>#DIV/0!</v>
      </c>
      <c r="C53" s="610">
        <v>1</v>
      </c>
      <c r="D53" s="2062">
        <v>1</v>
      </c>
      <c r="E53" s="610">
        <f>'数据-汇总表'!E8+'数据-汇总表'!E9</f>
        <v>17356.77</v>
      </c>
      <c r="F53" s="1819" t="e">
        <f t="shared" ref="F53:F61" si="15">ROUND(B53*E53/10000,0)</f>
        <v>#DIV/0!</v>
      </c>
      <c r="G53" s="3767"/>
      <c r="H53" s="3768"/>
      <c r="I53" s="1822">
        <v>1</v>
      </c>
      <c r="J53" s="1451">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5" customFormat="1" ht="12.75">
      <c r="A54" s="612" t="s">
        <v>548</v>
      </c>
      <c r="B54" s="613" t="e">
        <f>ROUND($C$45*C54*D54,0)</f>
        <v>#DIV/0!</v>
      </c>
      <c r="C54" s="372">
        <f t="shared" ref="C54:C61" si="16">IF($C$52="北京市系数",I54,J54)</f>
        <v>0.5</v>
      </c>
      <c r="D54" s="2063">
        <v>0.25</v>
      </c>
      <c r="E54" s="614"/>
      <c r="F54" s="1819" t="e">
        <f t="shared" si="15"/>
        <v>#DIV/0!</v>
      </c>
      <c r="G54" s="3444" t="s">
        <v>2073</v>
      </c>
      <c r="H54" s="1823" t="str">
        <f>项目基本情况!B43</f>
        <v>十一级</v>
      </c>
      <c r="I54" s="1822">
        <f>SUMIF(修正!$A$57:$A$68,H54,修正!B57:B68)</f>
        <v>0.5</v>
      </c>
      <c r="J54" s="1452"/>
      <c r="K54" s="3127"/>
      <c r="L54" s="1990"/>
      <c r="M54" s="1990"/>
      <c r="N54" s="1990"/>
      <c r="O54" s="1990"/>
      <c r="P54" s="1990"/>
      <c r="Q54" s="1990"/>
      <c r="R54" s="1990"/>
      <c r="S54" s="1990"/>
      <c r="T54" s="1990"/>
      <c r="U54" s="1990"/>
      <c r="V54" s="1990"/>
      <c r="W54" s="1990"/>
      <c r="X54" s="1990"/>
      <c r="Y54" s="1990"/>
      <c r="Z54" s="1990"/>
      <c r="AA54" s="1990"/>
      <c r="AB54" s="1990"/>
      <c r="AC54" s="1990"/>
    </row>
    <row r="55" spans="1:29" s="1255" customFormat="1" ht="12.75">
      <c r="A55" s="612" t="s">
        <v>549</v>
      </c>
      <c r="B55" s="613" t="e">
        <f t="shared" ref="B55:B61" si="17">ROUND($C$45*C55*D55,0)</f>
        <v>#DIV/0!</v>
      </c>
      <c r="C55" s="372">
        <f t="shared" si="16"/>
        <v>0.2</v>
      </c>
      <c r="D55" s="2063">
        <v>0.25</v>
      </c>
      <c r="E55" s="614"/>
      <c r="F55" s="1819" t="e">
        <f t="shared" si="15"/>
        <v>#DIV/0!</v>
      </c>
      <c r="G55" s="3445"/>
      <c r="H55" s="1824" t="str">
        <f>项目基本情况!B43</f>
        <v>十一级</v>
      </c>
      <c r="I55" s="1822">
        <f>SUMIF(修正!$A$57:$A$68,H55,修正!C57:C68)</f>
        <v>0.2</v>
      </c>
      <c r="J55" s="1452"/>
      <c r="K55" s="3127"/>
      <c r="L55" s="1990"/>
      <c r="M55" s="1990"/>
      <c r="N55" s="1990"/>
      <c r="O55" s="1990"/>
      <c r="P55" s="1990"/>
      <c r="Q55" s="1990"/>
      <c r="R55" s="1990"/>
      <c r="S55" s="1990"/>
      <c r="T55" s="1990"/>
      <c r="U55" s="1990"/>
      <c r="V55" s="1990"/>
      <c r="W55" s="1990"/>
      <c r="X55" s="1990"/>
      <c r="Y55" s="1990"/>
      <c r="Z55" s="1990"/>
      <c r="AA55" s="1990"/>
      <c r="AB55" s="1990"/>
      <c r="AC55" s="1990"/>
    </row>
    <row r="56" spans="1:29" s="1255" customFormat="1" ht="12.75">
      <c r="A56" s="612" t="s">
        <v>550</v>
      </c>
      <c r="B56" s="613" t="e">
        <f t="shared" si="17"/>
        <v>#DIV/0!</v>
      </c>
      <c r="C56" s="372">
        <f t="shared" si="16"/>
        <v>0.2</v>
      </c>
      <c r="D56" s="2063">
        <v>0.25</v>
      </c>
      <c r="E56" s="614"/>
      <c r="F56" s="1819" t="e">
        <f t="shared" si="15"/>
        <v>#DIV/0!</v>
      </c>
      <c r="G56" s="3445"/>
      <c r="H56" s="1824" t="str">
        <f>项目基本情况!B43</f>
        <v>十一级</v>
      </c>
      <c r="I56" s="1822">
        <f>SUMIF(修正!$A$57:$A$68,H56,修正!D57:D68)</f>
        <v>0.2</v>
      </c>
      <c r="J56" s="1452"/>
      <c r="K56" s="3127"/>
      <c r="L56" s="1990"/>
      <c r="M56" s="1990"/>
      <c r="N56" s="1990"/>
      <c r="O56" s="1990"/>
      <c r="P56" s="1990"/>
      <c r="Q56" s="1990"/>
      <c r="R56" s="1990"/>
      <c r="S56" s="1990"/>
      <c r="T56" s="1990"/>
      <c r="U56" s="1990"/>
      <c r="V56" s="1990"/>
      <c r="W56" s="1990"/>
      <c r="X56" s="1990"/>
      <c r="Y56" s="1990"/>
      <c r="Z56" s="1990"/>
      <c r="AA56" s="1990"/>
      <c r="AB56" s="1990"/>
      <c r="AC56" s="1990"/>
    </row>
    <row r="57" spans="1:29" s="1255" customFormat="1" ht="12.75">
      <c r="A57" s="2165" t="s">
        <v>2115</v>
      </c>
      <c r="B57" s="613" t="e">
        <f t="shared" si="17"/>
        <v>#DIV/0!</v>
      </c>
      <c r="C57" s="372">
        <f t="shared" si="16"/>
        <v>0</v>
      </c>
      <c r="D57" s="2063">
        <v>0.25</v>
      </c>
      <c r="E57" s="616">
        <f>'数据-汇总表'!E11</f>
        <v>0</v>
      </c>
      <c r="F57" s="1819" t="e">
        <f t="shared" si="15"/>
        <v>#DIV/0!</v>
      </c>
      <c r="G57" s="1825" t="s">
        <v>2074</v>
      </c>
      <c r="H57" s="1824">
        <f>项目基本情况!C43</f>
        <v>0</v>
      </c>
      <c r="I57" s="1822">
        <f>SUMIF(修正!$A$57:$A$68,H57,修正!E57:E68)</f>
        <v>0</v>
      </c>
      <c r="J57" s="1452"/>
      <c r="K57" s="3127"/>
      <c r="L57" s="1990"/>
      <c r="M57" s="1990"/>
      <c r="N57" s="1990"/>
      <c r="O57" s="1990"/>
      <c r="P57" s="1990"/>
      <c r="Q57" s="1990"/>
      <c r="R57" s="1990"/>
      <c r="S57" s="1990"/>
      <c r="T57" s="1990"/>
      <c r="U57" s="1990"/>
      <c r="V57" s="1990"/>
      <c r="W57" s="1990"/>
      <c r="X57" s="1990"/>
      <c r="Y57" s="1990"/>
      <c r="Z57" s="1990"/>
      <c r="AA57" s="1990"/>
      <c r="AB57" s="1990"/>
      <c r="AC57" s="1990"/>
    </row>
    <row r="58" spans="1:29" s="1255" customFormat="1" ht="12.75">
      <c r="A58" s="612" t="s">
        <v>551</v>
      </c>
      <c r="B58" s="613" t="e">
        <f t="shared" si="17"/>
        <v>#DIV/0!</v>
      </c>
      <c r="C58" s="372">
        <f t="shared" si="16"/>
        <v>0</v>
      </c>
      <c r="D58" s="2063">
        <v>0.25</v>
      </c>
      <c r="E58" s="616">
        <f>'数据-汇总表'!E12</f>
        <v>9368.35</v>
      </c>
      <c r="F58" s="1819" t="e">
        <f t="shared" si="15"/>
        <v>#DIV/0!</v>
      </c>
      <c r="G58" s="1815" t="s">
        <v>1477</v>
      </c>
      <c r="H58" s="1823">
        <f>IF(G58="商业",项目基本情况!B43,IF(G58="办公",项目基本情况!C43,IF(G58="住宅",项目基本情况!D43,项目基本情况!E43)))</f>
        <v>0</v>
      </c>
      <c r="I58" s="1822">
        <f>SUMIF(修正!$A$57:$A$68,H58,修正!F57:F68)</f>
        <v>0</v>
      </c>
      <c r="J58" s="1452"/>
      <c r="K58" s="3127"/>
      <c r="L58" s="1990"/>
      <c r="M58" s="1990"/>
      <c r="N58" s="1990"/>
      <c r="O58" s="1990"/>
      <c r="P58" s="1990"/>
      <c r="Q58" s="1990"/>
      <c r="R58" s="1990"/>
      <c r="S58" s="1990"/>
      <c r="T58" s="1990"/>
      <c r="U58" s="1990"/>
      <c r="V58" s="1990"/>
      <c r="W58" s="1990"/>
      <c r="X58" s="1990"/>
      <c r="Y58" s="1990"/>
      <c r="Z58" s="1990"/>
      <c r="AA58" s="1990"/>
      <c r="AB58" s="1990"/>
      <c r="AC58" s="1990"/>
    </row>
    <row r="59" spans="1:29" s="1255" customFormat="1" ht="12.75">
      <c r="A59" s="612" t="s">
        <v>552</v>
      </c>
      <c r="B59" s="613" t="e">
        <f t="shared" si="17"/>
        <v>#DIV/0!</v>
      </c>
      <c r="C59" s="372">
        <f t="shared" si="16"/>
        <v>0</v>
      </c>
      <c r="D59" s="2063">
        <v>0.25</v>
      </c>
      <c r="E59" s="616">
        <f>'数据-汇总表'!E13</f>
        <v>0</v>
      </c>
      <c r="F59" s="1819" t="e">
        <f t="shared" si="15"/>
        <v>#DIV/0!</v>
      </c>
      <c r="G59" s="1815" t="s">
        <v>902</v>
      </c>
      <c r="H59" s="1823">
        <f>IF(G59="商业",项目基本情况!B43,IF(G59="办公",项目基本情况!C43,IF(G59="住宅",项目基本情况!D43,项目基本情况!E43)))</f>
        <v>0</v>
      </c>
      <c r="I59" s="1822">
        <f>SUMIF(修正!$A$57:$A$68,H59,修正!G57:G68)</f>
        <v>0</v>
      </c>
      <c r="J59" s="1452"/>
      <c r="K59" s="3127"/>
      <c r="L59" s="1990"/>
      <c r="M59" s="1990"/>
      <c r="N59" s="1990"/>
      <c r="O59" s="1990"/>
      <c r="P59" s="1990"/>
      <c r="Q59" s="1990"/>
      <c r="R59" s="1990"/>
      <c r="S59" s="1990"/>
      <c r="T59" s="1990"/>
      <c r="U59" s="1990"/>
      <c r="V59" s="1990"/>
      <c r="W59" s="1990"/>
      <c r="X59" s="1990"/>
      <c r="Y59" s="1990"/>
      <c r="Z59" s="1990"/>
      <c r="AA59" s="1990"/>
      <c r="AB59" s="1990"/>
      <c r="AC59" s="1990"/>
    </row>
    <row r="60" spans="1:29" s="1255" customFormat="1" ht="12.75">
      <c r="A60" s="612" t="s">
        <v>553</v>
      </c>
      <c r="B60" s="613" t="e">
        <f t="shared" si="17"/>
        <v>#DIV/0!</v>
      </c>
      <c r="C60" s="372">
        <f t="shared" si="16"/>
        <v>0.1</v>
      </c>
      <c r="D60" s="2063">
        <v>0.25</v>
      </c>
      <c r="E60" s="616">
        <f>'数据-汇总表'!E14</f>
        <v>0</v>
      </c>
      <c r="F60" s="1819" t="e">
        <f t="shared" si="15"/>
        <v>#DIV/0!</v>
      </c>
      <c r="G60" s="1825" t="s">
        <v>2073</v>
      </c>
      <c r="H60" s="1824" t="str">
        <f>项目基本情况!B43</f>
        <v>十一级</v>
      </c>
      <c r="I60" s="1822">
        <f>SUMIF(修正!$A$57:$A$68,H60,修正!G57:G68)</f>
        <v>0.1</v>
      </c>
      <c r="J60" s="1452"/>
      <c r="K60" s="3127"/>
      <c r="L60" s="1990"/>
      <c r="M60" s="1990"/>
      <c r="N60" s="1990"/>
      <c r="O60" s="1990"/>
      <c r="P60" s="1990"/>
      <c r="Q60" s="1990"/>
      <c r="R60" s="1990"/>
      <c r="S60" s="1990"/>
      <c r="T60" s="1990"/>
      <c r="U60" s="1990"/>
      <c r="V60" s="1990"/>
      <c r="W60" s="1990"/>
      <c r="X60" s="1990"/>
      <c r="Y60" s="1990"/>
      <c r="Z60" s="1990"/>
      <c r="AA60" s="1990"/>
      <c r="AB60" s="1990"/>
      <c r="AC60" s="1990"/>
    </row>
    <row r="61" spans="1:29" s="1255" customFormat="1" ht="13.5" thickBot="1">
      <c r="A61" s="612" t="s">
        <v>554</v>
      </c>
      <c r="B61" s="613" t="e">
        <f t="shared" si="17"/>
        <v>#DIV/0!</v>
      </c>
      <c r="C61" s="372">
        <f t="shared" si="16"/>
        <v>0</v>
      </c>
      <c r="D61" s="2063">
        <v>0.25</v>
      </c>
      <c r="E61" s="616">
        <f>'数据-汇总表'!E15</f>
        <v>0</v>
      </c>
      <c r="F61" s="1819" t="e">
        <f t="shared" si="15"/>
        <v>#DIV/0!</v>
      </c>
      <c r="G61" s="1826" t="s">
        <v>2074</v>
      </c>
      <c r="H61" s="1827">
        <f>项目基本情况!C43</f>
        <v>0</v>
      </c>
      <c r="I61" s="1822">
        <f>SUMIF(修正!$A$57:$A$68,H61,修正!G57:G68)</f>
        <v>0</v>
      </c>
      <c r="J61" s="1452"/>
      <c r="K61" s="3127"/>
      <c r="L61" s="1990"/>
      <c r="M61" s="1990"/>
      <c r="N61" s="1990"/>
      <c r="O61" s="1990"/>
      <c r="P61" s="1990"/>
      <c r="Q61" s="1990"/>
      <c r="R61" s="1990"/>
      <c r="S61" s="1990"/>
      <c r="T61" s="1990"/>
      <c r="U61" s="1990"/>
      <c r="V61" s="1990"/>
      <c r="W61" s="1990"/>
      <c r="X61" s="1990"/>
      <c r="Y61" s="1990"/>
      <c r="Z61" s="1990"/>
      <c r="AA61" s="1990"/>
      <c r="AB61" s="1990"/>
      <c r="AC61" s="1990"/>
    </row>
    <row r="62" spans="1:29" s="1255" customFormat="1" ht="13.5" thickBot="1">
      <c r="A62" s="617" t="s">
        <v>555</v>
      </c>
      <c r="B62" s="618" t="s">
        <v>17</v>
      </c>
      <c r="C62" s="618" t="s">
        <v>18</v>
      </c>
      <c r="D62" s="618" t="s">
        <v>2081</v>
      </c>
      <c r="E62" s="618">
        <f>IF(B43="楼面地价",SUM(E53:E61),'数据-汇总表'!D3)</f>
        <v>30101.08</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2022-5-1</v>
      </c>
      <c r="D64" s="2438">
        <f>EDATE(C64,-3)</f>
        <v>44593</v>
      </c>
      <c r="E64" s="2438">
        <f t="shared" ref="E64:N64" si="18">EDATE(D64,-3)</f>
        <v>44501</v>
      </c>
      <c r="F64" s="2438">
        <f t="shared" si="18"/>
        <v>44409</v>
      </c>
      <c r="G64" s="2438">
        <f t="shared" si="18"/>
        <v>44317</v>
      </c>
      <c r="H64" s="2438">
        <f t="shared" si="18"/>
        <v>44228</v>
      </c>
      <c r="I64" s="2438">
        <f t="shared" si="18"/>
        <v>44136</v>
      </c>
      <c r="J64" s="2438">
        <f t="shared" si="18"/>
        <v>44044</v>
      </c>
      <c r="K64" s="2438">
        <f t="shared" si="18"/>
        <v>43952</v>
      </c>
      <c r="L64" s="2438">
        <f t="shared" si="18"/>
        <v>43862</v>
      </c>
      <c r="M64" s="2438">
        <f t="shared" si="18"/>
        <v>43770</v>
      </c>
      <c r="N64" s="2438">
        <f t="shared" si="18"/>
        <v>43678</v>
      </c>
      <c r="O64" s="1981"/>
      <c r="P64" s="1981"/>
      <c r="Q64" s="1981"/>
      <c r="R64" s="1981"/>
      <c r="S64" s="1981"/>
      <c r="T64" s="1981"/>
      <c r="U64" s="1981"/>
      <c r="V64" s="1981"/>
      <c r="W64" s="1981"/>
      <c r="X64" s="1981"/>
      <c r="Y64" s="1981"/>
      <c r="Z64" s="1981"/>
      <c r="AA64" s="1981"/>
      <c r="AB64" s="1981"/>
      <c r="AC64" s="1981"/>
    </row>
    <row r="65" spans="1:29" ht="21.75" thickBot="1">
      <c r="A65" s="1475" t="s">
        <v>556</v>
      </c>
      <c r="B65" s="1453"/>
      <c r="C65" s="1474"/>
      <c r="D65" s="1474"/>
      <c r="E65" s="1474"/>
      <c r="F65" s="1476"/>
      <c r="G65" s="1476"/>
      <c r="H65" s="1474"/>
      <c r="I65" s="1474"/>
      <c r="J65" s="1474"/>
      <c r="K65" s="1477"/>
      <c r="L65" s="1473"/>
      <c r="M65" s="1474"/>
      <c r="N65" s="1474"/>
      <c r="O65" s="1992"/>
      <c r="P65" s="1992"/>
      <c r="Q65" s="1993"/>
      <c r="R65" s="1981"/>
      <c r="S65" s="1981"/>
      <c r="T65" s="1981"/>
      <c r="U65" s="1981"/>
      <c r="V65" s="1981"/>
      <c r="W65" s="1981"/>
      <c r="X65" s="1981"/>
      <c r="Y65" s="1981"/>
      <c r="Z65" s="1981"/>
      <c r="AA65" s="1981"/>
      <c r="AB65" s="1981"/>
      <c r="AC65" s="1981"/>
    </row>
    <row r="66" spans="1:29" s="1256" customFormat="1" ht="15">
      <c r="A66" s="2343" t="s">
        <v>2248</v>
      </c>
      <c r="B66" s="621"/>
      <c r="C66" s="2435" t="str">
        <f>YEAR(C64)&amp;"-"&amp;ROUNDUP(MONTH(C64)/3,0)</f>
        <v>2022-2</v>
      </c>
      <c r="D66" s="2440" t="str">
        <f t="shared" ref="D66:N66" si="19">YEAR(D64)&amp;"-"&amp;ROUNDUP(MONTH(D64)/3,0)</f>
        <v>2022-1</v>
      </c>
      <c r="E66" s="2440" t="str">
        <f t="shared" si="19"/>
        <v>2021-4</v>
      </c>
      <c r="F66" s="2440" t="str">
        <f t="shared" si="19"/>
        <v>2021-3</v>
      </c>
      <c r="G66" s="2440" t="str">
        <f t="shared" si="19"/>
        <v>2021-2</v>
      </c>
      <c r="H66" s="2440" t="str">
        <f t="shared" si="19"/>
        <v>2021-1</v>
      </c>
      <c r="I66" s="2440" t="str">
        <f t="shared" si="19"/>
        <v>2020-4</v>
      </c>
      <c r="J66" s="2440" t="str">
        <f t="shared" si="19"/>
        <v>2020-3</v>
      </c>
      <c r="K66" s="2440" t="str">
        <f t="shared" si="19"/>
        <v>2020-2</v>
      </c>
      <c r="L66" s="2440" t="str">
        <f t="shared" si="19"/>
        <v>2020-1</v>
      </c>
      <c r="M66" s="2440" t="str">
        <f t="shared" si="19"/>
        <v>2019-4</v>
      </c>
      <c r="N66" s="2440" t="str">
        <f t="shared" si="19"/>
        <v>2019-3</v>
      </c>
      <c r="O66" s="1994"/>
      <c r="P66" s="1995"/>
      <c r="Q66" s="1996"/>
      <c r="R66" s="1996"/>
      <c r="S66" s="1996"/>
      <c r="T66" s="1996"/>
      <c r="U66" s="1996"/>
      <c r="V66" s="1996"/>
      <c r="W66" s="1996"/>
      <c r="X66" s="1996"/>
      <c r="Y66" s="1996"/>
      <c r="Z66" s="1996"/>
      <c r="AA66" s="1996"/>
      <c r="AB66" s="1996"/>
      <c r="AC66" s="1996"/>
    </row>
    <row r="67" spans="1:29" s="1167" customFormat="1" ht="27.75" customHeight="1">
      <c r="A67" s="2437" t="s">
        <v>2363</v>
      </c>
      <c r="B67" s="472" t="str">
        <f>"北京市平均增长率"&amp;TEXT(基准地价!P24,"0.00%")</f>
        <v>北京市平均增长率1.16%</v>
      </c>
      <c r="C67" s="866">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7"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7"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7"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9"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9"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9"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9"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9"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9"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9" customFormat="1" ht="15.75" thickTop="1">
      <c r="A92" s="662"/>
      <c r="B92" s="1765" t="s">
        <v>2263</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9" customFormat="1" ht="15.75" thickTop="1">
      <c r="A94" s="662"/>
      <c r="B94" s="2363" t="s">
        <v>2265</v>
      </c>
      <c r="C94" s="2364" t="s">
        <v>2266</v>
      </c>
      <c r="D94" s="2364" t="s">
        <v>2267</v>
      </c>
      <c r="E94" s="2364" t="s">
        <v>2268</v>
      </c>
      <c r="F94" s="2364" t="s">
        <v>2269</v>
      </c>
      <c r="G94" s="2364" t="s">
        <v>2270</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9"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9"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9" customFormat="1" ht="15" thickTop="1">
      <c r="A113" s="703"/>
      <c r="B113" s="1765" t="s">
        <v>2209</v>
      </c>
      <c r="C113" s="1283"/>
      <c r="D113" s="1283"/>
      <c r="E113" s="1283"/>
      <c r="F113" s="1283"/>
      <c r="G113" s="1283"/>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9"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9"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2210</v>
      </c>
      <c r="D1" s="1417">
        <f>SUM(D29:D30,D33:D39)</f>
        <v>0</v>
      </c>
      <c r="E1" s="1311" t="s">
        <v>2211</v>
      </c>
      <c r="F1" s="2261"/>
      <c r="G1" s="1306"/>
      <c r="H1" s="1306"/>
      <c r="I1" s="1306"/>
      <c r="J1" s="1306"/>
      <c r="K1" s="2024"/>
      <c r="L1" s="1751" t="s">
        <v>2027</v>
      </c>
      <c r="M1" s="1752">
        <f>SUMPRODUCT((区片价!B5:B9=I2)*(区片价!C3:F3=E2)*(区片价!C5:F9))</f>
        <v>0</v>
      </c>
      <c r="N1" s="1753">
        <f>SUMPRODUCT((因素修正幅度!B5:B9=I2)*(因素修正幅度!C3:F3=E2)*(因素修正幅度!C5:F9))</f>
        <v>0</v>
      </c>
      <c r="O1" s="2024"/>
      <c r="P1" s="2024"/>
      <c r="Q1" s="2024"/>
      <c r="R1" s="2575" t="s">
        <v>2475</v>
      </c>
      <c r="S1" s="2575" t="s">
        <v>2476</v>
      </c>
      <c r="T1" s="2575" t="s">
        <v>2497</v>
      </c>
      <c r="U1" s="2575" t="s">
        <v>2498</v>
      </c>
      <c r="V1" s="2575" t="s">
        <v>2499</v>
      </c>
      <c r="W1" s="2024"/>
      <c r="X1" s="2024"/>
      <c r="Y1" s="2024"/>
      <c r="Z1" s="2024"/>
      <c r="AA1" s="2024"/>
      <c r="AB1" s="2024"/>
      <c r="AC1" s="2025"/>
    </row>
    <row r="2" spans="1:39" ht="15.75">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40"/>
      <c r="L2" s="1754" t="s">
        <v>2028</v>
      </c>
      <c r="M2" s="1755">
        <f>SUMPRODUCT((区片价!B10:B28=I2)*(区片价!C3:F3=E2)*(区片价!C10:F28))</f>
        <v>0</v>
      </c>
      <c r="N2" s="1756">
        <f>SUMPRODUCT((因素修正幅度!B10:B28=I2)*(因素修正幅度!C3:F3=E2)*(因素修正幅度!C10:F28))</f>
        <v>0</v>
      </c>
      <c r="O2" s="3140"/>
      <c r="P2" s="2024"/>
      <c r="Q2" s="2024"/>
      <c r="R2" s="2576">
        <v>1</v>
      </c>
      <c r="S2" s="2576" t="e">
        <f>ROUND(IF(G3&gt;1,IF(R2&lt;7,SUMPRODUCT((B93:B98=R2)*(C92:N92=G2)*(C93:N98)),SUMIF(C92:N92,G2,C100:N100)),IF(R2&lt;7,SUMPRODUCT((B102:B107=R2)*(C92:N92=G2)*(C102:N107)),SUMIF(C92:N92,G2,C109:N109))),4)</f>
        <v>#DIV/0!</v>
      </c>
      <c r="T2" s="2576" t="e">
        <f>ROUND($C$5*$C$18*$C$19*$C$20*S2*$C$24,0)</f>
        <v>#DIV/0!</v>
      </c>
      <c r="U2" s="2565"/>
      <c r="V2" s="2576" t="e">
        <f>ROUND(T2*U2/10000,0)</f>
        <v>#DIV/0!</v>
      </c>
      <c r="W2" s="2024"/>
      <c r="X2" s="2024"/>
      <c r="Y2" s="2024"/>
      <c r="Z2" s="2024"/>
      <c r="AA2" s="2024"/>
      <c r="AB2" s="2024"/>
      <c r="AC2" s="2025"/>
    </row>
    <row r="3" spans="1:39" ht="15.75">
      <c r="A3" s="1316" t="s">
        <v>1487</v>
      </c>
      <c r="B3" s="1008" t="e">
        <f>ROUND(B2*10000/D1,0)</f>
        <v>#DIV/0!</v>
      </c>
      <c r="C3" s="1312" t="s">
        <v>906</v>
      </c>
      <c r="D3" s="1313" t="s">
        <v>907</v>
      </c>
      <c r="E3" s="1317"/>
      <c r="F3" s="1318"/>
      <c r="G3" s="1009">
        <f>IF(F3="宗地容积率",'数据-汇总表'!I4,IF(F3="估价对象容积率",'数据-汇总表'!I6,'数据-汇总表'!I7))</f>
        <v>0</v>
      </c>
      <c r="H3" s="1319" t="s">
        <v>908</v>
      </c>
      <c r="I3" s="1010">
        <v>8</v>
      </c>
      <c r="J3" s="1315" t="s">
        <v>909</v>
      </c>
      <c r="K3" s="3140"/>
      <c r="L3" s="1754" t="s">
        <v>2029</v>
      </c>
      <c r="M3" s="1755">
        <f>SUMPRODUCT((区片价!B29:B48=I2)*(区片价!C3:F3=E2)*(区片价!C29:F48))</f>
        <v>0</v>
      </c>
      <c r="N3" s="1756">
        <f>SUMPRODUCT((因素修正幅度!B29:B48=I2)*(因素修正幅度!C3:F3=E2)*(因素修正幅度!C29:F48))</f>
        <v>0</v>
      </c>
      <c r="O3" s="3140"/>
      <c r="P3" s="2024"/>
      <c r="Q3" s="2024"/>
      <c r="R3" s="2576">
        <v>2</v>
      </c>
      <c r="S3" s="2576" t="e">
        <f>ROUND(IF(G3&gt;1,IF(R3&lt;7,SUMPRODUCT((B93:B98=R3)*(C92:N92=G2)*(C93:N98)),SUMIF(C92:N92,G2,C100:N100)),IF(R3&lt;7,SUMPRODUCT((B102:B107=R3)*(C92:N92=G2)*(C102:N107)),SUMIF(C92:N92,G2,C109:N109))),4)</f>
        <v>#DIV/0!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2068</v>
      </c>
      <c r="B4" s="2262" t="e">
        <f>ROUND(B2*10000/F1,0)</f>
        <v>#DIV/0!</v>
      </c>
      <c r="C4" s="1763" t="s">
        <v>2043</v>
      </c>
      <c r="D4" s="1763" t="e">
        <f>ROUND(B2/(F1/666.67),0)</f>
        <v>#DIV/0!</v>
      </c>
      <c r="E4" s="1763" t="s">
        <v>2044</v>
      </c>
      <c r="F4" s="1761"/>
      <c r="G4" s="1761"/>
      <c r="H4" s="1761"/>
      <c r="I4" s="1761"/>
      <c r="J4" s="1762"/>
      <c r="K4" s="3141"/>
      <c r="L4" s="1754" t="s">
        <v>2030</v>
      </c>
      <c r="M4" s="1755">
        <f>SUMPRODUCT((区片价!B49:B75=I2)*(区片价!C3:F3=E2)*(区片价!C49:F75))</f>
        <v>0</v>
      </c>
      <c r="N4" s="1756">
        <f>SUMPRODUCT((因素修正幅度!B49:B75=I2)*(因素修正幅度!C3:F3=E2)*(因素修正幅度!C49:F75))</f>
        <v>0</v>
      </c>
      <c r="O4" s="3141"/>
      <c r="P4" s="2024"/>
      <c r="Q4" s="2024"/>
      <c r="R4" s="2576">
        <v>3</v>
      </c>
      <c r="S4" s="2576" t="e">
        <f>ROUND(IF(G3&gt;1,IF(R4&lt;7,SUMPRODUCT((B93:B98=R4)*(C92:N92=G2)*(C93:N98)),SUMIF(C92:N92,G2,C100:N100)),IF(R4&lt;7,SUMPRODUCT((B102:B107=R4)*(C92:N92=G2)*(C102:N107)),SUMIF(C92:N92,G2,C109:N109))),4)</f>
        <v>#DIV/0!</v>
      </c>
      <c r="T4" s="2576" t="e">
        <f t="shared" si="0"/>
        <v>#DIV/0!</v>
      </c>
      <c r="U4" s="2565"/>
      <c r="V4" s="2576" t="e">
        <f t="shared" si="1"/>
        <v>#DIV/0!</v>
      </c>
      <c r="W4" s="2024"/>
      <c r="X4" s="2024"/>
      <c r="Y4" s="2024"/>
      <c r="Z4" s="2024"/>
      <c r="AA4" s="2024"/>
      <c r="AB4" s="2024"/>
      <c r="AC4" s="2025"/>
    </row>
    <row r="5" spans="1:39" s="1326" customFormat="1" ht="15.75" thickBot="1">
      <c r="A5" s="1522" t="s">
        <v>1623</v>
      </c>
      <c r="B5" s="1320" t="s">
        <v>910</v>
      </c>
      <c r="C5" s="1011" t="e">
        <f>ROUND(IF(E2="商业",C6*C7+C16,(IF(E2="住宅",C6*C12+C16,C6+C16))),0)</f>
        <v>#DIV/0!</v>
      </c>
      <c r="D5" s="2711" t="e">
        <f>ROUND(C6+C16,0)</f>
        <v>#DIV/0!</v>
      </c>
      <c r="E5" s="2711"/>
      <c r="F5" s="1321"/>
      <c r="G5" s="1322"/>
      <c r="H5" s="1322"/>
      <c r="I5" s="1322"/>
      <c r="J5" s="1323"/>
      <c r="K5" s="3142"/>
      <c r="L5" s="1754" t="s">
        <v>2031</v>
      </c>
      <c r="M5" s="1755">
        <f>SUMPRODUCT((区片价!B76:B109=I2)*(区片价!C3:F3=E2)*(区片价!C76:F109))</f>
        <v>0</v>
      </c>
      <c r="N5" s="1756">
        <f>SUMPRODUCT((因素修正幅度!B76:B109=I2)*(因素修正幅度!C3:F3=E2)*(因素修正幅度!C76:F109))</f>
        <v>0</v>
      </c>
      <c r="O5" s="3142"/>
      <c r="P5" s="3145"/>
      <c r="Q5" s="2024"/>
      <c r="R5" s="2576">
        <v>4</v>
      </c>
      <c r="S5" s="2576" t="e">
        <f>ROUND(IF(G3&gt;1,IF(R5&lt;7,SUMPRODUCT((B93:B98=R5)*(C92:N92=G2)*(C93:N98)),SUMIF(C92:N92,G2,C100:N100)),IF(R5&lt;7,SUMPRODUCT((B102:B107=R5)*(C92:N92=G2)*(C102:N107)),SUMIF(C92:N92,G2,C109:N109))),4)</f>
        <v>#DIV/0!</v>
      </c>
      <c r="T5" s="2576" t="e">
        <f t="shared" si="0"/>
        <v>#DIV/0!</v>
      </c>
      <c r="U5" s="2565"/>
      <c r="V5" s="2576" t="e">
        <f t="shared" si="1"/>
        <v>#DIV/0!</v>
      </c>
      <c r="W5" s="2024"/>
      <c r="X5" s="2024"/>
      <c r="Y5" s="2024"/>
      <c r="Z5" s="2024"/>
      <c r="AA5" s="2024"/>
      <c r="AB5" s="2024"/>
      <c r="AC5" s="2026"/>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3"/>
      <c r="L6" s="1754" t="s">
        <v>2032</v>
      </c>
      <c r="M6" s="1755">
        <f>SUMPRODUCT((区片价!B110:B157=I2)*(区片价!C3:F3=E2)*(区片价!C110:F157))</f>
        <v>0</v>
      </c>
      <c r="N6" s="1756">
        <f>SUMPRODUCT((因素修正幅度!B110:B157=I2)*(因素修正幅度!C3:F3=E2)*(因素修正幅度!C110:F157))</f>
        <v>0</v>
      </c>
      <c r="O6" s="3143"/>
      <c r="P6" s="3146"/>
      <c r="Q6" s="2024"/>
      <c r="R6" s="2576">
        <v>5</v>
      </c>
      <c r="S6" s="2576" t="e">
        <f>ROUND(IF(G3&gt;1,IF(R6&lt;7,SUMPRODUCT((B93:B98=R6)*(C92:N92=G2)*(C93:N98)),SUMIF(C92:N92,G2,C100:N100)),IF(R6&lt;7,SUMPRODUCT((B102:B107=R6)*(C92:N92=G2)*(C102:N107)),SUMIF(C92:N92,G2,C109:N109))),4)</f>
        <v>#DIV/0!</v>
      </c>
      <c r="T6" s="2576" t="e">
        <f t="shared" si="0"/>
        <v>#DIV/0!</v>
      </c>
      <c r="U6" s="2565"/>
      <c r="V6" s="2576" t="e">
        <f t="shared" si="1"/>
        <v>#DIV/0!</v>
      </c>
      <c r="W6" s="2024"/>
      <c r="X6" s="2024"/>
      <c r="Y6" s="2024"/>
      <c r="Z6" s="2024"/>
      <c r="AA6" s="2024"/>
      <c r="AB6" s="2024"/>
      <c r="AC6" s="2026"/>
      <c r="AD6" s="1324"/>
      <c r="AE6" s="1324"/>
      <c r="AF6" s="1324"/>
      <c r="AG6" s="1324"/>
      <c r="AH6" s="1324"/>
      <c r="AI6" s="1324"/>
      <c r="AJ6" s="1325"/>
    </row>
    <row r="7" spans="1:39" ht="24">
      <c r="A7" s="3784" t="str">
        <f>IF(E2="商业",IF(C8="不临58条商业街","",2),"")</f>
        <v/>
      </c>
      <c r="B7" s="1332" t="s">
        <v>911</v>
      </c>
      <c r="C7" s="1013" t="e">
        <f>IF(C8="不临58条商业街",1,ROUND(1+(1.6*E8+1.2*E9+0.8*E10+0.4*E11)*C9,4))</f>
        <v>#DIV/0!</v>
      </c>
      <c r="D7" s="1333" t="s">
        <v>912</v>
      </c>
      <c r="E7" s="1014"/>
      <c r="F7" s="1334"/>
      <c r="G7" s="1335"/>
      <c r="H7" s="1335"/>
      <c r="I7" s="1335"/>
      <c r="J7" s="1336"/>
      <c r="K7" s="3143"/>
      <c r="L7" s="1754" t="s">
        <v>2033</v>
      </c>
      <c r="M7" s="1755">
        <f>SUMPRODUCT((区片价!B158:B205=I2)*(区片价!C3:F3=E2)*(区片价!C158:F205))</f>
        <v>0</v>
      </c>
      <c r="N7" s="1756">
        <f>SUMPRODUCT((因素修正幅度!B158:B205=I2)*(因素修正幅度!C3:F3=E2)*(因素修正幅度!C158:F205))</f>
        <v>0</v>
      </c>
      <c r="O7" s="3143"/>
      <c r="P7" s="3146"/>
      <c r="Q7" s="2024"/>
      <c r="R7" s="2576">
        <v>6</v>
      </c>
      <c r="S7" s="2576" t="e">
        <f>ROUND(IF(G3&gt;1,IF(R7&lt;7,SUMPRODUCT((B93:B98=R7)*(C92:N92=G2)*(C93:N98)),SUMIF(C92:N92,G2,C100:N100)),IF(R7&lt;7,SUMPRODUCT((B102:B107=R7)*(C92:N92=G2)*(C102:N107)),SUMIF(C92:N92,G2,C109:N109))),4)</f>
        <v>#DIV/0!</v>
      </c>
      <c r="T7" s="2576" t="e">
        <f t="shared" si="0"/>
        <v>#DIV/0!</v>
      </c>
      <c r="U7" s="2565"/>
      <c r="V7" s="2576" t="e">
        <f t="shared" si="1"/>
        <v>#DIV/0!</v>
      </c>
      <c r="W7" s="2574" t="s">
        <v>2478</v>
      </c>
      <c r="X7" s="2566">
        <f>G2</f>
        <v>0</v>
      </c>
      <c r="Y7" s="2566" t="s">
        <v>2479</v>
      </c>
      <c r="Z7" s="2567">
        <f>G3</f>
        <v>0</v>
      </c>
      <c r="AA7" s="2027"/>
      <c r="AB7" s="2027"/>
      <c r="AC7" s="2028"/>
      <c r="AD7" s="2568"/>
      <c r="AE7" s="2568"/>
      <c r="AF7" s="2568"/>
      <c r="AG7" s="2568"/>
      <c r="AH7" s="2568"/>
      <c r="AI7" s="2568"/>
      <c r="AJ7" s="2569"/>
    </row>
    <row r="8" spans="1:39" ht="15">
      <c r="A8" s="3785"/>
      <c r="B8" s="1319" t="s">
        <v>913</v>
      </c>
      <c r="C8" s="1425"/>
      <c r="D8" s="1015" t="s">
        <v>914</v>
      </c>
      <c r="E8" s="1016" t="e">
        <f>ROUND(C11/E7,4)</f>
        <v>#DIV/0!</v>
      </c>
      <c r="F8" s="1337" t="s">
        <v>915</v>
      </c>
      <c r="G8" s="1338"/>
      <c r="H8" s="1338"/>
      <c r="I8" s="1338"/>
      <c r="J8" s="1339"/>
      <c r="K8" s="3143"/>
      <c r="L8" s="1754" t="s">
        <v>2034</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71" t="s">
        <v>2496</v>
      </c>
      <c r="X8" s="3772"/>
      <c r="Y8" s="1718" t="s">
        <v>2480</v>
      </c>
      <c r="Z8" s="1718" t="s">
        <v>2481</v>
      </c>
      <c r="AA8" s="1718" t="s">
        <v>2482</v>
      </c>
      <c r="AB8" s="1718" t="s">
        <v>2483</v>
      </c>
      <c r="AC8" s="1718" t="s">
        <v>2484</v>
      </c>
      <c r="AD8" s="1718" t="s">
        <v>2485</v>
      </c>
      <c r="AE8" s="1718" t="s">
        <v>2486</v>
      </c>
      <c r="AF8" s="1718" t="s">
        <v>2487</v>
      </c>
      <c r="AG8" s="1718" t="s">
        <v>2488</v>
      </c>
      <c r="AH8" s="1718" t="s">
        <v>2489</v>
      </c>
      <c r="AI8" s="1718" t="s">
        <v>2490</v>
      </c>
      <c r="AJ8" s="1718" t="s">
        <v>2491</v>
      </c>
    </row>
    <row r="9" spans="1:39" ht="15">
      <c r="A9" s="3785"/>
      <c r="B9" s="1319" t="s">
        <v>916</v>
      </c>
      <c r="C9" s="1017">
        <f>SUMIF(修正!C71:C139,C8,修正!E71:E139)</f>
        <v>0</v>
      </c>
      <c r="D9" s="1018" t="s">
        <v>917</v>
      </c>
      <c r="E9" s="1018" t="e">
        <f>ROUND(C11/E7,4)</f>
        <v>#DIV/0!</v>
      </c>
      <c r="F9" s="1337" t="s">
        <v>918</v>
      </c>
      <c r="G9" s="1338"/>
      <c r="H9" s="1338"/>
      <c r="I9" s="1338"/>
      <c r="J9" s="1339"/>
      <c r="K9" s="3143"/>
      <c r="L9" s="1754" t="s">
        <v>2035</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70" t="s">
        <v>2492</v>
      </c>
      <c r="X9" s="2570" t="s">
        <v>2493</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85"/>
      <c r="B10" s="1319" t="s">
        <v>919</v>
      </c>
      <c r="C10" s="1018">
        <f>SUMIF(修正!C71:C139,C8,修正!F71:F139)</f>
        <v>0</v>
      </c>
      <c r="D10" s="1018" t="s">
        <v>920</v>
      </c>
      <c r="E10" s="1018" t="e">
        <f>ROUND(C11/E7,4)</f>
        <v>#DIV/0!</v>
      </c>
      <c r="F10" s="1337" t="s">
        <v>921</v>
      </c>
      <c r="G10" s="1338"/>
      <c r="H10" s="1338"/>
      <c r="I10" s="1338"/>
      <c r="J10" s="1339"/>
      <c r="K10" s="3143"/>
      <c r="L10" s="1754" t="s">
        <v>2036</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70"/>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85"/>
      <c r="B11" s="1340" t="s">
        <v>922</v>
      </c>
      <c r="C11" s="1019">
        <f>C10/4</f>
        <v>0</v>
      </c>
      <c r="D11" s="1019" t="s">
        <v>923</v>
      </c>
      <c r="E11" s="1019" t="e">
        <f>ROUND(C11/E7,4)</f>
        <v>#DIV/0!</v>
      </c>
      <c r="F11" s="1341" t="s">
        <v>924</v>
      </c>
      <c r="G11" s="1342"/>
      <c r="H11" s="1342"/>
      <c r="I11" s="1342"/>
      <c r="J11" s="1343"/>
      <c r="K11" s="3143"/>
      <c r="L11" s="1754" t="s">
        <v>2037</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70" t="s">
        <v>2494</v>
      </c>
      <c r="X11" s="1018" t="s">
        <v>2479</v>
      </c>
      <c r="Y11" s="1537">
        <f>$G$3</f>
        <v>0</v>
      </c>
      <c r="Z11" s="1537">
        <f t="shared" ref="Z11:AJ11" si="3">$G$3</f>
        <v>0</v>
      </c>
      <c r="AA11" s="1537">
        <f t="shared" si="3"/>
        <v>0</v>
      </c>
      <c r="AB11" s="1537">
        <f t="shared" si="3"/>
        <v>0</v>
      </c>
      <c r="AC11" s="1537">
        <f t="shared" si="3"/>
        <v>0</v>
      </c>
      <c r="AD11" s="1537">
        <f t="shared" si="3"/>
        <v>0</v>
      </c>
      <c r="AE11" s="1537">
        <f t="shared" si="3"/>
        <v>0</v>
      </c>
      <c r="AF11" s="1537">
        <f t="shared" si="3"/>
        <v>0</v>
      </c>
      <c r="AG11" s="1537">
        <f t="shared" si="3"/>
        <v>0</v>
      </c>
      <c r="AH11" s="1537">
        <f t="shared" si="3"/>
        <v>0</v>
      </c>
      <c r="AI11" s="1537">
        <f t="shared" si="3"/>
        <v>0</v>
      </c>
      <c r="AJ11" s="1537">
        <f t="shared" si="3"/>
        <v>0</v>
      </c>
    </row>
    <row r="12" spans="1:39" ht="25.5" thickBot="1">
      <c r="A12" s="3784" t="s">
        <v>1667</v>
      </c>
      <c r="B12" s="1344" t="s">
        <v>925</v>
      </c>
      <c r="C12" s="1013">
        <f>ROUND(C15*D15*E15*F15*G15*H15*I15*J15,4)</f>
        <v>1</v>
      </c>
      <c r="D12" s="1345" t="s">
        <v>926</v>
      </c>
      <c r="E12" s="1346"/>
      <c r="F12" s="1346"/>
      <c r="G12" s="1347"/>
      <c r="H12" s="1347"/>
      <c r="I12" s="1347"/>
      <c r="J12" s="1348"/>
      <c r="K12" s="3143"/>
      <c r="L12" s="1757" t="s">
        <v>2038</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70"/>
      <c r="X12" s="2573" t="s">
        <v>2495</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86"/>
      <c r="B13" s="1349" t="s">
        <v>1496</v>
      </c>
      <c r="C13" s="1350" t="s">
        <v>1497</v>
      </c>
      <c r="D13" s="1055" t="s">
        <v>1498</v>
      </c>
      <c r="E13" s="1055" t="s">
        <v>1499</v>
      </c>
      <c r="F13" s="1351" t="s">
        <v>927</v>
      </c>
      <c r="G13" s="1352" t="s">
        <v>1443</v>
      </c>
      <c r="H13" s="1353" t="s">
        <v>1443</v>
      </c>
      <c r="I13" s="1354" t="s">
        <v>1443</v>
      </c>
      <c r="J13" s="1355" t="s">
        <v>1443</v>
      </c>
      <c r="K13" s="2761"/>
      <c r="L13" s="2761"/>
      <c r="M13" s="2761"/>
      <c r="N13" s="2761"/>
      <c r="O13" s="2761"/>
      <c r="P13" s="2024"/>
      <c r="Q13" s="2024"/>
      <c r="R13" s="2576">
        <v>12</v>
      </c>
      <c r="S13" s="2565"/>
      <c r="T13" s="2576" t="e">
        <f t="shared" si="0"/>
        <v>#DIV/0!</v>
      </c>
      <c r="U13" s="2565"/>
      <c r="V13" s="2576" t="e">
        <f t="shared" si="1"/>
        <v>#DIV/0!</v>
      </c>
      <c r="W13" s="3770"/>
      <c r="X13" s="2573"/>
      <c r="Y13" s="2572" t="e">
        <f>(-0.163*(Y12^2)-0.59*Y12+7617)*(10^(-4))/Y11</f>
        <v>#DIV/0!</v>
      </c>
      <c r="Z13" s="2572" t="e">
        <f t="shared" ref="Z13:AJ13" si="5">(-0.163*(Z12^2)-0.59*Z12+7617)*(10^(-4))/Z11</f>
        <v>#DIV/0!</v>
      </c>
      <c r="AA13" s="2572" t="e">
        <f t="shared" si="5"/>
        <v>#DIV/0!</v>
      </c>
      <c r="AB13" s="2572" t="e">
        <f t="shared" si="5"/>
        <v>#DIV/0!</v>
      </c>
      <c r="AC13" s="2572" t="e">
        <f t="shared" si="5"/>
        <v>#DIV/0!</v>
      </c>
      <c r="AD13" s="2572" t="e">
        <f t="shared" si="5"/>
        <v>#DIV/0!</v>
      </c>
      <c r="AE13" s="2572" t="e">
        <f t="shared" si="5"/>
        <v>#DIV/0!</v>
      </c>
      <c r="AF13" s="2572" t="e">
        <f t="shared" si="5"/>
        <v>#DIV/0!</v>
      </c>
      <c r="AG13" s="2572" t="e">
        <f t="shared" si="5"/>
        <v>#DIV/0!</v>
      </c>
      <c r="AH13" s="2572" t="e">
        <f t="shared" si="5"/>
        <v>#DIV/0!</v>
      </c>
      <c r="AI13" s="2572" t="e">
        <f t="shared" si="5"/>
        <v>#DIV/0!</v>
      </c>
      <c r="AJ13" s="2572" t="e">
        <f t="shared" si="5"/>
        <v>#DIV/0!</v>
      </c>
    </row>
    <row r="14" spans="1:39" ht="12.75" customHeight="1">
      <c r="A14" s="3786"/>
      <c r="B14" s="1356"/>
      <c r="C14" s="1357"/>
      <c r="D14" s="1358"/>
      <c r="E14" s="1358"/>
      <c r="F14" s="1359"/>
      <c r="G14" s="1360" t="s">
        <v>928</v>
      </c>
      <c r="H14" s="1361"/>
      <c r="I14" s="1362"/>
      <c r="J14" s="1363"/>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87"/>
      <c r="B15" s="2766" t="s">
        <v>1500</v>
      </c>
      <c r="C15" s="1019">
        <f>IF(C14="有",1.1,1)</f>
        <v>1</v>
      </c>
      <c r="D15" s="1019">
        <f>IF(D14="有",1.1,1)</f>
        <v>1</v>
      </c>
      <c r="E15" s="1019">
        <f>IF(E14="有",1.1,1)</f>
        <v>1</v>
      </c>
      <c r="F15" s="1019">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84" t="s">
        <v>1638</v>
      </c>
      <c r="B16" s="1332" t="s">
        <v>929</v>
      </c>
      <c r="C16" s="1022" t="e">
        <f>ROUND(IF(F17="与级别开发程度一致",0,(G17-E17)/C17),0)</f>
        <v>#DIV/0!</v>
      </c>
      <c r="D16" s="3778" t="s">
        <v>933</v>
      </c>
      <c r="E16" s="3779"/>
      <c r="F16" s="3778" t="s">
        <v>930</v>
      </c>
      <c r="G16" s="3779"/>
      <c r="H16" s="1364"/>
      <c r="I16" s="1364"/>
      <c r="J16" s="1364"/>
      <c r="K16" s="1364"/>
      <c r="L16" s="1364"/>
      <c r="M16" s="1364"/>
      <c r="N16" s="1364"/>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88"/>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7"/>
      <c r="AI17" s="1307"/>
      <c r="AJ17" s="1310"/>
      <c r="AK17" s="1310"/>
      <c r="AL17" s="1310"/>
      <c r="AM17" s="1310"/>
    </row>
    <row r="18" spans="1:40" s="1326"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44705</v>
      </c>
      <c r="H19" s="1372" t="s">
        <v>2676</v>
      </c>
      <c r="I19" s="2425" t="str">
        <f>IF(H19="季度增幅（自定义）",SUMIF(N21:N24,E2,O21:O24),"")</f>
        <v/>
      </c>
      <c r="J19" s="1368"/>
      <c r="K19" s="3142"/>
      <c r="L19" s="2672" t="s">
        <v>2552</v>
      </c>
      <c r="M19" s="2673">
        <f>ROUND(SUMIF(地价!B2:F2,E2,地价!B41:F41),0)</f>
        <v>0</v>
      </c>
      <c r="N19" s="2427" t="s">
        <v>1476</v>
      </c>
      <c r="O19" s="2426">
        <f>ROUNDDOWN(DATEDIF(E19,G19,"M")/3,0)</f>
        <v>33</v>
      </c>
      <c r="P19" s="2028"/>
      <c r="Q19" s="2564"/>
      <c r="R19" s="2030"/>
      <c r="S19" s="2030"/>
      <c r="T19" s="2030"/>
      <c r="U19" s="2030"/>
      <c r="V19" s="2030"/>
      <c r="W19" s="2030"/>
      <c r="X19" s="2030"/>
      <c r="Y19" s="1308"/>
      <c r="Z19" s="1308"/>
      <c r="AA19" s="1308"/>
      <c r="AB19" s="1308"/>
      <c r="AC19" s="1369"/>
      <c r="AD19" s="1370"/>
      <c r="AE19" s="1374"/>
      <c r="AF19" s="1309"/>
      <c r="AG19" s="1325"/>
      <c r="AH19" s="1325"/>
      <c r="AI19" s="1325"/>
    </row>
    <row r="20" spans="1:40" s="1326" customFormat="1" ht="27.75" thickBot="1">
      <c r="A20" s="2419" t="s">
        <v>1636</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2553</v>
      </c>
      <c r="M20" s="2755">
        <f>ROUND(SUMPRODUCT((地价!A4:A41=YEAR(G19)&amp;"-"&amp;ROUNDUP(MONTH(G19)/3,0))*(地价!B2:F2=E2)*(地价!B4:F41)),0)</f>
        <v>0</v>
      </c>
      <c r="N20" s="2430" t="s">
        <v>2359</v>
      </c>
      <c r="O20" s="2428" t="s">
        <v>2358</v>
      </c>
      <c r="P20" s="2429" t="s">
        <v>2364</v>
      </c>
      <c r="Q20" s="2564"/>
      <c r="R20" s="2030"/>
      <c r="S20" s="2030"/>
      <c r="T20" s="2030"/>
      <c r="U20" s="2030"/>
      <c r="V20" s="2030"/>
      <c r="W20" s="2030"/>
      <c r="X20" s="2030"/>
      <c r="Y20" s="1369"/>
      <c r="Z20" s="1369"/>
      <c r="AA20" s="1369"/>
      <c r="AB20" s="1369"/>
      <c r="AC20" s="1369"/>
      <c r="AD20" s="1369"/>
    </row>
    <row r="21" spans="1:40" s="1326" customFormat="1" ht="14.25">
      <c r="A21" s="1526" t="s">
        <v>1637</v>
      </c>
      <c r="B21" s="1377" t="s">
        <v>2709</v>
      </c>
      <c r="C21" s="1105" t="b">
        <f>IF(B21="容积率修正",IF(G3&lt;=10,D22,J22),C23)</f>
        <v>0</v>
      </c>
      <c r="D21" s="1378"/>
      <c r="E21" s="1378"/>
      <c r="F21" s="1378"/>
      <c r="G21" s="1378"/>
      <c r="H21" s="1378"/>
      <c r="I21" s="1378"/>
      <c r="J21" s="1379"/>
      <c r="K21" s="3142"/>
      <c r="L21" s="1378"/>
      <c r="M21" s="1378"/>
      <c r="N21" s="1375" t="s">
        <v>954</v>
      </c>
      <c r="O21" s="1438"/>
      <c r="P21" s="2417">
        <f>SUMPRODUCT((地价!A3:A41=YEAR(G19)&amp;"-"&amp;ROUNDUP(MONTH(G19)/3,0))*(地价!AD2:AH2=N21)*(地价!AD3:AH41))</f>
        <v>0.01</v>
      </c>
      <c r="Q21" s="2564"/>
      <c r="R21" s="2030"/>
      <c r="S21" s="2030"/>
      <c r="T21" s="2030"/>
      <c r="U21" s="2030"/>
      <c r="V21" s="2030"/>
      <c r="W21" s="2030"/>
      <c r="X21" s="2030"/>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8"/>
      <c r="L22" s="1378"/>
      <c r="M22" s="1378"/>
      <c r="N22" s="1375" t="s">
        <v>957</v>
      </c>
      <c r="O22" s="1438"/>
      <c r="P22" s="2417">
        <f>SUMPRODUCT((地价!A3:A41=YEAR(G19)&amp;"-"&amp;ROUNDUP(MONTH(G19)/3,0))*(地价!AD2:AH2=N22)*(地价!AD3:AH41))</f>
        <v>0.01</v>
      </c>
      <c r="Q22" s="2564"/>
      <c r="R22" s="2030"/>
      <c r="S22" s="2030"/>
      <c r="T22" s="2030"/>
      <c r="U22" s="2030"/>
      <c r="V22" s="2030"/>
      <c r="W22" s="2030"/>
      <c r="X22" s="2030"/>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49"/>
      <c r="L23" s="1306"/>
      <c r="M23" s="1306"/>
      <c r="N23" s="1375" t="s">
        <v>902</v>
      </c>
      <c r="O23" s="1438"/>
      <c r="P23" s="2417">
        <f>SUMPRODUCT((地价!A3:A41=YEAR(G19)&amp;"-"&amp;ROUNDUP(MONTH(G19)/3,0))*(地价!AD2:AH2=N23)*(地价!AD3:AH41))</f>
        <v>1.7600000000000001E-2</v>
      </c>
      <c r="Q23" s="2564"/>
      <c r="R23" s="2030"/>
      <c r="S23" s="2030"/>
      <c r="T23" s="2030"/>
      <c r="U23" s="2030"/>
      <c r="V23" s="2030"/>
      <c r="W23" s="2030"/>
      <c r="X23" s="2030"/>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49"/>
      <c r="L24" s="1378"/>
      <c r="M24" s="1378"/>
      <c r="N24" s="1375" t="s">
        <v>960</v>
      </c>
      <c r="O24" s="2754"/>
      <c r="P24" s="2417">
        <f>SUMPRODUCT((地价!A3:A41=YEAR(G19)&amp;"-"&amp;ROUNDUP(MONTH(G19)/3,0))*(地价!AD2:AH2=N24)*(地价!AD3:AH41))</f>
        <v>1.1599999999999999E-2</v>
      </c>
      <c r="Q24" s="2564"/>
      <c r="R24" s="2030"/>
      <c r="S24" s="2030"/>
      <c r="T24" s="2030"/>
      <c r="U24" s="2030"/>
      <c r="V24" s="2030"/>
      <c r="W24" s="2030"/>
      <c r="X24" s="2030"/>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3"/>
      <c r="L25" s="2030"/>
      <c r="M25" s="2030"/>
      <c r="N25" s="2756" t="s">
        <v>2362</v>
      </c>
      <c r="O25" s="2757"/>
      <c r="P25" s="2256">
        <f>SUMPRODUCT((地价!A3:A41=YEAR(G19)&amp;"-"&amp;ROUNDUP(MONTH(G19)/3,0))*(地价!AD2:AH2=N25)*(地价!AD3:AH41))</f>
        <v>1.6E-2</v>
      </c>
      <c r="Q25" s="2564"/>
      <c r="R25" s="2030"/>
      <c r="S25" s="2030"/>
      <c r="T25" s="2030"/>
      <c r="U25" s="2030"/>
      <c r="V25" s="2030"/>
      <c r="W25" s="2030"/>
      <c r="X25" s="2030"/>
      <c r="Y25" s="1308"/>
      <c r="Z25" s="1308"/>
      <c r="AA25" s="1308"/>
      <c r="AB25" s="1308"/>
      <c r="AC25" s="1308"/>
      <c r="AE25" s="1309"/>
      <c r="AF25" s="1309"/>
      <c r="AG25" s="1309"/>
      <c r="AH25" s="1309"/>
      <c r="AI25" s="1310"/>
      <c r="AJ25" s="1310"/>
      <c r="AK25" s="1310"/>
      <c r="AL25" s="1310"/>
      <c r="AM25" s="1310"/>
    </row>
    <row r="26" spans="1:40" ht="14.25">
      <c r="A26" s="1385"/>
      <c r="B26" s="1380" t="s">
        <v>965</v>
      </c>
      <c r="C26" s="2925" t="e">
        <f>IF(B21="容积率修正",E29+SUM(E33:E39),SUM(V2:V16)+SUM(E33:E39))</f>
        <v>#DIV/0!</v>
      </c>
      <c r="D26" s="1386"/>
      <c r="E26" s="1361"/>
      <c r="F26" s="1387"/>
      <c r="G26" s="1361"/>
      <c r="H26" s="1361"/>
      <c r="I26" s="1361"/>
      <c r="J26" s="1388"/>
      <c r="K26" s="3143"/>
      <c r="L26" s="1485" t="s">
        <v>877</v>
      </c>
      <c r="M26" s="1333" t="s">
        <v>962</v>
      </c>
      <c r="N26" s="1333" t="s">
        <v>963</v>
      </c>
      <c r="O26" s="1333" t="s">
        <v>881</v>
      </c>
      <c r="P26" s="1373" t="s">
        <v>964</v>
      </c>
      <c r="Q26" s="2564"/>
      <c r="R26" s="2030"/>
      <c r="S26" s="2030"/>
      <c r="T26" s="2030"/>
      <c r="U26" s="2030"/>
      <c r="V26" s="2030"/>
      <c r="W26" s="2030"/>
      <c r="X26" s="2030"/>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3"/>
      <c r="L27" s="1365" t="s">
        <v>966</v>
      </c>
      <c r="M27" s="1017">
        <v>0.25</v>
      </c>
      <c r="N27" s="1017">
        <v>0.2</v>
      </c>
      <c r="O27" s="1017">
        <v>0.15</v>
      </c>
      <c r="P27" s="1435">
        <v>0.1</v>
      </c>
      <c r="Q27" s="2030"/>
      <c r="R27" s="2564"/>
      <c r="S27" s="2564"/>
      <c r="T27" s="2564"/>
      <c r="U27" s="2564"/>
      <c r="V27" s="2564"/>
      <c r="W27" s="2030"/>
      <c r="X27" s="2030"/>
      <c r="Y27" s="2030"/>
      <c r="Z27" s="2030"/>
      <c r="AA27" s="2030"/>
      <c r="AB27" s="2030"/>
      <c r="AC27" s="2030"/>
    </row>
    <row r="28" spans="1:40" ht="15" thickBot="1">
      <c r="A28" s="1381"/>
      <c r="B28" s="1394" t="s">
        <v>968</v>
      </c>
      <c r="C28" s="1395" t="s">
        <v>969</v>
      </c>
      <c r="D28" s="1395" t="s">
        <v>970</v>
      </c>
      <c r="E28" s="1396" t="s">
        <v>971</v>
      </c>
      <c r="F28" s="1397"/>
      <c r="G28" s="1347"/>
      <c r="H28" s="1347"/>
      <c r="I28" s="1347"/>
      <c r="J28" s="1348"/>
      <c r="K28" s="3143"/>
      <c r="L28" s="1366" t="s">
        <v>952</v>
      </c>
      <c r="M28" s="1436">
        <f>ROUND($E$20*(1+M27),3)</f>
        <v>5.3999999999999999E-2</v>
      </c>
      <c r="N28" s="1436">
        <f>ROUND($E$20*(1+N27),3)</f>
        <v>5.1999999999999998E-2</v>
      </c>
      <c r="O28" s="1436">
        <f>ROUND($E$20*(1+O27),3)</f>
        <v>0.05</v>
      </c>
      <c r="P28" s="1437">
        <f>ROUND($E$20*(1+P27),3)</f>
        <v>4.8000000000000001E-2</v>
      </c>
      <c r="Q28" s="2030"/>
      <c r="R28" s="2564"/>
      <c r="S28" s="2564"/>
      <c r="T28" s="2564"/>
      <c r="U28" s="2564"/>
      <c r="V28" s="2564"/>
      <c r="W28" s="2030"/>
      <c r="X28" s="2030"/>
      <c r="Y28" s="2030"/>
      <c r="Z28" s="2030"/>
      <c r="AA28" s="2030"/>
      <c r="AB28" s="2030"/>
      <c r="AC28" s="2030"/>
      <c r="AD28" s="1369"/>
      <c r="AE28" s="1369"/>
      <c r="AF28" s="1369"/>
      <c r="AG28" s="1369"/>
    </row>
    <row r="29" spans="1:40" ht="14.25">
      <c r="A29" s="1398"/>
      <c r="B29" s="1399" t="s">
        <v>972</v>
      </c>
      <c r="C29" s="1029" t="e">
        <f>ROUND(C5*C18*C19*C20*C21*C24,0)</f>
        <v>#DIV/0!</v>
      </c>
      <c r="D29" s="1400"/>
      <c r="E29" s="1718" t="e">
        <f>ROUND(C29*D29/10000,0)</f>
        <v>#DIV/0!</v>
      </c>
      <c r="F29" s="1401" t="s">
        <v>1501</v>
      </c>
      <c r="G29" s="1402"/>
      <c r="H29" s="1402"/>
      <c r="I29" s="1402"/>
      <c r="J29" s="1403"/>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8"/>
      <c r="AK29" s="1308"/>
      <c r="AL29" s="1308"/>
      <c r="AM29" s="1307"/>
      <c r="AN29" s="1307"/>
    </row>
    <row r="30" spans="1:40" ht="24.75" thickBot="1">
      <c r="A30" s="1404"/>
      <c r="B30" s="1405" t="s">
        <v>973</v>
      </c>
      <c r="C30" s="1021" t="e">
        <f>ROUND(IF(E2="工业",C29*M39,C29*M38),0)</f>
        <v>#DIV/0!</v>
      </c>
      <c r="D30" s="1406"/>
      <c r="E30" s="1718" t="e">
        <f>ROUND(C30*D30/10000,0)</f>
        <v>#DIV/0!</v>
      </c>
      <c r="F30" s="1407" t="s">
        <v>974</v>
      </c>
      <c r="G30" s="1408"/>
      <c r="H30" s="1408"/>
      <c r="I30" s="1408"/>
      <c r="J30" s="1409"/>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7"/>
      <c r="AJ32" s="1307"/>
      <c r="AK32" s="1307"/>
      <c r="AL32" s="1307"/>
      <c r="AM32" s="1307"/>
      <c r="AN32" s="1307"/>
    </row>
    <row r="33" spans="1:44" ht="12.75">
      <c r="A33" s="3780"/>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780" t="s">
        <v>2713</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8"/>
      <c r="AK33" s="1308"/>
      <c r="AL33" s="1308"/>
      <c r="AM33" s="1308"/>
      <c r="AN33" s="1308"/>
      <c r="AO33" s="1309"/>
      <c r="AP33" s="1309"/>
      <c r="AQ33" s="1309"/>
      <c r="AR33" s="1309"/>
    </row>
    <row r="34" spans="1:44" ht="12.75">
      <c r="A34" s="3781"/>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81"/>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8"/>
      <c r="AK34" s="1308"/>
      <c r="AL34" s="1308"/>
      <c r="AM34" s="1308"/>
      <c r="AN34" s="1308"/>
      <c r="AO34" s="1309"/>
      <c r="AP34" s="1309"/>
      <c r="AQ34" s="1309"/>
      <c r="AR34" s="1309"/>
    </row>
    <row r="35" spans="1:44" ht="12.75">
      <c r="A35" s="3781"/>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781"/>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8"/>
      <c r="AK35" s="1308"/>
      <c r="AL35" s="1308"/>
      <c r="AM35" s="1308"/>
      <c r="AN35" s="1308"/>
      <c r="AO35" s="1309"/>
      <c r="AP35" s="1309"/>
      <c r="AQ35" s="1309"/>
      <c r="AR35" s="1309"/>
    </row>
    <row r="36" spans="1:44" ht="13.5" thickBot="1">
      <c r="A36" s="3782"/>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782"/>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4"/>
      <c r="L37" s="1439" t="s">
        <v>1503</v>
      </c>
      <c r="M37" s="1440"/>
      <c r="N37" s="2024"/>
      <c r="O37" s="2024"/>
      <c r="P37" s="2024"/>
      <c r="Q37" s="2024"/>
      <c r="R37" s="2025"/>
      <c r="S37" s="2025"/>
      <c r="T37" s="2025"/>
      <c r="U37" s="2025"/>
      <c r="V37" s="2025"/>
      <c r="W37" s="2024"/>
      <c r="X37" s="2024"/>
      <c r="Y37" s="2024"/>
      <c r="Z37" s="2024"/>
      <c r="AA37" s="2024"/>
      <c r="AB37" s="2024"/>
      <c r="AC37" s="2025"/>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4"/>
      <c r="L38" s="1441" t="s">
        <v>1505</v>
      </c>
      <c r="M38" s="1442">
        <v>0.25</v>
      </c>
      <c r="N38" s="2024"/>
      <c r="O38" s="2024"/>
      <c r="P38" s="2024"/>
      <c r="Q38" s="2024"/>
      <c r="R38" s="2025"/>
      <c r="S38" s="2025"/>
      <c r="T38" s="2025"/>
      <c r="U38" s="2025"/>
      <c r="V38" s="2025"/>
      <c r="W38" s="2024"/>
      <c r="X38" s="2024"/>
      <c r="Y38" s="2024"/>
      <c r="Z38" s="2024"/>
      <c r="AA38" s="2024"/>
      <c r="AB38" s="2024"/>
      <c r="AC38" s="2025"/>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4"/>
      <c r="L39" s="1443" t="s">
        <v>1504</v>
      </c>
      <c r="M39" s="1444">
        <v>0.15</v>
      </c>
      <c r="N39" s="2024"/>
      <c r="O39" s="2024"/>
      <c r="P39" s="2024"/>
      <c r="Q39" s="2024"/>
      <c r="R39" s="2025"/>
      <c r="S39" s="2025"/>
      <c r="T39" s="2025"/>
      <c r="U39" s="2025"/>
      <c r="V39" s="2025"/>
      <c r="W39" s="2024"/>
      <c r="X39" s="2024"/>
      <c r="Y39" s="2024"/>
      <c r="Z39" s="2024"/>
      <c r="AA39" s="2024"/>
      <c r="AB39" s="2024"/>
      <c r="AC39" s="2025"/>
    </row>
    <row r="40" spans="1:44" s="1307"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8"/>
      <c r="AE40" s="1308"/>
      <c r="AF40" s="1308"/>
      <c r="AG40" s="1308"/>
      <c r="AH40" s="1308"/>
      <c r="AI40" s="1308"/>
      <c r="AJ40" s="1308"/>
      <c r="AK40" s="1308"/>
      <c r="AL40" s="1308"/>
      <c r="AM40" s="1308"/>
    </row>
    <row r="41" spans="1:44" s="1307" customFormat="1" ht="12.75">
      <c r="A41" s="1308"/>
      <c r="B41" s="2751" t="s">
        <v>2671</v>
      </c>
      <c r="C41" s="811" t="e">
        <f>ROUND(POWER(1+E41,H41-G41)*(POWER(1+E41,G41)-1)/(POWER(1+E41,H41)-1),4)</f>
        <v>#DIV/0!</v>
      </c>
      <c r="D41" s="372" t="s">
        <v>2669</v>
      </c>
      <c r="E41" s="2750">
        <f>G20</f>
        <v>0</v>
      </c>
      <c r="F41" s="372" t="s">
        <v>2670</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8"/>
      <c r="AE41" s="1308"/>
      <c r="AF41" s="1308"/>
      <c r="AG41" s="1308"/>
      <c r="AH41" s="1308"/>
      <c r="AI41" s="1308"/>
      <c r="AJ41" s="1308"/>
      <c r="AK41" s="1308"/>
      <c r="AL41" s="1308"/>
      <c r="AM41" s="1308"/>
    </row>
    <row r="42" spans="1:44" s="1307" customFormat="1">
      <c r="A42" s="1308"/>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8"/>
      <c r="AE42" s="1308"/>
      <c r="AF42" s="1308"/>
      <c r="AG42" s="1308"/>
      <c r="AH42" s="1308"/>
      <c r="AI42" s="1308"/>
      <c r="AJ42" s="1308"/>
      <c r="AK42" s="1308"/>
      <c r="AL42" s="1308"/>
      <c r="AM42" s="1308"/>
    </row>
    <row r="43" spans="1:44" s="1307" customFormat="1">
      <c r="A43" s="1308"/>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8"/>
      <c r="AE43" s="1308"/>
      <c r="AF43" s="1308"/>
      <c r="AG43" s="1308"/>
      <c r="AH43" s="1308"/>
      <c r="AI43" s="1308"/>
      <c r="AJ43" s="1308"/>
      <c r="AK43" s="1308"/>
      <c r="AL43" s="1308"/>
      <c r="AM43" s="1308"/>
    </row>
    <row r="44" spans="1:44" s="1307" customFormat="1" ht="15" thickBot="1">
      <c r="A44" s="2228" t="s">
        <v>985</v>
      </c>
      <c r="B44" s="2229"/>
      <c r="C44" s="2230"/>
      <c r="D44" s="2231"/>
      <c r="E44" s="2231"/>
      <c r="F44" s="2232"/>
      <c r="G44" s="1032"/>
      <c r="H44" s="2232"/>
      <c r="I44" s="1032"/>
      <c r="J44" s="1032"/>
      <c r="K44" s="1032"/>
      <c r="L44" s="1032"/>
      <c r="M44" s="1032"/>
      <c r="O44" s="2031"/>
      <c r="P44" s="2031"/>
      <c r="Q44" s="2031"/>
      <c r="R44" s="2032"/>
      <c r="S44" s="2032"/>
      <c r="T44" s="2032"/>
      <c r="U44" s="2032"/>
      <c r="V44" s="2032"/>
      <c r="W44" s="2031"/>
      <c r="X44" s="2031"/>
      <c r="Y44" s="2031"/>
      <c r="Z44" s="2031"/>
      <c r="AA44" s="2031"/>
      <c r="AB44" s="2031"/>
      <c r="AC44" s="2032"/>
      <c r="AD44" s="1308"/>
      <c r="AE44" s="1308"/>
      <c r="AF44" s="1308"/>
      <c r="AG44" s="1308"/>
      <c r="AH44" s="1308"/>
      <c r="AI44" s="1308"/>
      <c r="AJ44" s="1308"/>
      <c r="AK44" s="1308"/>
      <c r="AL44" s="1308"/>
      <c r="AM44" s="1308"/>
    </row>
    <row r="45" spans="1:44" s="1307" customFormat="1" ht="15">
      <c r="A45" s="2233" t="s">
        <v>986</v>
      </c>
      <c r="B45" s="2234">
        <f>1+E47</f>
        <v>1</v>
      </c>
      <c r="C45" s="2235"/>
      <c r="D45" s="2236"/>
      <c r="E45" s="2237"/>
      <c r="F45" s="2238"/>
      <c r="G45" s="2232"/>
      <c r="H45" s="2232"/>
      <c r="I45" s="1032"/>
      <c r="J45" s="1032"/>
      <c r="K45" s="1032"/>
      <c r="L45" s="1032"/>
      <c r="M45" s="1032"/>
      <c r="O45" s="2031"/>
      <c r="P45" s="2031"/>
      <c r="Q45" s="2031"/>
      <c r="R45" s="2032"/>
      <c r="S45" s="2032"/>
      <c r="T45" s="2032"/>
      <c r="U45" s="2032"/>
      <c r="V45" s="2032"/>
      <c r="W45" s="2031"/>
      <c r="X45" s="2031"/>
      <c r="Y45" s="2031"/>
      <c r="Z45" s="2031"/>
      <c r="AA45" s="2031"/>
      <c r="AB45" s="2031"/>
      <c r="AC45" s="2032"/>
      <c r="AD45" s="1308"/>
      <c r="AE45" s="1308"/>
      <c r="AF45" s="1308"/>
      <c r="AG45" s="1308"/>
      <c r="AH45" s="1308"/>
      <c r="AI45" s="1308"/>
      <c r="AJ45" s="1308"/>
      <c r="AK45" s="1308"/>
      <c r="AL45" s="1308"/>
      <c r="AM45" s="1308"/>
    </row>
    <row r="46" spans="1:44" s="1307" customFormat="1" ht="24">
      <c r="A46" s="1033" t="s">
        <v>987</v>
      </c>
      <c r="B46" s="2217" t="s">
        <v>988</v>
      </c>
      <c r="C46" s="2239" t="s">
        <v>989</v>
      </c>
      <c r="D46" s="2240" t="s">
        <v>990</v>
      </c>
      <c r="E46" s="2241" t="s">
        <v>992</v>
      </c>
      <c r="F46" s="2242" t="s">
        <v>2039</v>
      </c>
      <c r="G46" s="2240" t="s">
        <v>993</v>
      </c>
      <c r="H46" s="2223" t="s">
        <v>2202</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8"/>
      <c r="AF46" s="1308"/>
      <c r="AG46" s="1308"/>
      <c r="AH46" s="1308"/>
      <c r="AI46" s="1308"/>
      <c r="AJ46" s="1308"/>
      <c r="AK46" s="1308"/>
      <c r="AL46" s="1308"/>
      <c r="AM46" s="1308"/>
      <c r="AN46" s="1308"/>
    </row>
    <row r="47" spans="1:44" s="1307" customFormat="1" ht="24">
      <c r="A47" s="1033" t="s">
        <v>999</v>
      </c>
      <c r="B47" s="2220" t="str">
        <f>估价对象房地状况!C16</f>
        <v>一般</v>
      </c>
      <c r="C47" s="1020"/>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8"/>
      <c r="AF47" s="1308"/>
      <c r="AG47" s="1308"/>
      <c r="AH47" s="1308"/>
      <c r="AI47" s="1308"/>
      <c r="AJ47" s="1308"/>
      <c r="AK47" s="1308"/>
      <c r="AL47" s="1308"/>
      <c r="AM47" s="1308"/>
      <c r="AN47" s="1308"/>
    </row>
    <row r="48" spans="1:44" s="1307" customFormat="1" ht="14.25">
      <c r="A48" s="1033" t="s">
        <v>1000</v>
      </c>
      <c r="B48" s="2217" t="str">
        <f>估价对象房地状况!C18</f>
        <v>一般</v>
      </c>
      <c r="C48" s="1020"/>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8"/>
      <c r="AF48" s="1308"/>
      <c r="AG48" s="1308"/>
      <c r="AH48" s="1308"/>
      <c r="AI48" s="1308"/>
      <c r="AJ48" s="1308"/>
      <c r="AK48" s="1308"/>
      <c r="AL48" s="1308"/>
      <c r="AM48" s="1308"/>
      <c r="AN48" s="1308"/>
    </row>
    <row r="49" spans="1:40" s="1307" customFormat="1" ht="24">
      <c r="A49" s="1033" t="s">
        <v>1001</v>
      </c>
      <c r="B49" s="2217">
        <f>估价对象房地状况!C19</f>
        <v>0</v>
      </c>
      <c r="C49" s="1020"/>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8"/>
      <c r="AF49" s="1308"/>
      <c r="AG49" s="1308"/>
      <c r="AH49" s="1308"/>
      <c r="AI49" s="1308"/>
      <c r="AJ49" s="1308"/>
      <c r="AK49" s="1308"/>
      <c r="AL49" s="1308"/>
      <c r="AM49" s="1308"/>
      <c r="AN49" s="1308"/>
    </row>
    <row r="50" spans="1:40" s="1307" customFormat="1" ht="36">
      <c r="A50" s="1033" t="s">
        <v>1002</v>
      </c>
      <c r="B50" s="2703" t="s">
        <v>2628</v>
      </c>
      <c r="C50" s="1020"/>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8"/>
      <c r="AF50" s="1308"/>
      <c r="AG50" s="1308"/>
      <c r="AH50" s="1308"/>
      <c r="AI50" s="1308"/>
      <c r="AJ50" s="1308"/>
      <c r="AK50" s="1308"/>
      <c r="AL50" s="1308"/>
      <c r="AM50" s="1308"/>
      <c r="AN50" s="1308"/>
    </row>
    <row r="51" spans="1:40" s="1307" customFormat="1" ht="24">
      <c r="A51" s="1033" t="s">
        <v>1003</v>
      </c>
      <c r="B51" s="2217">
        <f>估价对象房地状况!C24</f>
        <v>0</v>
      </c>
      <c r="C51" s="1020"/>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8"/>
      <c r="AF51" s="1308"/>
      <c r="AG51" s="1308"/>
      <c r="AH51" s="1308"/>
      <c r="AI51" s="1308"/>
      <c r="AJ51" s="1308"/>
      <c r="AK51" s="1308"/>
      <c r="AL51" s="1308"/>
      <c r="AM51" s="1308"/>
      <c r="AN51" s="1308"/>
    </row>
    <row r="52" spans="1:40" s="1307" customFormat="1" ht="24">
      <c r="A52" s="1033" t="s">
        <v>1004</v>
      </c>
      <c r="B52" s="2702" t="s">
        <v>2627</v>
      </c>
      <c r="C52" s="1020"/>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8"/>
      <c r="AF52" s="1308"/>
      <c r="AG52" s="1308"/>
      <c r="AH52" s="1308"/>
      <c r="AI52" s="1308"/>
      <c r="AJ52" s="1308"/>
      <c r="AK52" s="1308"/>
      <c r="AL52" s="1308"/>
      <c r="AM52" s="1308"/>
      <c r="AN52" s="1308"/>
    </row>
    <row r="53" spans="1:40" s="1307" customFormat="1" ht="24">
      <c r="A53" s="2249" t="s">
        <v>1005</v>
      </c>
      <c r="B53" s="2218" t="str">
        <f>估价对象房地状况!C21</f>
        <v>一般</v>
      </c>
      <c r="C53" s="1020"/>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8"/>
      <c r="AF53" s="1308"/>
      <c r="AG53" s="1308"/>
      <c r="AH53" s="1308"/>
      <c r="AI53" s="1308"/>
      <c r="AJ53" s="1308"/>
      <c r="AK53" s="1308"/>
      <c r="AL53" s="1308"/>
      <c r="AM53" s="1308"/>
      <c r="AN53" s="1308"/>
    </row>
    <row r="54" spans="1:40" s="1307" customFormat="1" ht="24">
      <c r="A54" s="2249" t="s">
        <v>1006</v>
      </c>
      <c r="B54" s="2217" t="str">
        <f>估价对象房地状况!C22</f>
        <v>七通</v>
      </c>
      <c r="C54" s="1020"/>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8"/>
      <c r="AF54" s="1308"/>
      <c r="AG54" s="1308"/>
      <c r="AH54" s="1308"/>
      <c r="AI54" s="1308"/>
      <c r="AJ54" s="1308"/>
      <c r="AK54" s="1308"/>
      <c r="AL54" s="1308"/>
      <c r="AM54" s="1308"/>
      <c r="AN54" s="1308"/>
    </row>
    <row r="55" spans="1:40" s="1307" customFormat="1" ht="24.75" thickBot="1">
      <c r="A55" s="2250" t="s">
        <v>1007</v>
      </c>
      <c r="B55" s="2221" t="str">
        <f>估价对象房地状况!C20</f>
        <v>较好</v>
      </c>
      <c r="C55" s="1020"/>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8"/>
      <c r="AF55" s="1308"/>
      <c r="AG55" s="1308"/>
      <c r="AH55" s="1308"/>
      <c r="AI55" s="1308"/>
      <c r="AJ55" s="1308"/>
      <c r="AK55" s="1308"/>
      <c r="AL55" s="1308"/>
      <c r="AM55" s="1308"/>
      <c r="AN55" s="1308"/>
    </row>
    <row r="56" spans="1:40" s="1307" customFormat="1" ht="15">
      <c r="A56" s="2233" t="s">
        <v>1008</v>
      </c>
      <c r="B56" s="2234">
        <f>1+E58</f>
        <v>1</v>
      </c>
      <c r="C56" s="2253"/>
      <c r="D56" s="2236"/>
      <c r="E56" s="2237"/>
      <c r="F56" s="2238"/>
      <c r="G56" s="2232"/>
      <c r="H56" s="2232"/>
      <c r="I56" s="2232"/>
      <c r="J56" s="1032"/>
      <c r="K56" s="1032"/>
      <c r="L56" s="1032"/>
      <c r="M56" s="1032"/>
      <c r="N56" s="1032"/>
      <c r="P56" s="2031"/>
      <c r="Q56" s="2031"/>
      <c r="R56" s="2032"/>
      <c r="S56" s="2032"/>
      <c r="T56" s="2032"/>
      <c r="U56" s="2032"/>
      <c r="V56" s="2032"/>
      <c r="W56" s="2031"/>
      <c r="X56" s="2031"/>
      <c r="Y56" s="2031"/>
      <c r="Z56" s="2031"/>
      <c r="AA56" s="2031"/>
      <c r="AB56" s="2031"/>
      <c r="AC56" s="2031"/>
      <c r="AD56" s="2032"/>
      <c r="AE56" s="1308"/>
      <c r="AF56" s="1308"/>
      <c r="AG56" s="1308"/>
      <c r="AH56" s="1308"/>
      <c r="AI56" s="1308"/>
      <c r="AJ56" s="1308"/>
      <c r="AK56" s="1308"/>
      <c r="AL56" s="1308"/>
      <c r="AM56" s="1308"/>
      <c r="AN56" s="1308"/>
    </row>
    <row r="57" spans="1:40" s="1307" customFormat="1" ht="24">
      <c r="A57" s="1033" t="s">
        <v>987</v>
      </c>
      <c r="B57" s="2217"/>
      <c r="C57" s="2239" t="s">
        <v>989</v>
      </c>
      <c r="D57" s="2240" t="s">
        <v>990</v>
      </c>
      <c r="E57" s="2241" t="s">
        <v>992</v>
      </c>
      <c r="F57" s="2242" t="s">
        <v>2040</v>
      </c>
      <c r="G57" s="2240" t="s">
        <v>993</v>
      </c>
      <c r="H57" s="2223" t="s">
        <v>2202</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8"/>
      <c r="AF57" s="1308"/>
      <c r="AG57" s="1308"/>
      <c r="AH57" s="1308"/>
      <c r="AI57" s="1308"/>
      <c r="AJ57" s="1308"/>
      <c r="AK57" s="1308"/>
      <c r="AL57" s="1308"/>
      <c r="AM57" s="1308"/>
      <c r="AN57" s="1308"/>
    </row>
    <row r="58" spans="1:40" s="1307" customFormat="1" ht="24">
      <c r="A58" s="1033" t="s">
        <v>1009</v>
      </c>
      <c r="B58" s="2220">
        <f>估价对象房地状况!C17</f>
        <v>0</v>
      </c>
      <c r="C58" s="1020"/>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8"/>
      <c r="AF58" s="1308"/>
      <c r="AG58" s="1308"/>
      <c r="AH58" s="1308"/>
      <c r="AI58" s="1308"/>
      <c r="AJ58" s="1308"/>
      <c r="AK58" s="1308"/>
      <c r="AL58" s="1308"/>
      <c r="AM58" s="1308"/>
      <c r="AN58" s="1308"/>
    </row>
    <row r="59" spans="1:40" s="1307" customFormat="1" ht="14.25">
      <c r="A59" s="1033" t="s">
        <v>1000</v>
      </c>
      <c r="B59" s="2217" t="str">
        <f>估价对象房地状况!C18</f>
        <v>一般</v>
      </c>
      <c r="C59" s="1020"/>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8"/>
      <c r="AF59" s="1308"/>
      <c r="AG59" s="1308"/>
      <c r="AH59" s="1308"/>
      <c r="AI59" s="1308"/>
      <c r="AJ59" s="1308"/>
      <c r="AK59" s="1308"/>
      <c r="AL59" s="1308"/>
      <c r="AM59" s="1308"/>
      <c r="AN59" s="1308"/>
    </row>
    <row r="60" spans="1:40" s="1307" customFormat="1" ht="24">
      <c r="A60" s="1033" t="s">
        <v>1001</v>
      </c>
      <c r="B60" s="2217">
        <f>估价对象房地状况!C19</f>
        <v>0</v>
      </c>
      <c r="C60" s="1020"/>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8"/>
      <c r="AF60" s="1308"/>
      <c r="AG60" s="1308"/>
      <c r="AH60" s="1308"/>
      <c r="AI60" s="1308"/>
      <c r="AJ60" s="1308"/>
      <c r="AK60" s="1308"/>
      <c r="AL60" s="1308"/>
      <c r="AM60" s="1308"/>
      <c r="AN60" s="1308"/>
    </row>
    <row r="61" spans="1:40" s="1307" customFormat="1" ht="36">
      <c r="A61" s="1033" t="s">
        <v>1002</v>
      </c>
      <c r="B61" s="2703" t="s">
        <v>2629</v>
      </c>
      <c r="C61" s="1020"/>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8"/>
      <c r="AF61" s="1308"/>
      <c r="AG61" s="1308"/>
      <c r="AH61" s="1308"/>
      <c r="AI61" s="1308"/>
      <c r="AJ61" s="1308"/>
      <c r="AK61" s="1308"/>
      <c r="AL61" s="1308"/>
      <c r="AM61" s="1308"/>
      <c r="AN61" s="1308"/>
    </row>
    <row r="62" spans="1:40" s="1307" customFormat="1" ht="24">
      <c r="A62" s="1033" t="s">
        <v>1003</v>
      </c>
      <c r="B62" s="2217">
        <f>估价对象房地状况!C24</f>
        <v>0</v>
      </c>
      <c r="C62" s="1020"/>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8"/>
      <c r="AF62" s="1308"/>
      <c r="AG62" s="1308"/>
      <c r="AH62" s="1308"/>
      <c r="AI62" s="1308"/>
      <c r="AJ62" s="1308"/>
      <c r="AK62" s="1308"/>
      <c r="AL62" s="1308"/>
      <c r="AM62" s="1308"/>
      <c r="AN62" s="1308"/>
    </row>
    <row r="63" spans="1:40" s="1307" customFormat="1" ht="24">
      <c r="A63" s="1033" t="s">
        <v>1004</v>
      </c>
      <c r="B63" s="2702" t="s">
        <v>2627</v>
      </c>
      <c r="C63" s="1020"/>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8"/>
      <c r="AF63" s="1308"/>
      <c r="AG63" s="1308"/>
      <c r="AH63" s="1308"/>
      <c r="AI63" s="1308"/>
      <c r="AJ63" s="1308"/>
      <c r="AK63" s="1308"/>
      <c r="AL63" s="1308"/>
      <c r="AM63" s="1308"/>
      <c r="AN63" s="1308"/>
    </row>
    <row r="64" spans="1:40" s="1307" customFormat="1" ht="24">
      <c r="A64" s="1033" t="s">
        <v>1005</v>
      </c>
      <c r="B64" s="2218" t="str">
        <f>估价对象房地状况!C21</f>
        <v>一般</v>
      </c>
      <c r="C64" s="1020"/>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8"/>
      <c r="AF64" s="1308"/>
      <c r="AG64" s="1308"/>
      <c r="AH64" s="1308"/>
      <c r="AI64" s="1308"/>
      <c r="AJ64" s="1308"/>
      <c r="AK64" s="1308"/>
      <c r="AL64" s="1308"/>
      <c r="AM64" s="1308"/>
      <c r="AN64" s="1308"/>
    </row>
    <row r="65" spans="1:40" s="1307" customFormat="1" ht="24">
      <c r="A65" s="1033" t="s">
        <v>1006</v>
      </c>
      <c r="B65" s="2218" t="str">
        <f>估价对象房地状况!C22</f>
        <v>七通</v>
      </c>
      <c r="C65" s="1020"/>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8"/>
      <c r="AF65" s="1308"/>
      <c r="AG65" s="1308"/>
      <c r="AH65" s="1308"/>
      <c r="AI65" s="1308"/>
      <c r="AJ65" s="1308"/>
      <c r="AK65" s="1308"/>
      <c r="AL65" s="1308"/>
      <c r="AM65" s="1308"/>
      <c r="AN65" s="1308"/>
    </row>
    <row r="66" spans="1:40" s="1307" customFormat="1" ht="24.75" thickBot="1">
      <c r="A66" s="2250" t="s">
        <v>1007</v>
      </c>
      <c r="B66" s="2222" t="str">
        <f>估价对象房地状况!C20</f>
        <v>较好</v>
      </c>
      <c r="C66" s="1020"/>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8"/>
      <c r="AF66" s="1308"/>
      <c r="AG66" s="1308"/>
      <c r="AH66" s="1308"/>
      <c r="AI66" s="1308"/>
      <c r="AJ66" s="1308"/>
      <c r="AK66" s="1308"/>
      <c r="AL66" s="1308"/>
      <c r="AM66" s="1308"/>
      <c r="AN66" s="1308"/>
    </row>
    <row r="67" spans="1:40" s="1307" customFormat="1" ht="15">
      <c r="A67" s="2233" t="s">
        <v>1010</v>
      </c>
      <c r="B67" s="2234">
        <f>1+E69</f>
        <v>1</v>
      </c>
      <c r="C67" s="2253"/>
      <c r="D67" s="2236"/>
      <c r="E67" s="2237"/>
      <c r="F67" s="2238"/>
      <c r="G67" s="2232"/>
      <c r="H67" s="2232"/>
      <c r="I67" s="2232"/>
      <c r="J67" s="1032"/>
      <c r="K67" s="1032"/>
      <c r="L67" s="1032"/>
      <c r="M67" s="1032"/>
      <c r="N67" s="1032"/>
      <c r="P67" s="2031"/>
      <c r="Q67" s="2031"/>
      <c r="R67" s="2032"/>
      <c r="S67" s="2032"/>
      <c r="T67" s="2032"/>
      <c r="U67" s="2032"/>
      <c r="V67" s="2032"/>
      <c r="W67" s="2031"/>
      <c r="X67" s="2031"/>
      <c r="Y67" s="2031"/>
      <c r="Z67" s="2031"/>
      <c r="AA67" s="2031"/>
      <c r="AB67" s="2031"/>
      <c r="AC67" s="2031"/>
      <c r="AD67" s="2032"/>
      <c r="AE67" s="1308"/>
      <c r="AF67" s="1308"/>
      <c r="AG67" s="1308"/>
      <c r="AH67" s="1308"/>
      <c r="AI67" s="1308"/>
      <c r="AJ67" s="1308"/>
      <c r="AK67" s="1308"/>
      <c r="AL67" s="1308"/>
      <c r="AM67" s="1308"/>
      <c r="AN67" s="1308"/>
    </row>
    <row r="68" spans="1:40" s="1307" customFormat="1" ht="24">
      <c r="A68" s="1033" t="s">
        <v>987</v>
      </c>
      <c r="B68" s="2217"/>
      <c r="C68" s="2239" t="s">
        <v>989</v>
      </c>
      <c r="D68" s="2240" t="s">
        <v>990</v>
      </c>
      <c r="E68" s="2241" t="s">
        <v>992</v>
      </c>
      <c r="F68" s="2242" t="s">
        <v>2041</v>
      </c>
      <c r="G68" s="2240" t="s">
        <v>993</v>
      </c>
      <c r="H68" s="2223" t="s">
        <v>2202</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8"/>
      <c r="AF68" s="1308"/>
      <c r="AG68" s="1308"/>
      <c r="AH68" s="1308"/>
      <c r="AI68" s="1308"/>
      <c r="AJ68" s="1308"/>
      <c r="AK68" s="1308"/>
      <c r="AL68" s="1308"/>
      <c r="AM68" s="1308"/>
      <c r="AN68" s="1308"/>
    </row>
    <row r="69" spans="1:40" s="1307" customFormat="1" ht="24">
      <c r="A69" s="1033" t="s">
        <v>1011</v>
      </c>
      <c r="B69" s="2220">
        <f>估价对象房地状况!C15</f>
        <v>0</v>
      </c>
      <c r="C69" s="1106"/>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8"/>
      <c r="AF69" s="1308"/>
      <c r="AG69" s="1308"/>
      <c r="AH69" s="1308"/>
      <c r="AI69" s="1308"/>
      <c r="AJ69" s="1308"/>
      <c r="AK69" s="1308"/>
      <c r="AL69" s="1308"/>
      <c r="AM69" s="1308"/>
      <c r="AN69" s="1308"/>
    </row>
    <row r="70" spans="1:40" s="1307" customFormat="1" ht="14.25">
      <c r="A70" s="1033" t="s">
        <v>1012</v>
      </c>
      <c r="B70" s="2217" t="str">
        <f>估价对象房地状况!C18</f>
        <v>一般</v>
      </c>
      <c r="C70" s="1106"/>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8"/>
      <c r="AF70" s="1308"/>
      <c r="AG70" s="1308"/>
      <c r="AH70" s="1308"/>
      <c r="AI70" s="1308"/>
      <c r="AJ70" s="1308"/>
      <c r="AK70" s="1308"/>
      <c r="AL70" s="1308"/>
      <c r="AM70" s="1308"/>
      <c r="AN70" s="1308"/>
    </row>
    <row r="71" spans="1:40" s="1307" customFormat="1" ht="24">
      <c r="A71" s="1033" t="s">
        <v>1001</v>
      </c>
      <c r="B71" s="2217">
        <f>估价对象房地状况!C19</f>
        <v>0</v>
      </c>
      <c r="C71" s="1106"/>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8"/>
      <c r="AF71" s="1308"/>
      <c r="AG71" s="1308"/>
      <c r="AH71" s="1308"/>
      <c r="AI71" s="1308"/>
      <c r="AJ71" s="1308"/>
      <c r="AK71" s="1308"/>
      <c r="AL71" s="1308"/>
      <c r="AM71" s="1308"/>
      <c r="AN71" s="1308"/>
    </row>
    <row r="72" spans="1:40" s="1307" customFormat="1" ht="14.25">
      <c r="A72" s="1033" t="s">
        <v>1013</v>
      </c>
      <c r="B72" s="2217">
        <f>估价对象房地状况!C24</f>
        <v>0</v>
      </c>
      <c r="C72" s="1106"/>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8"/>
      <c r="AF72" s="1308"/>
      <c r="AG72" s="1308"/>
      <c r="AH72" s="1308"/>
      <c r="AI72" s="1308"/>
      <c r="AJ72" s="1308"/>
      <c r="AK72" s="1308"/>
      <c r="AL72" s="1308"/>
      <c r="AM72" s="1308"/>
      <c r="AN72" s="1308"/>
    </row>
    <row r="73" spans="1:40" s="1307" customFormat="1" ht="24">
      <c r="A73" s="1033" t="s">
        <v>1005</v>
      </c>
      <c r="B73" s="2218" t="str">
        <f>估价对象房地状况!C21</f>
        <v>一般</v>
      </c>
      <c r="C73" s="1106"/>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8"/>
      <c r="AF73" s="1308"/>
      <c r="AG73" s="1308"/>
      <c r="AH73" s="1308"/>
      <c r="AI73" s="1308"/>
      <c r="AJ73" s="1308"/>
      <c r="AK73" s="1308"/>
      <c r="AL73" s="1308"/>
      <c r="AM73" s="1308"/>
      <c r="AN73" s="1308"/>
    </row>
    <row r="74" spans="1:40" s="1307" customFormat="1" ht="24">
      <c r="A74" s="1033" t="s">
        <v>1006</v>
      </c>
      <c r="B74" s="2218" t="str">
        <f>估价对象房地状况!C22</f>
        <v>七通</v>
      </c>
      <c r="C74" s="1106"/>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8"/>
      <c r="AF74" s="1308"/>
      <c r="AG74" s="1308"/>
      <c r="AH74" s="1308"/>
      <c r="AI74" s="1308"/>
      <c r="AJ74" s="1308"/>
      <c r="AK74" s="1308"/>
      <c r="AL74" s="1308"/>
      <c r="AM74" s="1308"/>
      <c r="AN74" s="1308"/>
    </row>
    <row r="75" spans="1:40" s="1307" customFormat="1" ht="24">
      <c r="A75" s="1033" t="s">
        <v>1004</v>
      </c>
      <c r="B75" s="2702" t="s">
        <v>2627</v>
      </c>
      <c r="C75" s="1106"/>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8"/>
      <c r="AF75" s="1308"/>
      <c r="AG75" s="1308"/>
      <c r="AH75" s="1308"/>
      <c r="AI75" s="1308"/>
      <c r="AJ75" s="1308"/>
      <c r="AK75" s="1308"/>
      <c r="AL75" s="1308"/>
      <c r="AM75" s="1308"/>
      <c r="AN75" s="1308"/>
    </row>
    <row r="76" spans="1:40" ht="24">
      <c r="A76" s="1033" t="s">
        <v>1007</v>
      </c>
      <c r="B76" s="2220" t="str">
        <f>估价对象房地状况!C20</f>
        <v>较好</v>
      </c>
      <c r="C76" s="1106"/>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8"/>
      <c r="AN76" s="1309"/>
    </row>
    <row r="77" spans="1:40" ht="24.75" thickBot="1">
      <c r="A77" s="2250" t="s">
        <v>1014</v>
      </c>
      <c r="B77" s="1719"/>
      <c r="C77" s="1106"/>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10"/>
      <c r="AD77" s="1309"/>
      <c r="AJ77" s="1308"/>
      <c r="AN77" s="1309"/>
    </row>
    <row r="78" spans="1:40" ht="15">
      <c r="A78" s="2233" t="s">
        <v>1015</v>
      </c>
      <c r="B78" s="2234">
        <f>1+E80</f>
        <v>1</v>
      </c>
      <c r="C78" s="2253"/>
      <c r="D78" s="2236"/>
      <c r="E78" s="2237"/>
      <c r="F78" s="2238"/>
      <c r="G78" s="2232"/>
      <c r="H78" s="2232"/>
      <c r="I78" s="2232"/>
      <c r="J78" s="1032"/>
      <c r="K78" s="1032"/>
      <c r="L78" s="1032"/>
      <c r="M78" s="1032"/>
      <c r="N78" s="1032"/>
      <c r="AC78" s="1310"/>
      <c r="AD78" s="1309"/>
      <c r="AJ78" s="1308"/>
      <c r="AN78" s="1309"/>
    </row>
    <row r="79" spans="1:40" ht="24">
      <c r="A79" s="1033" t="s">
        <v>987</v>
      </c>
      <c r="B79" s="2217"/>
      <c r="C79" s="2239" t="s">
        <v>989</v>
      </c>
      <c r="D79" s="2240" t="s">
        <v>990</v>
      </c>
      <c r="E79" s="2241" t="s">
        <v>992</v>
      </c>
      <c r="F79" s="2242" t="s">
        <v>2042</v>
      </c>
      <c r="G79" s="2240" t="s">
        <v>993</v>
      </c>
      <c r="H79" s="2223" t="s">
        <v>2202</v>
      </c>
      <c r="I79" s="2240" t="s">
        <v>991</v>
      </c>
      <c r="J79" s="2243" t="s">
        <v>994</v>
      </c>
      <c r="K79" s="2243" t="s">
        <v>995</v>
      </c>
      <c r="L79" s="2243" t="s">
        <v>996</v>
      </c>
      <c r="M79" s="2243" t="s">
        <v>997</v>
      </c>
      <c r="N79" s="2243" t="s">
        <v>998</v>
      </c>
      <c r="AC79" s="1310"/>
      <c r="AD79" s="1309"/>
      <c r="AJ79" s="1308"/>
      <c r="AN79" s="1309"/>
    </row>
    <row r="80" spans="1:40" ht="36">
      <c r="A80" s="1033" t="s">
        <v>1016</v>
      </c>
      <c r="B80" s="2217" t="str">
        <f>估价对象房地状况!G15</f>
        <v>估价对象位于XX开发区，园区建设成熟度XX，产业集聚程度XX</v>
      </c>
      <c r="C80" s="1020"/>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10"/>
      <c r="AD80" s="1309"/>
      <c r="AJ80" s="1308"/>
      <c r="AN80" s="1309"/>
    </row>
    <row r="81" spans="1:40" ht="48">
      <c r="A81" s="1033" t="s">
        <v>1012</v>
      </c>
      <c r="B81" s="2217" t="str">
        <f>估价对象房地状况!G16</f>
        <v>估价对象周边道路状况、公共交通通达情况、停车便捷程度，综合评价交通便捷度较好</v>
      </c>
      <c r="C81" s="1020"/>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10"/>
      <c r="AD81" s="1309"/>
      <c r="AJ81" s="1308"/>
      <c r="AN81" s="1309"/>
    </row>
    <row r="82" spans="1:40" ht="24">
      <c r="A82" s="1033" t="s">
        <v>1001</v>
      </c>
      <c r="B82" s="2217">
        <f>估价对象房地状况!G17</f>
        <v>0</v>
      </c>
      <c r="C82" s="1020"/>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10"/>
      <c r="AD82" s="1309"/>
      <c r="AJ82" s="1308"/>
      <c r="AN82" s="1309"/>
    </row>
    <row r="83" spans="1:40" ht="14.25">
      <c r="A83" s="1033" t="s">
        <v>1013</v>
      </c>
      <c r="B83" s="2217">
        <f>估价对象房地状况!G22</f>
        <v>0</v>
      </c>
      <c r="C83" s="1020"/>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10"/>
      <c r="AD83" s="1309"/>
      <c r="AJ83" s="1308"/>
      <c r="AN83" s="1309"/>
    </row>
    <row r="84" spans="1:40" ht="24">
      <c r="A84" s="1033" t="s">
        <v>1005</v>
      </c>
      <c r="B84" s="2218" t="str">
        <f>估价对象房地状况!G19</f>
        <v>估价对象所在区域公共配套设施齐备情况</v>
      </c>
      <c r="C84" s="1020"/>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10"/>
      <c r="AD84" s="1309"/>
      <c r="AJ84" s="1308"/>
      <c r="AN84" s="1309"/>
    </row>
    <row r="85" spans="1:40" ht="24">
      <c r="A85" s="1033" t="s">
        <v>1006</v>
      </c>
      <c r="B85" s="2218" t="str">
        <f>估价对象房地状况!G20</f>
        <v>估价对象所在区域基础设施水平</v>
      </c>
      <c r="C85" s="1020"/>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10"/>
      <c r="AD85" s="1309"/>
      <c r="AJ85" s="1308"/>
      <c r="AN85" s="1309"/>
    </row>
    <row r="86" spans="1:40" ht="24">
      <c r="A86" s="1033" t="s">
        <v>1004</v>
      </c>
      <c r="B86" s="2702" t="s">
        <v>2627</v>
      </c>
      <c r="C86" s="1020"/>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10"/>
      <c r="AD86" s="1309"/>
      <c r="AJ86" s="1308"/>
      <c r="AN86" s="1309"/>
    </row>
    <row r="87" spans="1:40" ht="36.75" thickBot="1">
      <c r="A87" s="2250" t="s">
        <v>1017</v>
      </c>
      <c r="B87" s="2219" t="str">
        <f>估价对象房地状况!G18</f>
        <v>该园区内是否有污染型企业，绿化情况，卫生条件，整体环境状况判断</v>
      </c>
      <c r="C87" s="1020"/>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10"/>
      <c r="AD87" s="1309"/>
      <c r="AJ87" s="1308"/>
      <c r="AN87" s="1309"/>
    </row>
    <row r="90" spans="1:40">
      <c r="A90" s="3789" t="s">
        <v>1434</v>
      </c>
      <c r="B90" s="3789"/>
      <c r="C90" s="3789"/>
      <c r="D90" s="3789"/>
      <c r="E90" s="3789"/>
      <c r="F90" s="3789"/>
      <c r="G90" s="3789"/>
      <c r="H90" s="3789"/>
      <c r="I90" s="3789"/>
      <c r="J90" s="3789"/>
      <c r="K90" s="2259"/>
      <c r="L90" s="2259"/>
      <c r="M90" s="2259"/>
      <c r="N90" s="2259"/>
    </row>
    <row r="91" spans="1:40">
      <c r="A91" s="3790" t="s">
        <v>1422</v>
      </c>
      <c r="B91" s="3790" t="s">
        <v>1435</v>
      </c>
      <c r="C91" s="1087" t="s">
        <v>1436</v>
      </c>
      <c r="D91" s="1088"/>
      <c r="E91" s="1088"/>
      <c r="F91" s="1088"/>
      <c r="G91" s="1088"/>
      <c r="H91" s="1088"/>
      <c r="I91" s="1088"/>
      <c r="J91" s="1089"/>
      <c r="K91" s="1081"/>
      <c r="L91" s="1081"/>
      <c r="M91" s="1081"/>
      <c r="N91" s="1081"/>
    </row>
    <row r="92" spans="1:40">
      <c r="A92" s="3790"/>
      <c r="B92" s="3790"/>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73" t="s">
        <v>2477</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74"/>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74"/>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74"/>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74"/>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74"/>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74"/>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75"/>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73"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774"/>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774"/>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774"/>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774"/>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774"/>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774"/>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774"/>
      <c r="B108" s="3776"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75"/>
      <c r="B109" s="3777"/>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783" t="s">
        <v>1440</v>
      </c>
      <c r="B110" s="3783"/>
      <c r="C110" s="3783"/>
      <c r="D110" s="3783"/>
      <c r="E110" s="3783"/>
      <c r="F110" s="3783"/>
      <c r="G110" s="3783"/>
      <c r="H110" s="3783"/>
      <c r="I110" s="3783"/>
      <c r="J110" s="3783"/>
      <c r="K110" s="2257"/>
      <c r="L110" s="2257"/>
      <c r="M110" s="2257"/>
      <c r="N110" s="2257"/>
    </row>
    <row r="112" spans="1:14" ht="12.75" thickBot="1"/>
    <row r="113" spans="1:13" ht="25.5" thickBot="1">
      <c r="A113" s="986" t="s">
        <v>875</v>
      </c>
      <c r="B113" s="2260">
        <f>G3</f>
        <v>0</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9" t="s">
        <v>2876</v>
      </c>
      <c r="B2" s="3400">
        <v>3.5</v>
      </c>
      <c r="C2" s="3400">
        <v>3.5</v>
      </c>
      <c r="D2" s="3401">
        <v>2.5</v>
      </c>
      <c r="E2" s="3401">
        <v>2.5</v>
      </c>
      <c r="F2" s="3401">
        <v>2.5</v>
      </c>
      <c r="G2" s="3401">
        <v>2.5</v>
      </c>
      <c r="H2" s="3401">
        <v>2.5</v>
      </c>
      <c r="I2" s="3400">
        <v>2</v>
      </c>
      <c r="J2" s="3400">
        <v>2</v>
      </c>
      <c r="K2" s="3400">
        <v>2</v>
      </c>
      <c r="L2" s="3400">
        <v>2</v>
      </c>
      <c r="M2" s="3402">
        <v>2</v>
      </c>
    </row>
    <row r="3" spans="1:13">
      <c r="A3" s="3403" t="s">
        <v>2877</v>
      </c>
      <c r="B3" s="3404">
        <v>3.5</v>
      </c>
      <c r="C3" s="3404">
        <v>3.5</v>
      </c>
      <c r="D3" s="3405">
        <v>2.5</v>
      </c>
      <c r="E3" s="3405">
        <v>2.5</v>
      </c>
      <c r="F3" s="3405">
        <v>2.5</v>
      </c>
      <c r="G3" s="3405">
        <v>2.5</v>
      </c>
      <c r="H3" s="3405">
        <v>2.5</v>
      </c>
      <c r="I3" s="3404">
        <v>2</v>
      </c>
      <c r="J3" s="3404">
        <v>2</v>
      </c>
      <c r="K3" s="3404">
        <v>2</v>
      </c>
      <c r="L3" s="3404">
        <v>2</v>
      </c>
      <c r="M3" s="3406">
        <v>2</v>
      </c>
    </row>
    <row r="4" spans="1:13">
      <c r="A4" s="3403" t="s">
        <v>2878</v>
      </c>
      <c r="B4" s="3405">
        <v>2.5</v>
      </c>
      <c r="C4" s="3405">
        <v>2.5</v>
      </c>
      <c r="D4" s="3405">
        <v>2.5</v>
      </c>
      <c r="E4" s="3405">
        <v>2.5</v>
      </c>
      <c r="F4" s="3405">
        <v>2.5</v>
      </c>
      <c r="G4" s="3405">
        <v>2.5</v>
      </c>
      <c r="H4" s="3405">
        <v>2.5</v>
      </c>
      <c r="I4" s="3404">
        <v>1.5</v>
      </c>
      <c r="J4" s="3404">
        <v>1.5</v>
      </c>
      <c r="K4" s="3404">
        <v>1.5</v>
      </c>
      <c r="L4" s="3404">
        <v>1.5</v>
      </c>
      <c r="M4" s="3406">
        <v>1.5</v>
      </c>
    </row>
    <row r="5" spans="1:13">
      <c r="A5" s="3407" t="s">
        <v>2879</v>
      </c>
      <c r="B5" s="3404">
        <v>1.5</v>
      </c>
      <c r="C5" s="3404">
        <v>1.5</v>
      </c>
      <c r="D5" s="3404">
        <v>1.5</v>
      </c>
      <c r="E5" s="3404">
        <v>1.5</v>
      </c>
      <c r="F5" s="3404">
        <v>1.5</v>
      </c>
      <c r="G5" s="3404">
        <v>1.2</v>
      </c>
      <c r="H5" s="3404">
        <v>1.2</v>
      </c>
      <c r="I5" s="3404">
        <v>1</v>
      </c>
      <c r="J5" s="3404">
        <v>1</v>
      </c>
      <c r="K5" s="3404">
        <v>1</v>
      </c>
      <c r="L5" s="3404">
        <v>1</v>
      </c>
      <c r="M5" s="3406">
        <v>1</v>
      </c>
    </row>
    <row r="6" spans="1:13">
      <c r="A6" s="3408" t="s">
        <v>2880</v>
      </c>
      <c r="B6" s="3409">
        <v>2.5</v>
      </c>
      <c r="C6" s="3409">
        <v>2.5</v>
      </c>
      <c r="D6" s="3409">
        <v>2</v>
      </c>
      <c r="E6" s="3409">
        <v>2</v>
      </c>
      <c r="F6" s="3409">
        <v>2</v>
      </c>
      <c r="G6" s="3409">
        <v>2</v>
      </c>
      <c r="H6" s="3409">
        <v>2</v>
      </c>
      <c r="I6" s="3410">
        <v>1.5</v>
      </c>
      <c r="J6" s="3410">
        <v>1.5</v>
      </c>
      <c r="K6" s="3410">
        <v>1.5</v>
      </c>
      <c r="L6" s="3410">
        <v>1.5</v>
      </c>
      <c r="M6" s="3411">
        <v>1.5</v>
      </c>
    </row>
    <row r="7" spans="1:13" ht="14.25" thickBot="1">
      <c r="A7" s="3412" t="s">
        <v>2881</v>
      </c>
      <c r="B7" s="3413">
        <v>2.5</v>
      </c>
      <c r="C7" s="3413">
        <v>2.5</v>
      </c>
      <c r="D7" s="3413">
        <v>2</v>
      </c>
      <c r="E7" s="3413">
        <v>2</v>
      </c>
      <c r="F7" s="3413">
        <v>2</v>
      </c>
      <c r="G7" s="3413">
        <v>2</v>
      </c>
      <c r="H7" s="3413">
        <v>2</v>
      </c>
      <c r="I7" s="3414">
        <v>1.5</v>
      </c>
      <c r="J7" s="3414">
        <v>1.5</v>
      </c>
      <c r="K7" s="3414">
        <v>1.5</v>
      </c>
      <c r="L7" s="3414">
        <v>1.5</v>
      </c>
      <c r="M7" s="3415">
        <v>1.5</v>
      </c>
    </row>
    <row r="8" spans="1:13">
      <c r="A8" s="1073" t="s">
        <v>1412</v>
      </c>
      <c r="B8" s="3416">
        <v>80</v>
      </c>
      <c r="C8" s="3416">
        <v>80</v>
      </c>
      <c r="D8" s="3416">
        <v>70</v>
      </c>
      <c r="E8" s="3416">
        <v>70</v>
      </c>
      <c r="F8" s="3416">
        <v>70</v>
      </c>
      <c r="G8" s="3416">
        <v>70</v>
      </c>
      <c r="H8" s="3416">
        <v>70</v>
      </c>
      <c r="I8" s="3416">
        <v>60</v>
      </c>
      <c r="J8" s="3416">
        <v>60</v>
      </c>
      <c r="K8" s="3416">
        <v>60</v>
      </c>
      <c r="L8" s="3416">
        <v>60</v>
      </c>
      <c r="M8" s="3417">
        <v>60</v>
      </c>
    </row>
    <row r="9" spans="1:13">
      <c r="A9" s="1033" t="s">
        <v>1413</v>
      </c>
      <c r="B9" s="3418">
        <v>70</v>
      </c>
      <c r="C9" s="3418">
        <v>70</v>
      </c>
      <c r="D9" s="3418">
        <v>60</v>
      </c>
      <c r="E9" s="3418">
        <v>60</v>
      </c>
      <c r="F9" s="3418">
        <v>60</v>
      </c>
      <c r="G9" s="3418">
        <v>60</v>
      </c>
      <c r="H9" s="3418">
        <v>60</v>
      </c>
      <c r="I9" s="3418">
        <v>50</v>
      </c>
      <c r="J9" s="3418">
        <v>50</v>
      </c>
      <c r="K9" s="3418">
        <v>50</v>
      </c>
      <c r="L9" s="3418">
        <v>50</v>
      </c>
      <c r="M9" s="3419">
        <v>50</v>
      </c>
    </row>
    <row r="10" spans="1:13">
      <c r="A10" s="1033" t="s">
        <v>1414</v>
      </c>
      <c r="B10" s="3418">
        <v>20</v>
      </c>
      <c r="C10" s="3418">
        <v>20</v>
      </c>
      <c r="D10" s="3418">
        <v>15</v>
      </c>
      <c r="E10" s="3418">
        <v>15</v>
      </c>
      <c r="F10" s="3418">
        <v>15</v>
      </c>
      <c r="G10" s="3418">
        <v>15</v>
      </c>
      <c r="H10" s="3418">
        <v>15</v>
      </c>
      <c r="I10" s="3418">
        <v>10</v>
      </c>
      <c r="J10" s="3418">
        <v>10</v>
      </c>
      <c r="K10" s="3418">
        <v>10</v>
      </c>
      <c r="L10" s="3418">
        <v>10</v>
      </c>
      <c r="M10" s="3419">
        <v>10</v>
      </c>
    </row>
    <row r="11" spans="1:13">
      <c r="A11" s="1033" t="s">
        <v>1415</v>
      </c>
      <c r="B11" s="3418">
        <v>30</v>
      </c>
      <c r="C11" s="3418">
        <v>30</v>
      </c>
      <c r="D11" s="3418">
        <v>25</v>
      </c>
      <c r="E11" s="3418">
        <v>25</v>
      </c>
      <c r="F11" s="3418">
        <v>25</v>
      </c>
      <c r="G11" s="3418">
        <v>25</v>
      </c>
      <c r="H11" s="3418">
        <v>25</v>
      </c>
      <c r="I11" s="3418">
        <v>20</v>
      </c>
      <c r="J11" s="3418">
        <v>20</v>
      </c>
      <c r="K11" s="3418">
        <v>20</v>
      </c>
      <c r="L11" s="3418">
        <v>20</v>
      </c>
      <c r="M11" s="3419">
        <v>20</v>
      </c>
    </row>
    <row r="12" spans="1:13">
      <c r="A12" s="1033" t="s">
        <v>1416</v>
      </c>
      <c r="B12" s="3418">
        <v>45</v>
      </c>
      <c r="C12" s="3418">
        <v>45</v>
      </c>
      <c r="D12" s="3418">
        <v>40</v>
      </c>
      <c r="E12" s="3418">
        <v>40</v>
      </c>
      <c r="F12" s="3418">
        <v>40</v>
      </c>
      <c r="G12" s="3418">
        <v>40</v>
      </c>
      <c r="H12" s="3418">
        <v>40</v>
      </c>
      <c r="I12" s="3418">
        <v>35</v>
      </c>
      <c r="J12" s="3418">
        <v>35</v>
      </c>
      <c r="K12" s="3418">
        <v>35</v>
      </c>
      <c r="L12" s="3418">
        <v>35</v>
      </c>
      <c r="M12" s="3419">
        <v>35</v>
      </c>
    </row>
    <row r="13" spans="1:13">
      <c r="A13" s="1033" t="s">
        <v>1417</v>
      </c>
      <c r="B13" s="3418">
        <v>60</v>
      </c>
      <c r="C13" s="3418">
        <v>60</v>
      </c>
      <c r="D13" s="3418">
        <v>50</v>
      </c>
      <c r="E13" s="3418">
        <v>50</v>
      </c>
      <c r="F13" s="3418">
        <v>50</v>
      </c>
      <c r="G13" s="3418">
        <v>50</v>
      </c>
      <c r="H13" s="3418">
        <v>50</v>
      </c>
      <c r="I13" s="3418">
        <v>40</v>
      </c>
      <c r="J13" s="3418">
        <v>40</v>
      </c>
      <c r="K13" s="3418">
        <v>40</v>
      </c>
      <c r="L13" s="3418">
        <v>40</v>
      </c>
      <c r="M13" s="3419">
        <v>40</v>
      </c>
    </row>
    <row r="14" spans="1:13">
      <c r="A14" s="1033" t="s">
        <v>1418</v>
      </c>
      <c r="B14" s="3418">
        <v>50</v>
      </c>
      <c r="C14" s="3418">
        <v>50</v>
      </c>
      <c r="D14" s="3418">
        <v>40</v>
      </c>
      <c r="E14" s="3418">
        <v>40</v>
      </c>
      <c r="F14" s="3418">
        <v>40</v>
      </c>
      <c r="G14" s="3418">
        <v>40</v>
      </c>
      <c r="H14" s="3418">
        <v>40</v>
      </c>
      <c r="I14" s="3418">
        <v>30</v>
      </c>
      <c r="J14" s="3418">
        <v>30</v>
      </c>
      <c r="K14" s="3418">
        <v>30</v>
      </c>
      <c r="L14" s="3418">
        <v>30</v>
      </c>
      <c r="M14" s="3419">
        <v>30</v>
      </c>
    </row>
    <row r="15" spans="1:13">
      <c r="A15" s="1074" t="s">
        <v>1419</v>
      </c>
      <c r="B15" s="3420">
        <v>20</v>
      </c>
      <c r="C15" s="3420">
        <v>20</v>
      </c>
      <c r="D15" s="3420">
        <v>15</v>
      </c>
      <c r="E15" s="3420">
        <v>15</v>
      </c>
      <c r="F15" s="3420">
        <v>15</v>
      </c>
      <c r="G15" s="3420">
        <v>15</v>
      </c>
      <c r="H15" s="3420">
        <v>15</v>
      </c>
      <c r="I15" s="3420">
        <v>10</v>
      </c>
      <c r="J15" s="3420">
        <v>10</v>
      </c>
      <c r="K15" s="3420">
        <v>10</v>
      </c>
      <c r="L15" s="3420">
        <v>10</v>
      </c>
      <c r="M15" s="3421">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3" t="s">
        <v>2673</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6" t="s">
        <v>1421</v>
      </c>
      <c r="B18" s="1076"/>
      <c r="C18" s="1077"/>
      <c r="D18" s="1077"/>
      <c r="E18" s="1076"/>
      <c r="F18" s="1077"/>
      <c r="G18" s="1077"/>
    </row>
    <row r="19" spans="1:13" ht="14.25" thickBot="1">
      <c r="A19" s="3420" t="s">
        <v>2882</v>
      </c>
      <c r="B19" s="3422" t="s">
        <v>2883</v>
      </c>
      <c r="C19" s="3423" t="s">
        <v>2884</v>
      </c>
      <c r="D19" s="3424"/>
      <c r="E19" s="3418" t="s">
        <v>2885</v>
      </c>
      <c r="F19" s="1079"/>
      <c r="G19" s="1079"/>
    </row>
    <row r="20" spans="1:13" s="1486" customFormat="1">
      <c r="A20" s="3791" t="s">
        <v>2876</v>
      </c>
      <c r="B20" s="3794" t="s">
        <v>2886</v>
      </c>
      <c r="C20" s="3425" t="s">
        <v>2887</v>
      </c>
      <c r="D20" s="3426"/>
      <c r="E20" s="3427">
        <v>1</v>
      </c>
      <c r="F20" s="3428" t="s">
        <v>2888</v>
      </c>
      <c r="G20" s="1081"/>
      <c r="H20" s="1071"/>
      <c r="I20" s="1071"/>
    </row>
    <row r="21" spans="1:13" s="1486" customFormat="1">
      <c r="A21" s="3792"/>
      <c r="B21" s="3795"/>
      <c r="C21" s="3429" t="s">
        <v>2889</v>
      </c>
      <c r="D21" s="3430"/>
      <c r="E21" s="3431">
        <v>1</v>
      </c>
      <c r="F21" s="3428" t="s">
        <v>2890</v>
      </c>
      <c r="G21" s="1081"/>
      <c r="H21" s="1071"/>
      <c r="I21" s="1071"/>
    </row>
    <row r="22" spans="1:13" s="1486" customFormat="1">
      <c r="A22" s="3792"/>
      <c r="B22" s="3795"/>
      <c r="C22" s="3429" t="s">
        <v>2891</v>
      </c>
      <c r="D22" s="3430"/>
      <c r="E22" s="3431">
        <v>0.9</v>
      </c>
      <c r="F22" s="3428" t="s">
        <v>2892</v>
      </c>
      <c r="G22" s="1081"/>
      <c r="H22" s="1071"/>
      <c r="I22" s="1071"/>
    </row>
    <row r="23" spans="1:13" s="1486" customFormat="1">
      <c r="A23" s="3792"/>
      <c r="B23" s="3795"/>
      <c r="C23" s="3429" t="s">
        <v>2893</v>
      </c>
      <c r="D23" s="3430"/>
      <c r="E23" s="3431">
        <v>0.9</v>
      </c>
      <c r="F23" s="3428" t="s">
        <v>2894</v>
      </c>
      <c r="G23" s="1081"/>
      <c r="H23" s="1071"/>
      <c r="I23" s="1071"/>
    </row>
    <row r="24" spans="1:13" s="1486" customFormat="1">
      <c r="A24" s="3792"/>
      <c r="B24" s="3795"/>
      <c r="C24" s="3429" t="s">
        <v>2895</v>
      </c>
      <c r="D24" s="3430"/>
      <c r="E24" s="3431">
        <v>0.8</v>
      </c>
      <c r="F24" s="3428" t="s">
        <v>2896</v>
      </c>
      <c r="G24" s="1081"/>
      <c r="H24" s="1071"/>
      <c r="I24" s="1071"/>
    </row>
    <row r="25" spans="1:13" s="1486" customFormat="1" ht="14.25" thickBot="1">
      <c r="A25" s="3793"/>
      <c r="B25" s="3796"/>
      <c r="C25" s="3432" t="s">
        <v>2897</v>
      </c>
      <c r="D25" s="3433"/>
      <c r="E25" s="3434">
        <v>0.8</v>
      </c>
      <c r="F25" s="3428" t="s">
        <v>2898</v>
      </c>
      <c r="G25" s="1081"/>
      <c r="H25" s="1071"/>
      <c r="I25" s="1071"/>
    </row>
    <row r="26" spans="1:13" s="1486" customFormat="1" ht="14.25" thickBot="1">
      <c r="A26" s="3435" t="s">
        <v>2877</v>
      </c>
      <c r="B26" s="3436" t="s">
        <v>2886</v>
      </c>
      <c r="C26" s="3437" t="s">
        <v>2899</v>
      </c>
      <c r="D26" s="3438"/>
      <c r="E26" s="3439">
        <v>1</v>
      </c>
      <c r="F26" s="3428" t="s">
        <v>2900</v>
      </c>
      <c r="G26" s="1081"/>
      <c r="H26" s="1071"/>
      <c r="I26" s="1071"/>
    </row>
    <row r="27" spans="1:13" s="1486" customFormat="1">
      <c r="A27" s="3797" t="s">
        <v>2881</v>
      </c>
      <c r="B27" s="3794" t="s">
        <v>2881</v>
      </c>
      <c r="C27" s="3425" t="s">
        <v>2901</v>
      </c>
      <c r="D27" s="3426"/>
      <c r="E27" s="3427">
        <v>1</v>
      </c>
      <c r="F27" s="3428" t="s">
        <v>2902</v>
      </c>
      <c r="G27" s="1081"/>
      <c r="H27" s="1071"/>
      <c r="I27" s="1071"/>
    </row>
    <row r="28" spans="1:13" s="1486" customFormat="1">
      <c r="A28" s="3798"/>
      <c r="B28" s="3795"/>
      <c r="C28" s="3429" t="s">
        <v>2903</v>
      </c>
      <c r="D28" s="3430"/>
      <c r="E28" s="3431">
        <v>1</v>
      </c>
      <c r="F28" s="3428" t="s">
        <v>2904</v>
      </c>
      <c r="G28" s="1081"/>
      <c r="H28" s="1071"/>
      <c r="I28" s="1071"/>
    </row>
    <row r="29" spans="1:13" s="1486" customFormat="1">
      <c r="A29" s="3798"/>
      <c r="B29" s="3795"/>
      <c r="C29" s="3429" t="s">
        <v>2905</v>
      </c>
      <c r="D29" s="3430"/>
      <c r="E29" s="3431">
        <v>0.8</v>
      </c>
      <c r="F29" s="3428" t="s">
        <v>2906</v>
      </c>
      <c r="G29" s="1081"/>
      <c r="H29" s="1071"/>
      <c r="I29" s="1071"/>
    </row>
    <row r="30" spans="1:13" s="1486" customFormat="1">
      <c r="A30" s="3798"/>
      <c r="B30" s="3795"/>
      <c r="C30" s="3429" t="s">
        <v>2907</v>
      </c>
      <c r="D30" s="3430"/>
      <c r="E30" s="3431">
        <v>0.8</v>
      </c>
      <c r="F30" s="3428" t="s">
        <v>2908</v>
      </c>
      <c r="G30" s="1081"/>
      <c r="H30" s="1071"/>
      <c r="I30" s="1071"/>
    </row>
    <row r="31" spans="1:13" s="1486" customFormat="1">
      <c r="A31" s="3798"/>
      <c r="B31" s="3795"/>
      <c r="C31" s="3429" t="s">
        <v>2909</v>
      </c>
      <c r="D31" s="3430"/>
      <c r="E31" s="3431">
        <v>0.8</v>
      </c>
      <c r="F31" s="3428" t="s">
        <v>2910</v>
      </c>
      <c r="G31" s="1081"/>
      <c r="H31" s="1071"/>
      <c r="I31" s="1071"/>
    </row>
    <row r="32" spans="1:13" s="1486" customFormat="1">
      <c r="A32" s="3798"/>
      <c r="B32" s="3795"/>
      <c r="C32" s="3429" t="s">
        <v>2911</v>
      </c>
      <c r="D32" s="3430"/>
      <c r="E32" s="3431">
        <v>0.7</v>
      </c>
      <c r="F32" s="3428" t="s">
        <v>2912</v>
      </c>
      <c r="G32" s="1081"/>
      <c r="H32" s="1071"/>
      <c r="I32" s="1071"/>
    </row>
    <row r="33" spans="1:9" s="1486" customFormat="1">
      <c r="A33" s="3798"/>
      <c r="B33" s="3795"/>
      <c r="C33" s="3429" t="s">
        <v>2913</v>
      </c>
      <c r="D33" s="3430"/>
      <c r="E33" s="3431">
        <v>0.8</v>
      </c>
      <c r="F33" s="3428" t="s">
        <v>2914</v>
      </c>
      <c r="G33" s="1081"/>
      <c r="H33" s="1071"/>
      <c r="I33" s="1071"/>
    </row>
    <row r="34" spans="1:9" s="1486" customFormat="1">
      <c r="A34" s="3798"/>
      <c r="B34" s="3795"/>
      <c r="C34" s="3429" t="s">
        <v>2915</v>
      </c>
      <c r="D34" s="3430"/>
      <c r="E34" s="3431">
        <v>0.6</v>
      </c>
      <c r="F34" s="3428" t="s">
        <v>2916</v>
      </c>
      <c r="G34" s="1081"/>
      <c r="H34" s="1071"/>
      <c r="I34" s="1071"/>
    </row>
    <row r="35" spans="1:9" s="1486" customFormat="1">
      <c r="A35" s="3798"/>
      <c r="B35" s="3795"/>
      <c r="C35" s="3429" t="s">
        <v>2917</v>
      </c>
      <c r="D35" s="3430"/>
      <c r="E35" s="3431">
        <v>0.2</v>
      </c>
      <c r="F35" s="3428" t="s">
        <v>2918</v>
      </c>
      <c r="G35" s="1081"/>
      <c r="H35" s="1071"/>
      <c r="I35" s="1071"/>
    </row>
    <row r="36" spans="1:9" s="1486" customFormat="1">
      <c r="A36" s="3798"/>
      <c r="B36" s="3795"/>
      <c r="C36" s="3429" t="s">
        <v>2919</v>
      </c>
      <c r="D36" s="3430"/>
      <c r="E36" s="3431">
        <v>0.2</v>
      </c>
      <c r="F36" s="3428" t="s">
        <v>2920</v>
      </c>
      <c r="G36" s="1081"/>
      <c r="H36" s="1071"/>
      <c r="I36" s="1071"/>
    </row>
    <row r="37" spans="1:9" s="1486" customFormat="1">
      <c r="A37" s="3798"/>
      <c r="B37" s="3800" t="s">
        <v>2921</v>
      </c>
      <c r="C37" s="3429" t="s">
        <v>2922</v>
      </c>
      <c r="D37" s="3430"/>
      <c r="E37" s="3431">
        <v>0.6</v>
      </c>
      <c r="F37" s="3428" t="s">
        <v>2923</v>
      </c>
      <c r="G37" s="1081"/>
      <c r="H37" s="1071"/>
      <c r="I37" s="1071"/>
    </row>
    <row r="38" spans="1:9" s="1486" customFormat="1">
      <c r="A38" s="3798"/>
      <c r="B38" s="3795"/>
      <c r="C38" s="3429" t="s">
        <v>2924</v>
      </c>
      <c r="D38" s="3430"/>
      <c r="E38" s="3431">
        <v>0.6</v>
      </c>
      <c r="F38" s="3428" t="s">
        <v>2925</v>
      </c>
      <c r="G38" s="1081"/>
      <c r="H38" s="1071"/>
      <c r="I38" s="1071"/>
    </row>
    <row r="39" spans="1:9" s="1486" customFormat="1" ht="14.25" thickBot="1">
      <c r="A39" s="3799"/>
      <c r="B39" s="3796"/>
      <c r="C39" s="3432" t="s">
        <v>2926</v>
      </c>
      <c r="D39" s="3433"/>
      <c r="E39" s="3434">
        <v>0.6</v>
      </c>
      <c r="F39" s="3428" t="s">
        <v>2927</v>
      </c>
      <c r="G39" s="1081"/>
      <c r="H39" s="1071"/>
      <c r="I39" s="1071"/>
    </row>
    <row r="40" spans="1:9" s="1486" customFormat="1" ht="14.25" thickBot="1">
      <c r="A40" s="3435" t="s">
        <v>2878</v>
      </c>
      <c r="B40" s="3436" t="s">
        <v>2878</v>
      </c>
      <c r="C40" s="3437" t="s">
        <v>2928</v>
      </c>
      <c r="D40" s="3438"/>
      <c r="E40" s="3439">
        <v>1</v>
      </c>
      <c r="F40" s="3428" t="s">
        <v>2929</v>
      </c>
      <c r="G40" s="1081"/>
      <c r="H40" s="1071"/>
      <c r="I40" s="1071"/>
    </row>
    <row r="41" spans="1:9" s="1486" customFormat="1">
      <c r="A41" s="3791" t="s">
        <v>2879</v>
      </c>
      <c r="B41" s="3794" t="s">
        <v>2930</v>
      </c>
      <c r="C41" s="3425" t="s">
        <v>2931</v>
      </c>
      <c r="D41" s="3426"/>
      <c r="E41" s="3427">
        <v>1</v>
      </c>
      <c r="F41" s="3428" t="s">
        <v>2932</v>
      </c>
      <c r="G41" s="1081"/>
      <c r="H41" s="1071"/>
      <c r="I41" s="1071"/>
    </row>
    <row r="42" spans="1:9" s="1486" customFormat="1">
      <c r="A42" s="3792"/>
      <c r="B42" s="3795"/>
      <c r="C42" s="3429" t="s">
        <v>2933</v>
      </c>
      <c r="D42" s="3430"/>
      <c r="E42" s="3431">
        <v>1</v>
      </c>
      <c r="F42" s="3428" t="s">
        <v>2934</v>
      </c>
      <c r="G42" s="1081"/>
      <c r="H42" s="1071"/>
      <c r="I42" s="1071"/>
    </row>
    <row r="43" spans="1:9" s="1486" customFormat="1">
      <c r="A43" s="3792"/>
      <c r="B43" s="3801"/>
      <c r="C43" s="3429" t="s">
        <v>2935</v>
      </c>
      <c r="D43" s="3430"/>
      <c r="E43" s="3431">
        <v>1.5</v>
      </c>
      <c r="F43" s="3428" t="s">
        <v>2936</v>
      </c>
      <c r="G43" s="1081"/>
      <c r="H43" s="1071"/>
      <c r="I43" s="1071"/>
    </row>
    <row r="44" spans="1:9" s="1486" customFormat="1">
      <c r="A44" s="3792"/>
      <c r="B44" s="3440" t="s">
        <v>2881</v>
      </c>
      <c r="C44" s="3429" t="s">
        <v>2880</v>
      </c>
      <c r="D44" s="3430"/>
      <c r="E44" s="3431">
        <v>2</v>
      </c>
      <c r="F44" s="3428" t="s">
        <v>2937</v>
      </c>
      <c r="G44" s="1081"/>
      <c r="H44" s="1071"/>
      <c r="I44" s="1071"/>
    </row>
    <row r="45" spans="1:9" s="1486" customFormat="1">
      <c r="A45" s="3792"/>
      <c r="B45" s="3800" t="s">
        <v>2938</v>
      </c>
      <c r="C45" s="3429" t="s">
        <v>2939</v>
      </c>
      <c r="D45" s="3430"/>
      <c r="E45" s="3431">
        <v>1</v>
      </c>
      <c r="F45" s="3428" t="s">
        <v>2940</v>
      </c>
      <c r="G45" s="1081"/>
      <c r="H45" s="1071"/>
      <c r="I45" s="1071"/>
    </row>
    <row r="46" spans="1:9" s="1486" customFormat="1">
      <c r="A46" s="3792"/>
      <c r="B46" s="3795"/>
      <c r="C46" s="3429" t="s">
        <v>2941</v>
      </c>
      <c r="D46" s="3430"/>
      <c r="E46" s="3431">
        <v>1</v>
      </c>
      <c r="F46" s="3428" t="s">
        <v>2942</v>
      </c>
      <c r="G46" s="1081"/>
      <c r="H46" s="1071"/>
      <c r="I46" s="1071"/>
    </row>
    <row r="47" spans="1:9" s="1486" customFormat="1">
      <c r="A47" s="3792"/>
      <c r="B47" s="3795"/>
      <c r="C47" s="3429" t="s">
        <v>2943</v>
      </c>
      <c r="D47" s="3430"/>
      <c r="E47" s="3431">
        <v>1</v>
      </c>
      <c r="F47" s="3428" t="s">
        <v>2944</v>
      </c>
      <c r="G47" s="1081"/>
      <c r="H47" s="1071"/>
      <c r="I47" s="1071"/>
    </row>
    <row r="48" spans="1:9" s="1486" customFormat="1">
      <c r="A48" s="3792"/>
      <c r="B48" s="3795"/>
      <c r="C48" s="3429" t="s">
        <v>2945</v>
      </c>
      <c r="D48" s="3430"/>
      <c r="E48" s="3431">
        <v>1</v>
      </c>
      <c r="F48" s="3428" t="s">
        <v>2946</v>
      </c>
      <c r="G48" s="1081"/>
      <c r="H48" s="1071"/>
      <c r="I48" s="1071"/>
    </row>
    <row r="49" spans="1:9" s="1486" customFormat="1">
      <c r="A49" s="3792"/>
      <c r="B49" s="3795"/>
      <c r="C49" s="3429" t="s">
        <v>2947</v>
      </c>
      <c r="D49" s="3430"/>
      <c r="E49" s="3431">
        <v>1</v>
      </c>
      <c r="F49" s="3428" t="s">
        <v>2948</v>
      </c>
      <c r="G49" s="1081"/>
      <c r="H49" s="1071"/>
      <c r="I49" s="1071"/>
    </row>
    <row r="50" spans="1:9" s="1486" customFormat="1">
      <c r="A50" s="3792"/>
      <c r="B50" s="3795"/>
      <c r="C50" s="3429" t="s">
        <v>2949</v>
      </c>
      <c r="D50" s="3430"/>
      <c r="E50" s="3431">
        <v>1</v>
      </c>
      <c r="F50" s="3428" t="s">
        <v>2950</v>
      </c>
      <c r="G50" s="1081"/>
      <c r="H50" s="1071"/>
      <c r="I50" s="1071"/>
    </row>
    <row r="51" spans="1:9" s="1486" customFormat="1" ht="14.25" thickBot="1">
      <c r="A51" s="3793"/>
      <c r="B51" s="3796"/>
      <c r="C51" s="3432" t="s">
        <v>2951</v>
      </c>
      <c r="D51" s="3433"/>
      <c r="E51" s="3434">
        <v>1</v>
      </c>
      <c r="F51" s="3428" t="s">
        <v>2952</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18">
        <v>0.7</v>
      </c>
      <c r="C57" s="3418">
        <v>0.4</v>
      </c>
      <c r="D57" s="3418">
        <v>0.3</v>
      </c>
      <c r="E57" s="3424">
        <v>0.3</v>
      </c>
      <c r="F57" s="3418">
        <v>0.3</v>
      </c>
      <c r="G57" s="3418">
        <v>0.2</v>
      </c>
      <c r="I57" s="1032"/>
    </row>
    <row r="58" spans="1:9">
      <c r="A58" s="1099" t="s">
        <v>887</v>
      </c>
      <c r="B58" s="3418">
        <v>0.7</v>
      </c>
      <c r="C58" s="3418">
        <v>0.4</v>
      </c>
      <c r="D58" s="3418">
        <v>0.3</v>
      </c>
      <c r="E58" s="3418">
        <v>0.3</v>
      </c>
      <c r="F58" s="3418">
        <v>0.3</v>
      </c>
      <c r="G58" s="3418">
        <v>0.2</v>
      </c>
      <c r="I58" s="1032"/>
    </row>
    <row r="59" spans="1:9">
      <c r="A59" s="1099" t="s">
        <v>888</v>
      </c>
      <c r="B59" s="3418">
        <v>0.6</v>
      </c>
      <c r="C59" s="3418">
        <v>0.3</v>
      </c>
      <c r="D59" s="3418">
        <v>0.25</v>
      </c>
      <c r="E59" s="3418">
        <v>0.25</v>
      </c>
      <c r="F59" s="3418">
        <v>0.25</v>
      </c>
      <c r="G59" s="3418">
        <v>0.15</v>
      </c>
      <c r="I59" s="1032"/>
    </row>
    <row r="60" spans="1:9">
      <c r="A60" s="1099" t="s">
        <v>889</v>
      </c>
      <c r="B60" s="3418">
        <v>0.6</v>
      </c>
      <c r="C60" s="3418">
        <v>0.3</v>
      </c>
      <c r="D60" s="3418">
        <v>0.25</v>
      </c>
      <c r="E60" s="3418">
        <v>0.25</v>
      </c>
      <c r="F60" s="3418">
        <v>0.25</v>
      </c>
      <c r="G60" s="3418">
        <v>0.15</v>
      </c>
      <c r="I60" s="1032"/>
    </row>
    <row r="61" spans="1:9" s="1071" customFormat="1">
      <c r="A61" s="1099" t="s">
        <v>890</v>
      </c>
      <c r="B61" s="3418">
        <v>0.6</v>
      </c>
      <c r="C61" s="3418">
        <v>0.3</v>
      </c>
      <c r="D61" s="3418">
        <v>0.25</v>
      </c>
      <c r="E61" s="3418">
        <v>0.25</v>
      </c>
      <c r="F61" s="3418">
        <v>0.25</v>
      </c>
      <c r="G61" s="3418">
        <v>0.15</v>
      </c>
    </row>
    <row r="62" spans="1:9" s="1071" customFormat="1">
      <c r="A62" s="1099" t="s">
        <v>891</v>
      </c>
      <c r="B62" s="3418">
        <v>0.6</v>
      </c>
      <c r="C62" s="3418">
        <v>0.3</v>
      </c>
      <c r="D62" s="3418">
        <v>0.25</v>
      </c>
      <c r="E62" s="3418">
        <v>0.25</v>
      </c>
      <c r="F62" s="3418">
        <v>0.25</v>
      </c>
      <c r="G62" s="3418">
        <v>0.15</v>
      </c>
    </row>
    <row r="63" spans="1:9" s="1071" customFormat="1">
      <c r="A63" s="1099" t="s">
        <v>892</v>
      </c>
      <c r="B63" s="3418">
        <v>0.6</v>
      </c>
      <c r="C63" s="3418">
        <v>0.3</v>
      </c>
      <c r="D63" s="3418">
        <v>0.25</v>
      </c>
      <c r="E63" s="3418">
        <v>0.25</v>
      </c>
      <c r="F63" s="3418">
        <v>0.25</v>
      </c>
      <c r="G63" s="3418">
        <v>0.15</v>
      </c>
    </row>
    <row r="64" spans="1:9" s="1071" customFormat="1">
      <c r="A64" s="1099" t="s">
        <v>893</v>
      </c>
      <c r="B64" s="3418">
        <v>0.5</v>
      </c>
      <c r="C64" s="3418">
        <v>0.2</v>
      </c>
      <c r="D64" s="3418">
        <v>0.2</v>
      </c>
      <c r="E64" s="3418">
        <v>0.2</v>
      </c>
      <c r="F64" s="3418">
        <v>0.2</v>
      </c>
      <c r="G64" s="3418">
        <v>0.1</v>
      </c>
    </row>
    <row r="65" spans="1:8" s="1071" customFormat="1">
      <c r="A65" s="1099" t="s">
        <v>894</v>
      </c>
      <c r="B65" s="3418">
        <v>0.5</v>
      </c>
      <c r="C65" s="3418">
        <v>0.2</v>
      </c>
      <c r="D65" s="3418">
        <v>0.2</v>
      </c>
      <c r="E65" s="3418">
        <v>0.2</v>
      </c>
      <c r="F65" s="3418">
        <v>0.2</v>
      </c>
      <c r="G65" s="3418">
        <v>0.1</v>
      </c>
    </row>
    <row r="66" spans="1:8" s="1071" customFormat="1">
      <c r="A66" s="1099" t="s">
        <v>895</v>
      </c>
      <c r="B66" s="3418">
        <v>0.5</v>
      </c>
      <c r="C66" s="3418">
        <v>0.2</v>
      </c>
      <c r="D66" s="3418">
        <v>0.2</v>
      </c>
      <c r="E66" s="3418">
        <v>0.2</v>
      </c>
      <c r="F66" s="3418">
        <v>0.2</v>
      </c>
      <c r="G66" s="3418">
        <v>0.1</v>
      </c>
    </row>
    <row r="67" spans="1:8" s="1071" customFormat="1">
      <c r="A67" s="1099" t="s">
        <v>896</v>
      </c>
      <c r="B67" s="3418">
        <v>0.5</v>
      </c>
      <c r="C67" s="3418">
        <v>0.2</v>
      </c>
      <c r="D67" s="3418">
        <v>0.2</v>
      </c>
      <c r="E67" s="3418">
        <v>0.2</v>
      </c>
      <c r="F67" s="3418">
        <v>0.2</v>
      </c>
      <c r="G67" s="3418">
        <v>0.1</v>
      </c>
    </row>
    <row r="68" spans="1:8" s="1071" customFormat="1">
      <c r="A68" s="1099" t="s">
        <v>897</v>
      </c>
      <c r="B68" s="3418">
        <v>0.5</v>
      </c>
      <c r="C68" s="3418">
        <v>0.2</v>
      </c>
      <c r="D68" s="3418">
        <v>0.2</v>
      </c>
      <c r="E68" s="3418">
        <v>0.2</v>
      </c>
      <c r="F68" s="3418">
        <v>0.2</v>
      </c>
      <c r="G68" s="3418">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2953</v>
      </c>
      <c r="D72" s="1101"/>
      <c r="E72" s="1086" t="s">
        <v>1420</v>
      </c>
      <c r="F72" s="1101" t="s">
        <v>1420</v>
      </c>
    </row>
    <row r="73" spans="1:8" s="1071" customFormat="1">
      <c r="A73" s="3440">
        <v>1</v>
      </c>
      <c r="B73" s="3800" t="s">
        <v>2954</v>
      </c>
      <c r="C73" s="3418" t="s">
        <v>2955</v>
      </c>
      <c r="D73" s="3418" t="s">
        <v>2956</v>
      </c>
      <c r="E73" s="3441">
        <v>0.2</v>
      </c>
      <c r="F73" s="3440">
        <v>25</v>
      </c>
      <c r="H73" s="1071">
        <f>SUMIF(C71:C139,基准地价!C8,E71:E139)</f>
        <v>0</v>
      </c>
    </row>
    <row r="74" spans="1:8" s="1071" customFormat="1" ht="24">
      <c r="A74" s="3440">
        <v>2</v>
      </c>
      <c r="B74" s="3795"/>
      <c r="C74" s="3418" t="s">
        <v>2957</v>
      </c>
      <c r="D74" s="3418" t="s">
        <v>2958</v>
      </c>
      <c r="E74" s="3441">
        <v>0.2</v>
      </c>
      <c r="F74" s="3440">
        <v>25</v>
      </c>
    </row>
    <row r="75" spans="1:8" s="1071" customFormat="1" ht="24">
      <c r="A75" s="3440">
        <v>3</v>
      </c>
      <c r="B75" s="3795"/>
      <c r="C75" s="3418" t="s">
        <v>2959</v>
      </c>
      <c r="D75" s="3418" t="s">
        <v>2960</v>
      </c>
      <c r="E75" s="3441">
        <v>0.2</v>
      </c>
      <c r="F75" s="3440">
        <v>25</v>
      </c>
    </row>
    <row r="76" spans="1:8" s="1071" customFormat="1">
      <c r="A76" s="3440">
        <v>4</v>
      </c>
      <c r="B76" s="3795"/>
      <c r="C76" s="3418" t="s">
        <v>2961</v>
      </c>
      <c r="D76" s="3418" t="s">
        <v>2962</v>
      </c>
      <c r="E76" s="3441">
        <v>0.15</v>
      </c>
      <c r="F76" s="3440">
        <v>20</v>
      </c>
    </row>
    <row r="77" spans="1:8" s="1071" customFormat="1" ht="24">
      <c r="A77" s="3440">
        <v>5</v>
      </c>
      <c r="B77" s="3795"/>
      <c r="C77" s="3418" t="s">
        <v>2963</v>
      </c>
      <c r="D77" s="3418" t="s">
        <v>2964</v>
      </c>
      <c r="E77" s="3441">
        <v>0.15</v>
      </c>
      <c r="F77" s="3440">
        <v>20</v>
      </c>
    </row>
    <row r="78" spans="1:8" s="1071" customFormat="1" ht="24">
      <c r="A78" s="3440">
        <v>6</v>
      </c>
      <c r="B78" s="3795"/>
      <c r="C78" s="3418" t="s">
        <v>2965</v>
      </c>
      <c r="D78" s="3418" t="s">
        <v>2966</v>
      </c>
      <c r="E78" s="3441">
        <v>0.15</v>
      </c>
      <c r="F78" s="3440">
        <v>20</v>
      </c>
    </row>
    <row r="79" spans="1:8" s="1071" customFormat="1" ht="24">
      <c r="A79" s="3440">
        <v>7</v>
      </c>
      <c r="B79" s="3795"/>
      <c r="C79" s="3418" t="s">
        <v>2967</v>
      </c>
      <c r="D79" s="3418" t="s">
        <v>2968</v>
      </c>
      <c r="E79" s="3441">
        <v>0.15</v>
      </c>
      <c r="F79" s="3440">
        <v>20</v>
      </c>
    </row>
    <row r="80" spans="1:8" s="1071" customFormat="1" ht="24">
      <c r="A80" s="3440">
        <v>8</v>
      </c>
      <c r="B80" s="3795"/>
      <c r="C80" s="3418" t="s">
        <v>2969</v>
      </c>
      <c r="D80" s="3418" t="s">
        <v>2970</v>
      </c>
      <c r="E80" s="3441">
        <v>0.1</v>
      </c>
      <c r="F80" s="3440">
        <v>15</v>
      </c>
    </row>
    <row r="81" spans="1:6" s="1071" customFormat="1" ht="24">
      <c r="A81" s="3440">
        <v>9</v>
      </c>
      <c r="B81" s="3795"/>
      <c r="C81" s="3418" t="s">
        <v>2971</v>
      </c>
      <c r="D81" s="3418" t="s">
        <v>2972</v>
      </c>
      <c r="E81" s="3441">
        <v>0.1</v>
      </c>
      <c r="F81" s="3440">
        <v>15</v>
      </c>
    </row>
    <row r="82" spans="1:6" s="1071" customFormat="1" ht="24">
      <c r="A82" s="3440">
        <v>10</v>
      </c>
      <c r="B82" s="3795"/>
      <c r="C82" s="3418" t="s">
        <v>2973</v>
      </c>
      <c r="D82" s="3418" t="s">
        <v>2974</v>
      </c>
      <c r="E82" s="3441">
        <v>0.1</v>
      </c>
      <c r="F82" s="3440">
        <v>15</v>
      </c>
    </row>
    <row r="83" spans="1:6" s="1071" customFormat="1" ht="24">
      <c r="A83" s="3440">
        <v>11</v>
      </c>
      <c r="B83" s="3795"/>
      <c r="C83" s="3418" t="s">
        <v>2975</v>
      </c>
      <c r="D83" s="3418" t="s">
        <v>2976</v>
      </c>
      <c r="E83" s="3441">
        <v>0.1</v>
      </c>
      <c r="F83" s="3440">
        <v>15</v>
      </c>
    </row>
    <row r="84" spans="1:6" s="1071" customFormat="1" ht="24">
      <c r="A84" s="3440">
        <v>12</v>
      </c>
      <c r="B84" s="3795"/>
      <c r="C84" s="3418" t="s">
        <v>2977</v>
      </c>
      <c r="D84" s="3418" t="s">
        <v>2978</v>
      </c>
      <c r="E84" s="3441">
        <v>0.1</v>
      </c>
      <c r="F84" s="3440">
        <v>15</v>
      </c>
    </row>
    <row r="85" spans="1:6" s="1071" customFormat="1">
      <c r="A85" s="3440">
        <v>13</v>
      </c>
      <c r="B85" s="3795"/>
      <c r="C85" s="3418" t="s">
        <v>2979</v>
      </c>
      <c r="D85" s="3418" t="s">
        <v>2980</v>
      </c>
      <c r="E85" s="3441">
        <v>0.1</v>
      </c>
      <c r="F85" s="3440">
        <v>15</v>
      </c>
    </row>
    <row r="86" spans="1:6" s="1071" customFormat="1">
      <c r="A86" s="3440">
        <v>14</v>
      </c>
      <c r="B86" s="3795"/>
      <c r="C86" s="3418" t="s">
        <v>2981</v>
      </c>
      <c r="D86" s="3418" t="s">
        <v>2982</v>
      </c>
      <c r="E86" s="3441">
        <v>0.1</v>
      </c>
      <c r="F86" s="3440">
        <v>15</v>
      </c>
    </row>
    <row r="87" spans="1:6" s="1071" customFormat="1">
      <c r="A87" s="3440">
        <v>15</v>
      </c>
      <c r="B87" s="3795"/>
      <c r="C87" s="3418" t="s">
        <v>2983</v>
      </c>
      <c r="D87" s="3418" t="s">
        <v>2984</v>
      </c>
      <c r="E87" s="3441">
        <v>0.1</v>
      </c>
      <c r="F87" s="3440">
        <v>15</v>
      </c>
    </row>
    <row r="88" spans="1:6" s="1071" customFormat="1" ht="24">
      <c r="A88" s="3440">
        <v>16</v>
      </c>
      <c r="B88" s="3795"/>
      <c r="C88" s="3418" t="s">
        <v>2985</v>
      </c>
      <c r="D88" s="3418" t="s">
        <v>2986</v>
      </c>
      <c r="E88" s="3441">
        <v>0.1</v>
      </c>
      <c r="F88" s="3440">
        <v>15</v>
      </c>
    </row>
    <row r="89" spans="1:6" s="1071" customFormat="1" ht="24">
      <c r="A89" s="3440">
        <v>17</v>
      </c>
      <c r="B89" s="3801"/>
      <c r="C89" s="3418" t="s">
        <v>2987</v>
      </c>
      <c r="D89" s="3418" t="s">
        <v>2988</v>
      </c>
      <c r="E89" s="3441">
        <v>0.1</v>
      </c>
      <c r="F89" s="3440">
        <v>15</v>
      </c>
    </row>
    <row r="90" spans="1:6" s="1071" customFormat="1">
      <c r="A90" s="3440">
        <v>18</v>
      </c>
      <c r="B90" s="3800" t="s">
        <v>2989</v>
      </c>
      <c r="C90" s="3418" t="s">
        <v>2990</v>
      </c>
      <c r="D90" s="3418" t="s">
        <v>2991</v>
      </c>
      <c r="E90" s="3441">
        <v>0.2</v>
      </c>
      <c r="F90" s="3440">
        <v>25</v>
      </c>
    </row>
    <row r="91" spans="1:6" s="1071" customFormat="1" ht="24">
      <c r="A91" s="3440">
        <v>19</v>
      </c>
      <c r="B91" s="3795"/>
      <c r="C91" s="3418" t="s">
        <v>2992</v>
      </c>
      <c r="D91" s="3418" t="s">
        <v>2993</v>
      </c>
      <c r="E91" s="3441">
        <v>0.2</v>
      </c>
      <c r="F91" s="3440">
        <v>25</v>
      </c>
    </row>
    <row r="92" spans="1:6" s="1071" customFormat="1">
      <c r="A92" s="3440">
        <v>20</v>
      </c>
      <c r="B92" s="3795"/>
      <c r="C92" s="3418" t="s">
        <v>2994</v>
      </c>
      <c r="D92" s="3418" t="s">
        <v>2995</v>
      </c>
      <c r="E92" s="3441">
        <v>0.15</v>
      </c>
      <c r="F92" s="3440">
        <v>20</v>
      </c>
    </row>
    <row r="93" spans="1:6" s="1071" customFormat="1" ht="24">
      <c r="A93" s="3440">
        <v>21</v>
      </c>
      <c r="B93" s="3795"/>
      <c r="C93" s="3418" t="s">
        <v>2996</v>
      </c>
      <c r="D93" s="3418" t="s">
        <v>2997</v>
      </c>
      <c r="E93" s="3441">
        <v>0.15</v>
      </c>
      <c r="F93" s="3440">
        <v>20</v>
      </c>
    </row>
    <row r="94" spans="1:6" s="1071" customFormat="1" ht="24">
      <c r="A94" s="3440">
        <v>22</v>
      </c>
      <c r="B94" s="3795"/>
      <c r="C94" s="3418" t="s">
        <v>2998</v>
      </c>
      <c r="D94" s="3418" t="s">
        <v>2999</v>
      </c>
      <c r="E94" s="3441">
        <v>0.15</v>
      </c>
      <c r="F94" s="3440">
        <v>20</v>
      </c>
    </row>
    <row r="95" spans="1:6" s="1071" customFormat="1" ht="36">
      <c r="A95" s="3440">
        <v>23</v>
      </c>
      <c r="B95" s="3795"/>
      <c r="C95" s="3418" t="s">
        <v>3000</v>
      </c>
      <c r="D95" s="3418" t="s">
        <v>3001</v>
      </c>
      <c r="E95" s="3441">
        <v>0.15</v>
      </c>
      <c r="F95" s="3440">
        <v>20</v>
      </c>
    </row>
    <row r="96" spans="1:6" s="1071" customFormat="1">
      <c r="A96" s="3440">
        <v>24</v>
      </c>
      <c r="B96" s="3795"/>
      <c r="C96" s="3418" t="s">
        <v>3002</v>
      </c>
      <c r="D96" s="3418" t="s">
        <v>3003</v>
      </c>
      <c r="E96" s="3441">
        <v>0.1</v>
      </c>
      <c r="F96" s="3440">
        <v>15</v>
      </c>
    </row>
    <row r="97" spans="1:6" s="1071" customFormat="1" ht="24">
      <c r="A97" s="3440">
        <v>25</v>
      </c>
      <c r="B97" s="3795"/>
      <c r="C97" s="3418" t="s">
        <v>3004</v>
      </c>
      <c r="D97" s="3418" t="s">
        <v>3005</v>
      </c>
      <c r="E97" s="3441">
        <v>0.1</v>
      </c>
      <c r="F97" s="3440">
        <v>15</v>
      </c>
    </row>
    <row r="98" spans="1:6" s="1071" customFormat="1" ht="24">
      <c r="A98" s="3440">
        <v>26</v>
      </c>
      <c r="B98" s="3795"/>
      <c r="C98" s="3418" t="s">
        <v>3006</v>
      </c>
      <c r="D98" s="3418" t="s">
        <v>3007</v>
      </c>
      <c r="E98" s="3441">
        <v>0.1</v>
      </c>
      <c r="F98" s="3440">
        <v>15</v>
      </c>
    </row>
    <row r="99" spans="1:6" s="1071" customFormat="1" ht="24">
      <c r="A99" s="3440">
        <v>27</v>
      </c>
      <c r="B99" s="3795"/>
      <c r="C99" s="3418" t="s">
        <v>3008</v>
      </c>
      <c r="D99" s="3418" t="s">
        <v>3009</v>
      </c>
      <c r="E99" s="3441">
        <v>0.1</v>
      </c>
      <c r="F99" s="3440">
        <v>15</v>
      </c>
    </row>
    <row r="100" spans="1:6" s="1071" customFormat="1" ht="24">
      <c r="A100" s="3440">
        <v>28</v>
      </c>
      <c r="B100" s="3795"/>
      <c r="C100" s="3418" t="s">
        <v>3010</v>
      </c>
      <c r="D100" s="3418" t="s">
        <v>3011</v>
      </c>
      <c r="E100" s="3441">
        <v>0.1</v>
      </c>
      <c r="F100" s="3440">
        <v>15</v>
      </c>
    </row>
    <row r="101" spans="1:6" s="1071" customFormat="1" ht="24">
      <c r="A101" s="3440">
        <v>29</v>
      </c>
      <c r="B101" s="3795"/>
      <c r="C101" s="3418" t="s">
        <v>3012</v>
      </c>
      <c r="D101" s="3418" t="s">
        <v>3013</v>
      </c>
      <c r="E101" s="3441">
        <v>0.1</v>
      </c>
      <c r="F101" s="3440">
        <v>15</v>
      </c>
    </row>
    <row r="102" spans="1:6" s="1071" customFormat="1" ht="24">
      <c r="A102" s="3440">
        <v>30</v>
      </c>
      <c r="B102" s="3795"/>
      <c r="C102" s="3418" t="s">
        <v>3014</v>
      </c>
      <c r="D102" s="3418" t="s">
        <v>3015</v>
      </c>
      <c r="E102" s="3441">
        <v>0.1</v>
      </c>
      <c r="F102" s="3440">
        <v>15</v>
      </c>
    </row>
    <row r="103" spans="1:6" s="1071" customFormat="1" ht="24">
      <c r="A103" s="3440">
        <v>31</v>
      </c>
      <c r="B103" s="3795"/>
      <c r="C103" s="3418" t="s">
        <v>3016</v>
      </c>
      <c r="D103" s="3418" t="s">
        <v>3017</v>
      </c>
      <c r="E103" s="3441">
        <v>0.1</v>
      </c>
      <c r="F103" s="3440">
        <v>15</v>
      </c>
    </row>
    <row r="104" spans="1:6" s="1071" customFormat="1" ht="24">
      <c r="A104" s="3440">
        <v>32</v>
      </c>
      <c r="B104" s="3795"/>
      <c r="C104" s="3418" t="s">
        <v>3018</v>
      </c>
      <c r="D104" s="3418" t="s">
        <v>3019</v>
      </c>
      <c r="E104" s="3441">
        <v>0.1</v>
      </c>
      <c r="F104" s="3440">
        <v>15</v>
      </c>
    </row>
    <row r="105" spans="1:6" s="1071" customFormat="1" ht="24">
      <c r="A105" s="3440">
        <v>33</v>
      </c>
      <c r="B105" s="3795"/>
      <c r="C105" s="3418" t="s">
        <v>3020</v>
      </c>
      <c r="D105" s="3418" t="s">
        <v>3021</v>
      </c>
      <c r="E105" s="3441">
        <v>0.1</v>
      </c>
      <c r="F105" s="3440">
        <v>15</v>
      </c>
    </row>
    <row r="106" spans="1:6" s="1071" customFormat="1" ht="24">
      <c r="A106" s="3440">
        <v>34</v>
      </c>
      <c r="B106" s="3801"/>
      <c r="C106" s="3418" t="s">
        <v>3022</v>
      </c>
      <c r="D106" s="3418" t="s">
        <v>3023</v>
      </c>
      <c r="E106" s="3441">
        <v>0.1</v>
      </c>
      <c r="F106" s="3440">
        <v>15</v>
      </c>
    </row>
    <row r="107" spans="1:6" s="1071" customFormat="1" ht="24">
      <c r="A107" s="3440">
        <v>35</v>
      </c>
      <c r="B107" s="3800" t="s">
        <v>3024</v>
      </c>
      <c r="C107" s="3440" t="s">
        <v>3025</v>
      </c>
      <c r="D107" s="3418" t="s">
        <v>3026</v>
      </c>
      <c r="E107" s="3441">
        <v>0.15</v>
      </c>
      <c r="F107" s="3440">
        <v>20</v>
      </c>
    </row>
    <row r="108" spans="1:6" s="1071" customFormat="1" ht="24">
      <c r="A108" s="3440">
        <v>36</v>
      </c>
      <c r="B108" s="3795"/>
      <c r="C108" s="3440" t="s">
        <v>3027</v>
      </c>
      <c r="D108" s="3418" t="s">
        <v>3028</v>
      </c>
      <c r="E108" s="3441">
        <v>0.15</v>
      </c>
      <c r="F108" s="3440">
        <v>20</v>
      </c>
    </row>
    <row r="109" spans="1:6" s="1071" customFormat="1" ht="24">
      <c r="A109" s="3440">
        <v>37</v>
      </c>
      <c r="B109" s="3795"/>
      <c r="C109" s="3440" t="s">
        <v>3029</v>
      </c>
      <c r="D109" s="3418" t="s">
        <v>3030</v>
      </c>
      <c r="E109" s="3441">
        <v>0.15</v>
      </c>
      <c r="F109" s="3440">
        <v>20</v>
      </c>
    </row>
    <row r="110" spans="1:6" s="1071" customFormat="1">
      <c r="A110" s="3440">
        <v>38</v>
      </c>
      <c r="B110" s="3795"/>
      <c r="C110" s="3440" t="s">
        <v>3031</v>
      </c>
      <c r="D110" s="3418" t="s">
        <v>3032</v>
      </c>
      <c r="E110" s="3441">
        <v>0.1</v>
      </c>
      <c r="F110" s="3440">
        <v>15</v>
      </c>
    </row>
    <row r="111" spans="1:6" s="1071" customFormat="1" ht="24">
      <c r="A111" s="3440">
        <v>39</v>
      </c>
      <c r="B111" s="3795"/>
      <c r="C111" s="3440" t="s">
        <v>3033</v>
      </c>
      <c r="D111" s="3418" t="s">
        <v>3034</v>
      </c>
      <c r="E111" s="3441">
        <v>0.1</v>
      </c>
      <c r="F111" s="3440">
        <v>15</v>
      </c>
    </row>
    <row r="112" spans="1:6" s="1071" customFormat="1" ht="24">
      <c r="A112" s="3440">
        <v>40</v>
      </c>
      <c r="B112" s="3801"/>
      <c r="C112" s="3440" t="s">
        <v>3035</v>
      </c>
      <c r="D112" s="3418" t="s">
        <v>3036</v>
      </c>
      <c r="E112" s="3441">
        <v>0.1</v>
      </c>
      <c r="F112" s="3440">
        <v>15</v>
      </c>
    </row>
    <row r="113" spans="1:6" s="1071" customFormat="1" ht="24">
      <c r="A113" s="3440">
        <v>41</v>
      </c>
      <c r="B113" s="3802" t="s">
        <v>3037</v>
      </c>
      <c r="C113" s="3440" t="s">
        <v>3038</v>
      </c>
      <c r="D113" s="3418" t="s">
        <v>3039</v>
      </c>
      <c r="E113" s="3441">
        <v>0.1</v>
      </c>
      <c r="F113" s="3440">
        <v>15</v>
      </c>
    </row>
    <row r="114" spans="1:6" s="1071" customFormat="1">
      <c r="A114" s="3440">
        <v>42</v>
      </c>
      <c r="B114" s="3802"/>
      <c r="C114" s="3440" t="s">
        <v>3040</v>
      </c>
      <c r="D114" s="3418" t="s">
        <v>3041</v>
      </c>
      <c r="E114" s="3441">
        <v>0.1</v>
      </c>
      <c r="F114" s="3440">
        <v>15</v>
      </c>
    </row>
    <row r="115" spans="1:6" s="1071" customFormat="1" ht="24">
      <c r="A115" s="3440">
        <v>43</v>
      </c>
      <c r="B115" s="3802"/>
      <c r="C115" s="3440" t="s">
        <v>3042</v>
      </c>
      <c r="D115" s="3418" t="s">
        <v>3043</v>
      </c>
      <c r="E115" s="3441">
        <v>0.1</v>
      </c>
      <c r="F115" s="3440">
        <v>15</v>
      </c>
    </row>
    <row r="116" spans="1:6" s="1071" customFormat="1" ht="24">
      <c r="A116" s="3440">
        <v>44</v>
      </c>
      <c r="B116" s="3800" t="s">
        <v>3044</v>
      </c>
      <c r="C116" s="3440" t="s">
        <v>3045</v>
      </c>
      <c r="D116" s="3418" t="s">
        <v>3046</v>
      </c>
      <c r="E116" s="3441">
        <v>0.1</v>
      </c>
      <c r="F116" s="3440">
        <v>15</v>
      </c>
    </row>
    <row r="117" spans="1:6" s="1071" customFormat="1" ht="24">
      <c r="A117" s="3440">
        <v>45</v>
      </c>
      <c r="B117" s="3801"/>
      <c r="C117" s="3418" t="s">
        <v>3047</v>
      </c>
      <c r="D117" s="3418" t="s">
        <v>3048</v>
      </c>
      <c r="E117" s="3441">
        <v>0.1</v>
      </c>
      <c r="F117" s="3440">
        <v>15</v>
      </c>
    </row>
    <row r="118" spans="1:6" s="1071" customFormat="1" ht="24">
      <c r="A118" s="3440">
        <v>46</v>
      </c>
      <c r="B118" s="3800" t="s">
        <v>3049</v>
      </c>
      <c r="C118" s="3440" t="s">
        <v>3050</v>
      </c>
      <c r="D118" s="3418" t="s">
        <v>3051</v>
      </c>
      <c r="E118" s="3441">
        <v>0.1</v>
      </c>
      <c r="F118" s="3440">
        <v>15</v>
      </c>
    </row>
    <row r="119" spans="1:6" s="1071" customFormat="1" ht="24">
      <c r="A119" s="3440">
        <v>47</v>
      </c>
      <c r="B119" s="3801"/>
      <c r="C119" s="3440" t="s">
        <v>3052</v>
      </c>
      <c r="D119" s="3418" t="s">
        <v>3053</v>
      </c>
      <c r="E119" s="3441">
        <v>0.1</v>
      </c>
      <c r="F119" s="3440">
        <v>15</v>
      </c>
    </row>
    <row r="120" spans="1:6" s="1071" customFormat="1" ht="24">
      <c r="A120" s="3440">
        <v>48</v>
      </c>
      <c r="B120" s="3800" t="s">
        <v>3054</v>
      </c>
      <c r="C120" s="3440" t="s">
        <v>3055</v>
      </c>
      <c r="D120" s="3418" t="s">
        <v>3056</v>
      </c>
      <c r="E120" s="3441">
        <v>0.1</v>
      </c>
      <c r="F120" s="3440">
        <v>15</v>
      </c>
    </row>
    <row r="121" spans="1:6" s="1071" customFormat="1">
      <c r="A121" s="3440">
        <v>49</v>
      </c>
      <c r="B121" s="3801"/>
      <c r="C121" s="3440" t="s">
        <v>3057</v>
      </c>
      <c r="D121" s="3418" t="s">
        <v>3058</v>
      </c>
      <c r="E121" s="3441">
        <v>0.1</v>
      </c>
      <c r="F121" s="3440">
        <v>15</v>
      </c>
    </row>
    <row r="122" spans="1:6" s="1071" customFormat="1" ht="24">
      <c r="A122" s="3440">
        <v>50</v>
      </c>
      <c r="B122" s="3802" t="s">
        <v>3059</v>
      </c>
      <c r="C122" s="3440" t="s">
        <v>3060</v>
      </c>
      <c r="D122" s="3418" t="s">
        <v>3061</v>
      </c>
      <c r="E122" s="3441">
        <v>0.1</v>
      </c>
      <c r="F122" s="3440">
        <v>15</v>
      </c>
    </row>
    <row r="123" spans="1:6" s="1071" customFormat="1" ht="24">
      <c r="A123" s="3440">
        <v>51</v>
      </c>
      <c r="B123" s="3802"/>
      <c r="C123" s="3440" t="s">
        <v>3062</v>
      </c>
      <c r="D123" s="3418" t="s">
        <v>3063</v>
      </c>
      <c r="E123" s="3441">
        <v>0.1</v>
      </c>
      <c r="F123" s="3440">
        <v>15</v>
      </c>
    </row>
    <row r="124" spans="1:6" s="1071" customFormat="1" ht="24">
      <c r="A124" s="3440">
        <v>52</v>
      </c>
      <c r="B124" s="3802" t="s">
        <v>3064</v>
      </c>
      <c r="C124" s="3440" t="s">
        <v>3065</v>
      </c>
      <c r="D124" s="3418" t="s">
        <v>3066</v>
      </c>
      <c r="E124" s="3441">
        <v>0.1</v>
      </c>
      <c r="F124" s="3440">
        <v>15</v>
      </c>
    </row>
    <row r="125" spans="1:6" s="1071" customFormat="1" ht="24">
      <c r="A125" s="3440">
        <v>53</v>
      </c>
      <c r="B125" s="3802"/>
      <c r="C125" s="3440" t="s">
        <v>3067</v>
      </c>
      <c r="D125" s="3418" t="s">
        <v>3068</v>
      </c>
      <c r="E125" s="3441">
        <v>0.1</v>
      </c>
      <c r="F125" s="3440">
        <v>15</v>
      </c>
    </row>
    <row r="126" spans="1:6" ht="24">
      <c r="A126" s="3440">
        <v>54</v>
      </c>
      <c r="B126" s="3440" t="s">
        <v>3069</v>
      </c>
      <c r="C126" s="3440" t="s">
        <v>3070</v>
      </c>
      <c r="D126" s="3418" t="s">
        <v>3071</v>
      </c>
      <c r="E126" s="3441">
        <v>0.1</v>
      </c>
      <c r="F126" s="3440">
        <v>15</v>
      </c>
    </row>
    <row r="127" spans="1:6">
      <c r="A127" s="3440">
        <v>55</v>
      </c>
      <c r="B127" s="3802" t="s">
        <v>3072</v>
      </c>
      <c r="C127" s="3440" t="s">
        <v>3073</v>
      </c>
      <c r="D127" s="3418" t="s">
        <v>3074</v>
      </c>
      <c r="E127" s="3441">
        <v>0.1</v>
      </c>
      <c r="F127" s="3440">
        <v>15</v>
      </c>
    </row>
    <row r="128" spans="1:6">
      <c r="A128" s="3440">
        <v>56</v>
      </c>
      <c r="B128" s="3802"/>
      <c r="C128" s="3440" t="s">
        <v>3075</v>
      </c>
      <c r="D128" s="3418" t="s">
        <v>3076</v>
      </c>
      <c r="E128" s="3441">
        <v>0.1</v>
      </c>
      <c r="F128" s="3440">
        <v>15</v>
      </c>
    </row>
    <row r="129" spans="1:14" ht="24">
      <c r="A129" s="3440">
        <v>57</v>
      </c>
      <c r="B129" s="3802"/>
      <c r="C129" s="3440" t="s">
        <v>3077</v>
      </c>
      <c r="D129" s="3418" t="s">
        <v>3078</v>
      </c>
      <c r="E129" s="3441">
        <v>0.1</v>
      </c>
      <c r="F129" s="3440">
        <v>15</v>
      </c>
    </row>
    <row r="130" spans="1:14" ht="24">
      <c r="A130" s="3440">
        <v>58</v>
      </c>
      <c r="B130" s="3802" t="s">
        <v>3079</v>
      </c>
      <c r="C130" s="3440" t="s">
        <v>3080</v>
      </c>
      <c r="D130" s="3418" t="s">
        <v>3081</v>
      </c>
      <c r="E130" s="3441">
        <v>0.1</v>
      </c>
      <c r="F130" s="3440">
        <v>15</v>
      </c>
    </row>
    <row r="131" spans="1:14" ht="24">
      <c r="A131" s="3440">
        <v>59</v>
      </c>
      <c r="B131" s="3802"/>
      <c r="C131" s="3440" t="s">
        <v>3082</v>
      </c>
      <c r="D131" s="3418" t="s">
        <v>3083</v>
      </c>
      <c r="E131" s="3441">
        <v>0.1</v>
      </c>
      <c r="F131" s="3440">
        <v>15</v>
      </c>
    </row>
    <row r="132" spans="1:14" ht="24">
      <c r="A132" s="3440">
        <v>60</v>
      </c>
      <c r="B132" s="3800" t="s">
        <v>3084</v>
      </c>
      <c r="C132" s="3440" t="s">
        <v>3085</v>
      </c>
      <c r="D132" s="3418" t="s">
        <v>3086</v>
      </c>
      <c r="E132" s="3441">
        <v>0.1</v>
      </c>
      <c r="F132" s="3440">
        <v>15</v>
      </c>
    </row>
    <row r="133" spans="1:14" ht="24">
      <c r="A133" s="3440">
        <v>61</v>
      </c>
      <c r="B133" s="3801"/>
      <c r="C133" s="3440" t="s">
        <v>3087</v>
      </c>
      <c r="D133" s="3418" t="s">
        <v>3088</v>
      </c>
      <c r="E133" s="3441">
        <v>0.1</v>
      </c>
      <c r="F133" s="3440">
        <v>15</v>
      </c>
    </row>
    <row r="134" spans="1:14" ht="24">
      <c r="A134" s="3440">
        <v>62</v>
      </c>
      <c r="B134" s="3440" t="s">
        <v>3089</v>
      </c>
      <c r="C134" s="3440" t="s">
        <v>3090</v>
      </c>
      <c r="D134" s="3418" t="s">
        <v>3091</v>
      </c>
      <c r="E134" s="3441">
        <v>0.1</v>
      </c>
      <c r="F134" s="3440">
        <v>15</v>
      </c>
    </row>
    <row r="135" spans="1:14" ht="24">
      <c r="A135" s="3440">
        <v>63</v>
      </c>
      <c r="B135" s="3802" t="s">
        <v>3092</v>
      </c>
      <c r="C135" s="3440" t="s">
        <v>3093</v>
      </c>
      <c r="D135" s="3418" t="s">
        <v>3094</v>
      </c>
      <c r="E135" s="3441">
        <v>0.1</v>
      </c>
      <c r="F135" s="3440">
        <v>15</v>
      </c>
    </row>
    <row r="136" spans="1:14">
      <c r="A136" s="3440">
        <v>64</v>
      </c>
      <c r="B136" s="3802"/>
      <c r="C136" s="3440" t="s">
        <v>3095</v>
      </c>
      <c r="D136" s="3418" t="s">
        <v>3096</v>
      </c>
      <c r="E136" s="3441">
        <v>0.1</v>
      </c>
      <c r="F136" s="3440">
        <v>15</v>
      </c>
    </row>
    <row r="137" spans="1:14" ht="24">
      <c r="A137" s="3440">
        <v>65</v>
      </c>
      <c r="B137" s="3440" t="s">
        <v>3097</v>
      </c>
      <c r="C137" s="3440" t="s">
        <v>3098</v>
      </c>
      <c r="D137" s="3418" t="s">
        <v>3099</v>
      </c>
      <c r="E137" s="3441">
        <v>0.1</v>
      </c>
      <c r="F137" s="3440">
        <v>15</v>
      </c>
    </row>
    <row r="138" spans="1:14">
      <c r="A138" s="1101"/>
      <c r="B138" s="3398"/>
      <c r="C138" s="1101"/>
      <c r="D138" s="1034"/>
      <c r="E138" s="1086"/>
      <c r="F138" s="1101"/>
    </row>
    <row r="139" spans="1:14">
      <c r="A139" s="1101"/>
      <c r="B139" s="1101"/>
      <c r="C139" s="1101"/>
      <c r="D139" s="1101"/>
      <c r="E139" s="1086"/>
      <c r="F139" s="1101"/>
    </row>
    <row r="141" spans="1:14">
      <c r="A141" s="3789" t="s">
        <v>1434</v>
      </c>
      <c r="B141" s="3789"/>
      <c r="C141" s="3789"/>
      <c r="D141" s="3789"/>
      <c r="E141" s="3789"/>
      <c r="F141" s="3789"/>
      <c r="G141" s="3789"/>
      <c r="H141" s="3789"/>
      <c r="I141" s="3789"/>
      <c r="J141" s="3789"/>
      <c r="K141" s="1102"/>
      <c r="L141" s="1102"/>
      <c r="M141" s="1102"/>
      <c r="N141" s="1102"/>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803" t="s">
        <v>1018</v>
      </c>
      <c r="B1" s="3803"/>
      <c r="C1" s="3803"/>
      <c r="D1" s="3803"/>
      <c r="E1" s="3803"/>
      <c r="F1" s="3803"/>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804" t="s">
        <v>1031</v>
      </c>
      <c r="B2" s="3804"/>
      <c r="C2" s="3804"/>
      <c r="D2" s="3804"/>
      <c r="E2" s="3804"/>
      <c r="F2" s="3804"/>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805"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806"/>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2206</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2207</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807" t="s">
        <v>1868</v>
      </c>
      <c r="B1" s="3807"/>
    </row>
    <row r="2" spans="1:6" ht="14.25" thickBot="1">
      <c r="A2" s="1720"/>
      <c r="B2" s="1720"/>
    </row>
    <row r="3" spans="1:6" ht="14.25" thickBot="1">
      <c r="A3" s="1720"/>
      <c r="B3" s="1720"/>
      <c r="C3" s="1721" t="s">
        <v>1869</v>
      </c>
      <c r="D3" s="1721" t="s">
        <v>1870</v>
      </c>
      <c r="E3" s="1721" t="s">
        <v>1871</v>
      </c>
      <c r="F3" s="1721" t="s">
        <v>1872</v>
      </c>
    </row>
    <row r="4" spans="1:6" ht="14.25" thickBot="1">
      <c r="A4" s="1722" t="s">
        <v>1873</v>
      </c>
      <c r="B4" s="1723" t="s">
        <v>1874</v>
      </c>
      <c r="C4" s="1721"/>
      <c r="D4" s="1721"/>
      <c r="E4" s="1721"/>
      <c r="F4" s="1721"/>
    </row>
    <row r="5" spans="1:6" ht="14.25" thickBot="1">
      <c r="A5" s="1724" t="s">
        <v>1875</v>
      </c>
      <c r="B5" s="1725" t="s">
        <v>1876</v>
      </c>
      <c r="C5" s="1726">
        <v>8.8999999999999996E-2</v>
      </c>
      <c r="D5" s="1726">
        <v>7.3999999999999996E-2</v>
      </c>
      <c r="E5" s="1726">
        <v>7.4999999999999997E-2</v>
      </c>
      <c r="F5" s="1727">
        <v>0.1</v>
      </c>
    </row>
    <row r="6" spans="1:6" ht="14.25" thickBot="1">
      <c r="A6" s="1724" t="s">
        <v>1075</v>
      </c>
      <c r="B6" s="1728" t="s">
        <v>1877</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1878</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1879</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1880</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1881</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1882</v>
      </c>
      <c r="C72" s="1738"/>
      <c r="D72" s="1738"/>
      <c r="E72" s="1738"/>
      <c r="F72" s="1730">
        <v>0.05</v>
      </c>
    </row>
    <row r="73" spans="1:6" ht="14.25" thickBot="1">
      <c r="A73" s="1724" t="s">
        <v>904</v>
      </c>
      <c r="B73" s="1728" t="s">
        <v>1883</v>
      </c>
      <c r="C73" s="1738"/>
      <c r="D73" s="1738"/>
      <c r="E73" s="1738"/>
      <c r="F73" s="1730">
        <v>0.05</v>
      </c>
    </row>
    <row r="74" spans="1:6" ht="14.25" thickBot="1">
      <c r="A74" s="1724" t="s">
        <v>904</v>
      </c>
      <c r="B74" s="1728" t="s">
        <v>1884</v>
      </c>
      <c r="C74" s="1738"/>
      <c r="D74" s="1738"/>
      <c r="E74" s="1738"/>
      <c r="F74" s="1730">
        <v>0.05</v>
      </c>
    </row>
    <row r="75" spans="1:6" ht="14.25" thickBot="1">
      <c r="A75" s="1732" t="s">
        <v>904</v>
      </c>
      <c r="B75" s="1739" t="s">
        <v>1885</v>
      </c>
      <c r="C75" s="1735"/>
      <c r="D75" s="1735"/>
      <c r="E75" s="1735"/>
      <c r="F75" s="1740">
        <v>0.05</v>
      </c>
    </row>
    <row r="76" spans="1:6" ht="14.25" thickBot="1">
      <c r="A76" s="1724" t="s">
        <v>1386</v>
      </c>
      <c r="B76" s="1725" t="s">
        <v>1886</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1887</v>
      </c>
      <c r="C102" s="1738"/>
      <c r="D102" s="1738"/>
      <c r="E102" s="1738"/>
      <c r="F102" s="1730">
        <v>0.05</v>
      </c>
    </row>
    <row r="103" spans="1:6" ht="24.75" thickBot="1">
      <c r="A103" s="1724" t="s">
        <v>1386</v>
      </c>
      <c r="B103" s="1728" t="s">
        <v>1888</v>
      </c>
      <c r="C103" s="1738"/>
      <c r="D103" s="1738"/>
      <c r="E103" s="1738"/>
      <c r="F103" s="1730">
        <v>0.05</v>
      </c>
    </row>
    <row r="104" spans="1:6" ht="14.25" thickBot="1">
      <c r="A104" s="1724" t="s">
        <v>1386</v>
      </c>
      <c r="B104" s="1728" t="s">
        <v>1889</v>
      </c>
      <c r="C104" s="1738"/>
      <c r="D104" s="1738"/>
      <c r="E104" s="1738"/>
      <c r="F104" s="1730">
        <v>0.05</v>
      </c>
    </row>
    <row r="105" spans="1:6" ht="14.25" thickBot="1">
      <c r="A105" s="1724" t="s">
        <v>1386</v>
      </c>
      <c r="B105" s="1728" t="s">
        <v>1890</v>
      </c>
      <c r="C105" s="1738"/>
      <c r="D105" s="1738"/>
      <c r="E105" s="1738"/>
      <c r="F105" s="1730">
        <v>0.05</v>
      </c>
    </row>
    <row r="106" spans="1:6" ht="14.25" thickBot="1">
      <c r="A106" s="1724" t="s">
        <v>1386</v>
      </c>
      <c r="B106" s="1728" t="s">
        <v>1891</v>
      </c>
      <c r="C106" s="1738"/>
      <c r="D106" s="1738"/>
      <c r="E106" s="1738"/>
      <c r="F106" s="1730">
        <v>0.05</v>
      </c>
    </row>
    <row r="107" spans="1:6" ht="24.75" thickBot="1">
      <c r="A107" s="1724" t="s">
        <v>1386</v>
      </c>
      <c r="B107" s="1728" t="s">
        <v>1892</v>
      </c>
      <c r="C107" s="1738"/>
      <c r="D107" s="1738"/>
      <c r="E107" s="1738"/>
      <c r="F107" s="1730">
        <v>0.05</v>
      </c>
    </row>
    <row r="108" spans="1:6" ht="24.75" thickBot="1">
      <c r="A108" s="1724" t="s">
        <v>1386</v>
      </c>
      <c r="B108" s="1728" t="s">
        <v>1893</v>
      </c>
      <c r="C108" s="1738"/>
      <c r="D108" s="1738"/>
      <c r="E108" s="1738"/>
      <c r="F108" s="1730">
        <v>0.05</v>
      </c>
    </row>
    <row r="109" spans="1:6" ht="24.75" thickBot="1">
      <c r="A109" s="1732" t="s">
        <v>1386</v>
      </c>
      <c r="B109" s="1739" t="s">
        <v>1894</v>
      </c>
      <c r="C109" s="1735"/>
      <c r="D109" s="1735"/>
      <c r="E109" s="1735"/>
      <c r="F109" s="1740">
        <v>0.05</v>
      </c>
    </row>
    <row r="110" spans="1:6" ht="14.25" thickBot="1">
      <c r="A110" s="1724" t="s">
        <v>1388</v>
      </c>
      <c r="B110" s="1725" t="s">
        <v>1895</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1896</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1897</v>
      </c>
      <c r="C138" s="1729">
        <v>0.105</v>
      </c>
      <c r="D138" s="1729">
        <v>0.125</v>
      </c>
      <c r="E138" s="1729">
        <v>0.112</v>
      </c>
      <c r="F138" s="1737"/>
    </row>
    <row r="139" spans="1:6" ht="14.25" thickBot="1">
      <c r="A139" s="1724" t="s">
        <v>1388</v>
      </c>
      <c r="B139" s="1728" t="s">
        <v>1898</v>
      </c>
      <c r="C139" s="1729">
        <v>0.127</v>
      </c>
      <c r="D139" s="1729">
        <v>0.127</v>
      </c>
      <c r="E139" s="1729">
        <v>0.122</v>
      </c>
      <c r="F139" s="1730">
        <v>0.13</v>
      </c>
    </row>
    <row r="140" spans="1:6" ht="14.25" thickBot="1">
      <c r="A140" s="1724" t="s">
        <v>1388</v>
      </c>
      <c r="B140" s="1728" t="s">
        <v>1899</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1900</v>
      </c>
      <c r="C144" s="1742">
        <v>0.126</v>
      </c>
      <c r="D144" s="1742">
        <v>0.126</v>
      </c>
      <c r="E144" s="1742">
        <v>0.121</v>
      </c>
      <c r="F144" s="1737"/>
    </row>
    <row r="145" spans="1:6" ht="14.25" thickBot="1">
      <c r="A145" s="1732" t="s">
        <v>1388</v>
      </c>
      <c r="B145" s="1743" t="s">
        <v>1901</v>
      </c>
      <c r="C145" s="1744"/>
      <c r="D145" s="1744"/>
      <c r="E145" s="1744"/>
      <c r="F145" s="1745">
        <v>0.05</v>
      </c>
    </row>
    <row r="146" spans="1:6" ht="24.75" thickBot="1">
      <c r="A146" s="1746" t="s">
        <v>1388</v>
      </c>
      <c r="B146" s="1731" t="s">
        <v>1902</v>
      </c>
      <c r="C146" s="1738"/>
      <c r="D146" s="1738"/>
      <c r="E146" s="1738"/>
      <c r="F146" s="1747">
        <v>0.05</v>
      </c>
    </row>
    <row r="147" spans="1:6" ht="24.75" thickBot="1">
      <c r="A147" s="1724" t="s">
        <v>1388</v>
      </c>
      <c r="B147" s="1728" t="s">
        <v>1903</v>
      </c>
      <c r="C147" s="1738"/>
      <c r="D147" s="1738"/>
      <c r="E147" s="1738"/>
      <c r="F147" s="1730">
        <v>0.05</v>
      </c>
    </row>
    <row r="148" spans="1:6" ht="24.75" thickBot="1">
      <c r="A148" s="1724" t="s">
        <v>1388</v>
      </c>
      <c r="B148" s="1728" t="s">
        <v>1904</v>
      </c>
      <c r="C148" s="1738"/>
      <c r="D148" s="1738"/>
      <c r="E148" s="1738"/>
      <c r="F148" s="1730">
        <v>0.05</v>
      </c>
    </row>
    <row r="149" spans="1:6" ht="24.75" thickBot="1">
      <c r="A149" s="1724" t="s">
        <v>1388</v>
      </c>
      <c r="B149" s="1728" t="s">
        <v>1905</v>
      </c>
      <c r="C149" s="1738"/>
      <c r="D149" s="1738"/>
      <c r="E149" s="1738"/>
      <c r="F149" s="1730">
        <v>0.05</v>
      </c>
    </row>
    <row r="150" spans="1:6" ht="24.75" thickBot="1">
      <c r="A150" s="1724" t="s">
        <v>1388</v>
      </c>
      <c r="B150" s="1728" t="s">
        <v>1906</v>
      </c>
      <c r="C150" s="1738"/>
      <c r="D150" s="1738"/>
      <c r="E150" s="1738"/>
      <c r="F150" s="1730">
        <v>0.05</v>
      </c>
    </row>
    <row r="151" spans="1:6" ht="24.75" thickBot="1">
      <c r="A151" s="1724" t="s">
        <v>1388</v>
      </c>
      <c r="B151" s="1728" t="s">
        <v>1907</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1908</v>
      </c>
      <c r="C153" s="1738"/>
      <c r="D153" s="1738"/>
      <c r="E153" s="1738"/>
      <c r="F153" s="1730">
        <v>0.05</v>
      </c>
    </row>
    <row r="154" spans="1:6" ht="14.25" thickBot="1">
      <c r="A154" s="1724" t="s">
        <v>1388</v>
      </c>
      <c r="B154" s="1728" t="s">
        <v>1909</v>
      </c>
      <c r="C154" s="1738"/>
      <c r="D154" s="1738"/>
      <c r="E154" s="1738"/>
      <c r="F154" s="1730">
        <v>0.05</v>
      </c>
    </row>
    <row r="155" spans="1:6" ht="24.75" thickBot="1">
      <c r="A155" s="1724" t="s">
        <v>1388</v>
      </c>
      <c r="B155" s="1728" t="s">
        <v>1910</v>
      </c>
      <c r="C155" s="1738"/>
      <c r="D155" s="1738"/>
      <c r="E155" s="1738"/>
      <c r="F155" s="1730">
        <v>0.05</v>
      </c>
    </row>
    <row r="156" spans="1:6" ht="24.75" thickBot="1">
      <c r="A156" s="1724" t="s">
        <v>1388</v>
      </c>
      <c r="B156" s="1728" t="s">
        <v>1911</v>
      </c>
      <c r="C156" s="1738"/>
      <c r="D156" s="1738"/>
      <c r="E156" s="1738"/>
      <c r="F156" s="1730">
        <v>0.05</v>
      </c>
    </row>
    <row r="157" spans="1:6" ht="14.25" thickBot="1">
      <c r="A157" s="1732" t="s">
        <v>1388</v>
      </c>
      <c r="B157" s="1739" t="s">
        <v>1912</v>
      </c>
      <c r="C157" s="1735"/>
      <c r="D157" s="1735"/>
      <c r="E157" s="1735"/>
      <c r="F157" s="1740">
        <v>0.05</v>
      </c>
    </row>
    <row r="158" spans="1:6" ht="14.25" thickBot="1">
      <c r="A158" s="1724" t="s">
        <v>1390</v>
      </c>
      <c r="B158" s="1725" t="s">
        <v>1913</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1914</v>
      </c>
      <c r="C171" s="1729">
        <v>0.127</v>
      </c>
      <c r="D171" s="1729">
        <v>0.126</v>
      </c>
      <c r="E171" s="1729">
        <v>0.126</v>
      </c>
      <c r="F171" s="1730">
        <v>0.11799999999999999</v>
      </c>
    </row>
    <row r="172" spans="1:6" ht="14.25" thickBot="1">
      <c r="A172" s="1724" t="s">
        <v>1390</v>
      </c>
      <c r="B172" s="1728" t="s">
        <v>1915</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1916</v>
      </c>
      <c r="C174" s="1729">
        <v>0.13</v>
      </c>
      <c r="D174" s="1729">
        <v>0.13</v>
      </c>
      <c r="E174" s="1729">
        <v>0.13</v>
      </c>
      <c r="F174" s="1730">
        <v>0.13</v>
      </c>
    </row>
    <row r="175" spans="1:6" ht="14.25" thickBot="1">
      <c r="A175" s="1724" t="s">
        <v>1390</v>
      </c>
      <c r="B175" s="1728" t="s">
        <v>1917</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1918</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1919</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1920</v>
      </c>
      <c r="C185" s="1729">
        <v>0.127</v>
      </c>
      <c r="D185" s="1729">
        <v>0.127</v>
      </c>
      <c r="E185" s="1729">
        <v>0.128</v>
      </c>
      <c r="F185" s="1730">
        <v>0.13</v>
      </c>
    </row>
    <row r="186" spans="1:6" ht="24.75" thickBot="1">
      <c r="A186" s="1724" t="s">
        <v>1390</v>
      </c>
      <c r="B186" s="1728" t="s">
        <v>1921</v>
      </c>
      <c r="C186" s="1738"/>
      <c r="D186" s="1738"/>
      <c r="E186" s="1738"/>
      <c r="F186" s="1730">
        <v>0.05</v>
      </c>
    </row>
    <row r="187" spans="1:6" ht="14.25" thickBot="1">
      <c r="A187" s="1724" t="s">
        <v>1390</v>
      </c>
      <c r="B187" s="1728" t="s">
        <v>1922</v>
      </c>
      <c r="C187" s="1738"/>
      <c r="D187" s="1738"/>
      <c r="E187" s="1738"/>
      <c r="F187" s="1730">
        <v>0.05</v>
      </c>
    </row>
    <row r="188" spans="1:6" ht="14.25" thickBot="1">
      <c r="A188" s="1724" t="s">
        <v>1390</v>
      </c>
      <c r="B188" s="1728" t="s">
        <v>1923</v>
      </c>
      <c r="C188" s="1738"/>
      <c r="D188" s="1738"/>
      <c r="E188" s="1738"/>
      <c r="F188" s="1730">
        <v>0.05</v>
      </c>
    </row>
    <row r="189" spans="1:6" ht="24.75" thickBot="1">
      <c r="A189" s="1724" t="s">
        <v>1390</v>
      </c>
      <c r="B189" s="1728" t="s">
        <v>1924</v>
      </c>
      <c r="C189" s="1738"/>
      <c r="D189" s="1738"/>
      <c r="E189" s="1738"/>
      <c r="F189" s="1730">
        <v>0.05</v>
      </c>
    </row>
    <row r="190" spans="1:6" ht="24.75" thickBot="1">
      <c r="A190" s="1724" t="s">
        <v>1390</v>
      </c>
      <c r="B190" s="1728" t="s">
        <v>1925</v>
      </c>
      <c r="C190" s="1738"/>
      <c r="D190" s="1738"/>
      <c r="E190" s="1738"/>
      <c r="F190" s="1730">
        <v>0.05</v>
      </c>
    </row>
    <row r="191" spans="1:6" ht="24.75" thickBot="1">
      <c r="A191" s="1724" t="s">
        <v>1390</v>
      </c>
      <c r="B191" s="1728" t="s">
        <v>1926</v>
      </c>
      <c r="C191" s="1738"/>
      <c r="D191" s="1738"/>
      <c r="E191" s="1738"/>
      <c r="F191" s="1730">
        <v>0.05</v>
      </c>
    </row>
    <row r="192" spans="1:6" ht="24.75" thickBot="1">
      <c r="A192" s="1724" t="s">
        <v>1390</v>
      </c>
      <c r="B192" s="1728" t="s">
        <v>1927</v>
      </c>
      <c r="C192" s="1738"/>
      <c r="D192" s="1738"/>
      <c r="E192" s="1738"/>
      <c r="F192" s="1730">
        <v>0.05</v>
      </c>
    </row>
    <row r="193" spans="1:6" ht="24.75" thickBot="1">
      <c r="A193" s="1724" t="s">
        <v>1390</v>
      </c>
      <c r="B193" s="1728" t="s">
        <v>1928</v>
      </c>
      <c r="C193" s="1738"/>
      <c r="D193" s="1738"/>
      <c r="E193" s="1738"/>
      <c r="F193" s="1730">
        <v>0.05</v>
      </c>
    </row>
    <row r="194" spans="1:6" ht="24.75" thickBot="1">
      <c r="A194" s="1724" t="s">
        <v>1390</v>
      </c>
      <c r="B194" s="1728" t="s">
        <v>1929</v>
      </c>
      <c r="C194" s="1738"/>
      <c r="D194" s="1738"/>
      <c r="E194" s="1738"/>
      <c r="F194" s="1730">
        <v>0.05</v>
      </c>
    </row>
    <row r="195" spans="1:6" ht="14.25" thickBot="1">
      <c r="A195" s="1724" t="s">
        <v>1390</v>
      </c>
      <c r="B195" s="1728" t="s">
        <v>1930</v>
      </c>
      <c r="C195" s="1738"/>
      <c r="D195" s="1738"/>
      <c r="E195" s="1738"/>
      <c r="F195" s="1730">
        <v>0.05</v>
      </c>
    </row>
    <row r="196" spans="1:6" ht="24.75" thickBot="1">
      <c r="A196" s="1724" t="s">
        <v>1390</v>
      </c>
      <c r="B196" s="1728" t="s">
        <v>1931</v>
      </c>
      <c r="C196" s="1738"/>
      <c r="D196" s="1738"/>
      <c r="E196" s="1738"/>
      <c r="F196" s="1730">
        <v>0.05</v>
      </c>
    </row>
    <row r="197" spans="1:6" ht="24.75" thickBot="1">
      <c r="A197" s="1724" t="s">
        <v>1390</v>
      </c>
      <c r="B197" s="1728" t="s">
        <v>1932</v>
      </c>
      <c r="C197" s="1738"/>
      <c r="D197" s="1738"/>
      <c r="E197" s="1738"/>
      <c r="F197" s="1730">
        <v>0.05</v>
      </c>
    </row>
    <row r="198" spans="1:6" ht="24.75" thickBot="1">
      <c r="A198" s="1724" t="s">
        <v>1390</v>
      </c>
      <c r="B198" s="1728" t="s">
        <v>1933</v>
      </c>
      <c r="C198" s="1738"/>
      <c r="D198" s="1738"/>
      <c r="E198" s="1738"/>
      <c r="F198" s="1730">
        <v>0.05</v>
      </c>
    </row>
    <row r="199" spans="1:6" ht="24.75" thickBot="1">
      <c r="A199" s="1724" t="s">
        <v>1390</v>
      </c>
      <c r="B199" s="1728" t="s">
        <v>1934</v>
      </c>
      <c r="C199" s="1738"/>
      <c r="D199" s="1738"/>
      <c r="E199" s="1738"/>
      <c r="F199" s="1730">
        <v>0.05</v>
      </c>
    </row>
    <row r="200" spans="1:6" ht="24.75" thickBot="1">
      <c r="A200" s="1724" t="s">
        <v>1390</v>
      </c>
      <c r="B200" s="1728" t="s">
        <v>1935</v>
      </c>
      <c r="C200" s="1738"/>
      <c r="D200" s="1738"/>
      <c r="E200" s="1738"/>
      <c r="F200" s="1730">
        <v>0.05</v>
      </c>
    </row>
    <row r="201" spans="1:6" ht="24.75" thickBot="1">
      <c r="A201" s="1724" t="s">
        <v>1390</v>
      </c>
      <c r="B201" s="1728" t="s">
        <v>1936</v>
      </c>
      <c r="C201" s="1738"/>
      <c r="D201" s="1738"/>
      <c r="E201" s="1738"/>
      <c r="F201" s="1730">
        <v>0.05</v>
      </c>
    </row>
    <row r="202" spans="1:6" ht="24.75" thickBot="1">
      <c r="A202" s="1724" t="s">
        <v>1390</v>
      </c>
      <c r="B202" s="1728" t="s">
        <v>1937</v>
      </c>
      <c r="C202" s="1738"/>
      <c r="D202" s="1738"/>
      <c r="E202" s="1738"/>
      <c r="F202" s="1730">
        <v>0.05</v>
      </c>
    </row>
    <row r="203" spans="1:6" ht="24.75" thickBot="1">
      <c r="A203" s="1724" t="s">
        <v>1390</v>
      </c>
      <c r="B203" s="1728" t="s">
        <v>1938</v>
      </c>
      <c r="C203" s="1738"/>
      <c r="D203" s="1738"/>
      <c r="E203" s="1738"/>
      <c r="F203" s="1730">
        <v>0.05</v>
      </c>
    </row>
    <row r="204" spans="1:6" ht="14.25" thickBot="1">
      <c r="A204" s="1724" t="s">
        <v>1390</v>
      </c>
      <c r="B204" s="1728" t="s">
        <v>1939</v>
      </c>
      <c r="C204" s="1738"/>
      <c r="D204" s="1738"/>
      <c r="E204" s="1738"/>
      <c r="F204" s="1730">
        <v>0.05</v>
      </c>
    </row>
    <row r="205" spans="1:6" ht="14.25" thickBot="1">
      <c r="A205" s="1732" t="s">
        <v>1390</v>
      </c>
      <c r="B205" s="1739" t="s">
        <v>1940</v>
      </c>
      <c r="C205" s="1735"/>
      <c r="D205" s="1735"/>
      <c r="E205" s="1735"/>
      <c r="F205" s="1740">
        <v>0.05</v>
      </c>
    </row>
    <row r="206" spans="1:6" ht="14.25" thickBot="1">
      <c r="A206" s="1724" t="s">
        <v>1392</v>
      </c>
      <c r="B206" s="1725" t="s">
        <v>1941</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1942</v>
      </c>
      <c r="C210" s="1729">
        <v>0.15</v>
      </c>
      <c r="D210" s="1729">
        <v>0.15</v>
      </c>
      <c r="E210" s="1729">
        <v>0.15</v>
      </c>
      <c r="F210" s="1730">
        <v>0.13800000000000001</v>
      </c>
    </row>
    <row r="211" spans="1:6" ht="14.25" thickBot="1">
      <c r="A211" s="1724" t="s">
        <v>1392</v>
      </c>
      <c r="B211" s="1728" t="s">
        <v>1943</v>
      </c>
      <c r="C211" s="1729">
        <v>0.13700000000000001</v>
      </c>
      <c r="D211" s="1729">
        <v>0.13500000000000001</v>
      </c>
      <c r="E211" s="1729">
        <v>0.13600000000000001</v>
      </c>
      <c r="F211" s="1730">
        <v>0.1</v>
      </c>
    </row>
    <row r="212" spans="1:6" ht="14.25" thickBot="1">
      <c r="A212" s="1724" t="s">
        <v>1392</v>
      </c>
      <c r="B212" s="1728" t="s">
        <v>1944</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1945</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1946</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1947</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1948</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1949</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1950</v>
      </c>
      <c r="C231" s="1729">
        <v>0.128</v>
      </c>
      <c r="D231" s="1729">
        <v>0.125</v>
      </c>
      <c r="E231" s="1729">
        <v>0.13200000000000001</v>
      </c>
      <c r="F231" s="1737"/>
    </row>
    <row r="232" spans="1:6" ht="14.25" thickBot="1">
      <c r="A232" s="1724" t="s">
        <v>1392</v>
      </c>
      <c r="B232" s="1728" t="s">
        <v>1951</v>
      </c>
      <c r="C232" s="1729">
        <v>0.14499999999999999</v>
      </c>
      <c r="D232" s="1729">
        <v>0.14399999999999999</v>
      </c>
      <c r="E232" s="1729">
        <v>0.14599999999999999</v>
      </c>
      <c r="F232" s="1730">
        <v>0.13800000000000001</v>
      </c>
    </row>
    <row r="233" spans="1:6" ht="14.25" thickBot="1">
      <c r="A233" s="1724" t="s">
        <v>1392</v>
      </c>
      <c r="B233" s="1728" t="s">
        <v>1952</v>
      </c>
      <c r="C233" s="1729">
        <v>0.14499999999999999</v>
      </c>
      <c r="D233" s="1729">
        <v>0.14299999999999999</v>
      </c>
      <c r="E233" s="1729">
        <v>0.14199999999999999</v>
      </c>
      <c r="F233" s="1737"/>
    </row>
    <row r="234" spans="1:6" ht="14.25" thickBot="1">
      <c r="A234" s="1724" t="s">
        <v>1392</v>
      </c>
      <c r="B234" s="1728" t="s">
        <v>1953</v>
      </c>
      <c r="C234" s="1729">
        <v>0.14000000000000001</v>
      </c>
      <c r="D234" s="1729">
        <v>0.14000000000000001</v>
      </c>
      <c r="E234" s="1729">
        <v>0.14399999999999999</v>
      </c>
      <c r="F234" s="1737"/>
    </row>
    <row r="235" spans="1:6" ht="14.25" thickBot="1">
      <c r="A235" s="1724" t="s">
        <v>1392</v>
      </c>
      <c r="B235" s="1728" t="s">
        <v>1954</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1955</v>
      </c>
      <c r="C237" s="1738"/>
      <c r="D237" s="1738"/>
      <c r="E237" s="1738"/>
      <c r="F237" s="1730">
        <v>0.05</v>
      </c>
    </row>
    <row r="238" spans="1:6" ht="24.75" thickBot="1">
      <c r="A238" s="1724" t="s">
        <v>1392</v>
      </c>
      <c r="B238" s="1728" t="s">
        <v>1956</v>
      </c>
      <c r="C238" s="1738"/>
      <c r="D238" s="1738"/>
      <c r="E238" s="1738"/>
      <c r="F238" s="1730">
        <v>0.05</v>
      </c>
    </row>
    <row r="239" spans="1:6" ht="24.75" thickBot="1">
      <c r="A239" s="1724" t="s">
        <v>1392</v>
      </c>
      <c r="B239" s="1728" t="s">
        <v>1957</v>
      </c>
      <c r="C239" s="1738"/>
      <c r="D239" s="1738"/>
      <c r="E239" s="1738"/>
      <c r="F239" s="1730">
        <v>0.05</v>
      </c>
    </row>
    <row r="240" spans="1:6" ht="24.75" thickBot="1">
      <c r="A240" s="1724" t="s">
        <v>1392</v>
      </c>
      <c r="B240" s="1728" t="s">
        <v>1958</v>
      </c>
      <c r="C240" s="1738"/>
      <c r="D240" s="1738"/>
      <c r="E240" s="1738"/>
      <c r="F240" s="1730">
        <v>0.05</v>
      </c>
    </row>
    <row r="241" spans="1:6" ht="24.75" thickBot="1">
      <c r="A241" s="1724" t="s">
        <v>1392</v>
      </c>
      <c r="B241" s="1728" t="s">
        <v>1959</v>
      </c>
      <c r="C241" s="1738"/>
      <c r="D241" s="1738"/>
      <c r="E241" s="1738"/>
      <c r="F241" s="1730">
        <v>0.05</v>
      </c>
    </row>
    <row r="242" spans="1:6" ht="24.75" thickBot="1">
      <c r="A242" s="1724" t="s">
        <v>1392</v>
      </c>
      <c r="B242" s="1728" t="s">
        <v>1960</v>
      </c>
      <c r="C242" s="1738"/>
      <c r="D242" s="1738"/>
      <c r="E242" s="1738"/>
      <c r="F242" s="1730">
        <v>0.05</v>
      </c>
    </row>
    <row r="243" spans="1:6" ht="24.75" thickBot="1">
      <c r="A243" s="1724" t="s">
        <v>1392</v>
      </c>
      <c r="B243" s="1728" t="s">
        <v>1961</v>
      </c>
      <c r="C243" s="1738"/>
      <c r="D243" s="1738"/>
      <c r="E243" s="1738"/>
      <c r="F243" s="1730">
        <v>0.05</v>
      </c>
    </row>
    <row r="244" spans="1:6" ht="24.75" thickBot="1">
      <c r="A244" s="1732" t="s">
        <v>1392</v>
      </c>
      <c r="B244" s="1739" t="s">
        <v>1962</v>
      </c>
      <c r="C244" s="1735"/>
      <c r="D244" s="1735"/>
      <c r="E244" s="1735"/>
      <c r="F244" s="1740">
        <v>0.05</v>
      </c>
    </row>
    <row r="245" spans="1:6" ht="14.25" thickBot="1">
      <c r="A245" s="1724" t="s">
        <v>1394</v>
      </c>
      <c r="B245" s="1725" t="s">
        <v>1963</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1964</v>
      </c>
      <c r="C247" s="1729">
        <v>0.15</v>
      </c>
      <c r="D247" s="1729">
        <v>0.15</v>
      </c>
      <c r="E247" s="1729">
        <v>0.15</v>
      </c>
      <c r="F247" s="1730">
        <v>0.15</v>
      </c>
    </row>
    <row r="248" spans="1:6" ht="14.25" thickBot="1">
      <c r="A248" s="1724" t="s">
        <v>1394</v>
      </c>
      <c r="B248" s="1728" t="s">
        <v>1965</v>
      </c>
      <c r="C248" s="1729">
        <v>0.15</v>
      </c>
      <c r="D248" s="1729">
        <v>0.15</v>
      </c>
      <c r="E248" s="1729">
        <v>0.15</v>
      </c>
      <c r="F248" s="1730">
        <v>0.14000000000000001</v>
      </c>
    </row>
    <row r="249" spans="1:6" ht="14.25" thickBot="1">
      <c r="A249" s="1724" t="s">
        <v>1394</v>
      </c>
      <c r="B249" s="1728" t="s">
        <v>1966</v>
      </c>
      <c r="C249" s="1729">
        <v>0.15</v>
      </c>
      <c r="D249" s="1729">
        <v>0.14899999999999999</v>
      </c>
      <c r="E249" s="1729">
        <v>0.15</v>
      </c>
      <c r="F249" s="1730">
        <v>0.1</v>
      </c>
    </row>
    <row r="250" spans="1:6" ht="14.25" thickBot="1">
      <c r="A250" s="1724" t="s">
        <v>1394</v>
      </c>
      <c r="B250" s="1728" t="s">
        <v>1967</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1968</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1969</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1970</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1971</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1972</v>
      </c>
      <c r="C273" s="1729">
        <v>0.14199999999999999</v>
      </c>
      <c r="D273" s="1729">
        <v>0.14299999999999999</v>
      </c>
      <c r="E273" s="1729">
        <v>0.15</v>
      </c>
      <c r="F273" s="1730">
        <v>0.1</v>
      </c>
    </row>
    <row r="274" spans="1:6" ht="14.25" thickBot="1">
      <c r="A274" s="1724" t="s">
        <v>1394</v>
      </c>
      <c r="B274" s="1728" t="s">
        <v>1973</v>
      </c>
      <c r="C274" s="1729">
        <v>0.14799999999999999</v>
      </c>
      <c r="D274" s="1729">
        <v>0.14799999999999999</v>
      </c>
      <c r="E274" s="1729">
        <v>0.15</v>
      </c>
      <c r="F274" s="1730">
        <v>6.7000000000000004E-2</v>
      </c>
    </row>
    <row r="275" spans="1:6" ht="14.25" thickBot="1">
      <c r="A275" s="1724" t="s">
        <v>1394</v>
      </c>
      <c r="B275" s="1728" t="s">
        <v>1974</v>
      </c>
      <c r="C275" s="1729">
        <v>0.15</v>
      </c>
      <c r="D275" s="1729">
        <v>0.15</v>
      </c>
      <c r="E275" s="1729">
        <v>0.15</v>
      </c>
      <c r="F275" s="1730">
        <v>0.15</v>
      </c>
    </row>
    <row r="276" spans="1:6" ht="14.25" thickBot="1">
      <c r="A276" s="1724" t="s">
        <v>1394</v>
      </c>
      <c r="B276" s="1728" t="s">
        <v>1975</v>
      </c>
      <c r="C276" s="1729">
        <v>0.14499999999999999</v>
      </c>
      <c r="D276" s="1729">
        <v>0.14299999999999999</v>
      </c>
      <c r="E276" s="1729">
        <v>0.15</v>
      </c>
      <c r="F276" s="1730">
        <v>5.8999999999999997E-2</v>
      </c>
    </row>
    <row r="277" spans="1:6" ht="14.25" thickBot="1">
      <c r="A277" s="1724" t="s">
        <v>1394</v>
      </c>
      <c r="B277" s="1728" t="s">
        <v>1976</v>
      </c>
      <c r="C277" s="1729">
        <v>0.15</v>
      </c>
      <c r="D277" s="1729">
        <v>0.15</v>
      </c>
      <c r="E277" s="1729">
        <v>0.15</v>
      </c>
      <c r="F277" s="1730">
        <v>0.121</v>
      </c>
    </row>
    <row r="278" spans="1:6" ht="14.25" thickBot="1">
      <c r="A278" s="1724" t="s">
        <v>1394</v>
      </c>
      <c r="B278" s="1728" t="s">
        <v>1977</v>
      </c>
      <c r="C278" s="1729">
        <v>0.15</v>
      </c>
      <c r="D278" s="1729">
        <v>0.15</v>
      </c>
      <c r="E278" s="1729">
        <v>0.15</v>
      </c>
      <c r="F278" s="1730">
        <v>0.13800000000000001</v>
      </c>
    </row>
    <row r="279" spans="1:6" ht="24.75" thickBot="1">
      <c r="A279" s="1724" t="s">
        <v>1394</v>
      </c>
      <c r="B279" s="1728" t="s">
        <v>1978</v>
      </c>
      <c r="C279" s="1738"/>
      <c r="D279" s="1738"/>
      <c r="E279" s="1738"/>
      <c r="F279" s="1730">
        <v>0.05</v>
      </c>
    </row>
    <row r="280" spans="1:6" ht="24.75" thickBot="1">
      <c r="A280" s="1724" t="s">
        <v>1394</v>
      </c>
      <c r="B280" s="1728" t="s">
        <v>1979</v>
      </c>
      <c r="C280" s="1738"/>
      <c r="D280" s="1738"/>
      <c r="E280" s="1738"/>
      <c r="F280" s="1730">
        <v>0.05</v>
      </c>
    </row>
    <row r="281" spans="1:6" ht="24.75" thickBot="1">
      <c r="A281" s="1724" t="s">
        <v>1394</v>
      </c>
      <c r="B281" s="1728" t="s">
        <v>1980</v>
      </c>
      <c r="C281" s="1738"/>
      <c r="D281" s="1738"/>
      <c r="E281" s="1738"/>
      <c r="F281" s="1730">
        <v>0.05</v>
      </c>
    </row>
    <row r="282" spans="1:6" ht="24.75" thickBot="1">
      <c r="A282" s="1724" t="s">
        <v>1394</v>
      </c>
      <c r="B282" s="1728" t="s">
        <v>1981</v>
      </c>
      <c r="C282" s="1738"/>
      <c r="D282" s="1738"/>
      <c r="E282" s="1738"/>
      <c r="F282" s="1730">
        <v>0.05</v>
      </c>
    </row>
    <row r="283" spans="1:6" ht="24.75" thickBot="1">
      <c r="A283" s="1724" t="s">
        <v>1394</v>
      </c>
      <c r="B283" s="1728" t="s">
        <v>1982</v>
      </c>
      <c r="C283" s="1738"/>
      <c r="D283" s="1738"/>
      <c r="E283" s="1738"/>
      <c r="F283" s="1730">
        <v>0.05</v>
      </c>
    </row>
    <row r="284" spans="1:6" ht="24.75" thickBot="1">
      <c r="A284" s="1724" t="s">
        <v>1394</v>
      </c>
      <c r="B284" s="1728" t="s">
        <v>1983</v>
      </c>
      <c r="C284" s="1738"/>
      <c r="D284" s="1738"/>
      <c r="E284" s="1738"/>
      <c r="F284" s="1730">
        <v>0.05</v>
      </c>
    </row>
    <row r="285" spans="1:6" ht="24.75" thickBot="1">
      <c r="A285" s="1724" t="s">
        <v>1394</v>
      </c>
      <c r="B285" s="1728" t="s">
        <v>1984</v>
      </c>
      <c r="C285" s="1738"/>
      <c r="D285" s="1738"/>
      <c r="E285" s="1738"/>
      <c r="F285" s="1730">
        <v>0.05</v>
      </c>
    </row>
    <row r="286" spans="1:6" ht="24.75" thickBot="1">
      <c r="A286" s="1724" t="s">
        <v>1394</v>
      </c>
      <c r="B286" s="1728" t="s">
        <v>1985</v>
      </c>
      <c r="C286" s="1738"/>
      <c r="D286" s="1738"/>
      <c r="E286" s="1738"/>
      <c r="F286" s="1730">
        <v>0.05</v>
      </c>
    </row>
    <row r="287" spans="1:6" ht="24.75" thickBot="1">
      <c r="A287" s="1724" t="s">
        <v>1394</v>
      </c>
      <c r="B287" s="1728" t="s">
        <v>1986</v>
      </c>
      <c r="C287" s="1738"/>
      <c r="D287" s="1738"/>
      <c r="E287" s="1738"/>
      <c r="F287" s="1730">
        <v>0.05</v>
      </c>
    </row>
    <row r="288" spans="1:6" ht="24.75" thickBot="1">
      <c r="A288" s="1724" t="s">
        <v>1394</v>
      </c>
      <c r="B288" s="1728" t="s">
        <v>1987</v>
      </c>
      <c r="C288" s="1738"/>
      <c r="D288" s="1738"/>
      <c r="E288" s="1738"/>
      <c r="F288" s="1730">
        <v>0.05</v>
      </c>
    </row>
    <row r="289" spans="1:6" ht="24.75" thickBot="1">
      <c r="A289" s="1732" t="s">
        <v>1394</v>
      </c>
      <c r="B289" s="1739" t="s">
        <v>1988</v>
      </c>
      <c r="C289" s="1735"/>
      <c r="D289" s="1735"/>
      <c r="E289" s="1735"/>
      <c r="F289" s="1740">
        <v>0.05</v>
      </c>
    </row>
    <row r="290" spans="1:6" ht="14.25" thickBot="1">
      <c r="A290" s="1724" t="s">
        <v>1398</v>
      </c>
      <c r="B290" s="1725" t="s">
        <v>1989</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1990</v>
      </c>
      <c r="C292" s="1729">
        <v>0.15</v>
      </c>
      <c r="D292" s="1729">
        <v>0.15</v>
      </c>
      <c r="E292" s="1729">
        <v>0.15</v>
      </c>
      <c r="F292" s="1730">
        <v>0.14699999999999999</v>
      </c>
    </row>
    <row r="293" spans="1:6" ht="14.25" thickBot="1">
      <c r="A293" s="1724" t="s">
        <v>1398</v>
      </c>
      <c r="B293" s="1728" t="s">
        <v>1991</v>
      </c>
      <c r="C293" s="1738"/>
      <c r="D293" s="1738"/>
      <c r="E293" s="1738"/>
      <c r="F293" s="1730">
        <v>0.1</v>
      </c>
    </row>
    <row r="294" spans="1:6" ht="14.25" thickBot="1">
      <c r="A294" s="1724" t="s">
        <v>1398</v>
      </c>
      <c r="B294" s="1728" t="s">
        <v>1992</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1993</v>
      </c>
      <c r="C296" s="1729">
        <v>0.15</v>
      </c>
      <c r="D296" s="1729">
        <v>0.15</v>
      </c>
      <c r="E296" s="1729">
        <v>0.15</v>
      </c>
      <c r="F296" s="1730">
        <v>0.15</v>
      </c>
    </row>
    <row r="297" spans="1:6" ht="14.25" thickBot="1">
      <c r="A297" s="1724" t="s">
        <v>1398</v>
      </c>
      <c r="B297" s="1728" t="s">
        <v>1994</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1995</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1996</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1997</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1998</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1999</v>
      </c>
      <c r="C310" s="1729">
        <v>0.15</v>
      </c>
      <c r="D310" s="1729">
        <v>0.15</v>
      </c>
      <c r="E310" s="1729">
        <v>0.15</v>
      </c>
      <c r="F310" s="1730">
        <v>0.13700000000000001</v>
      </c>
    </row>
    <row r="311" spans="1:6" ht="14.25" thickBot="1">
      <c r="A311" s="1724" t="s">
        <v>1398</v>
      </c>
      <c r="B311" s="1728" t="s">
        <v>2000</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2001</v>
      </c>
      <c r="C313" s="1729">
        <v>0.15</v>
      </c>
      <c r="D313" s="1729">
        <v>0.15</v>
      </c>
      <c r="E313" s="1729">
        <v>0.15</v>
      </c>
      <c r="F313" s="1730">
        <v>0.15</v>
      </c>
    </row>
    <row r="314" spans="1:6" ht="24.75" thickBot="1">
      <c r="A314" s="1724" t="s">
        <v>1398</v>
      </c>
      <c r="B314" s="1728" t="s">
        <v>2002</v>
      </c>
      <c r="C314" s="1738"/>
      <c r="D314" s="1738"/>
      <c r="E314" s="1738"/>
      <c r="F314" s="1730">
        <v>0.05</v>
      </c>
    </row>
    <row r="315" spans="1:6" ht="24.75" thickBot="1">
      <c r="A315" s="1724" t="s">
        <v>1398</v>
      </c>
      <c r="B315" s="1728" t="s">
        <v>2003</v>
      </c>
      <c r="C315" s="1738"/>
      <c r="D315" s="1738"/>
      <c r="E315" s="1738"/>
      <c r="F315" s="1730">
        <v>0.05</v>
      </c>
    </row>
    <row r="316" spans="1:6" ht="24.75" thickBot="1">
      <c r="A316" s="1732" t="s">
        <v>1398</v>
      </c>
      <c r="B316" s="1739" t="s">
        <v>2004</v>
      </c>
      <c r="C316" s="1735"/>
      <c r="D316" s="1735"/>
      <c r="E316" s="1735"/>
      <c r="F316" s="1740">
        <v>0.05</v>
      </c>
    </row>
    <row r="317" spans="1:6" ht="14.25" thickBot="1">
      <c r="A317" s="1724" t="s">
        <v>2005</v>
      </c>
      <c r="B317" s="1725" t="s">
        <v>2006</v>
      </c>
      <c r="C317" s="1726">
        <v>0.15</v>
      </c>
      <c r="D317" s="1726">
        <v>0.15</v>
      </c>
      <c r="E317" s="1726">
        <v>0.15</v>
      </c>
      <c r="F317" s="1727">
        <v>0.15</v>
      </c>
    </row>
    <row r="318" spans="1:6" ht="14.25" thickBot="1">
      <c r="A318" s="1724" t="s">
        <v>2005</v>
      </c>
      <c r="B318" s="1728" t="s">
        <v>2007</v>
      </c>
      <c r="C318" s="1729">
        <v>0.107</v>
      </c>
      <c r="D318" s="1729">
        <v>0.11</v>
      </c>
      <c r="E318" s="1729">
        <v>0.112</v>
      </c>
      <c r="F318" s="1737"/>
    </row>
    <row r="319" spans="1:6" ht="14.25" thickBot="1">
      <c r="A319" s="1724" t="s">
        <v>2005</v>
      </c>
      <c r="B319" s="1728" t="s">
        <v>2008</v>
      </c>
      <c r="C319" s="1729">
        <v>0.15</v>
      </c>
      <c r="D319" s="1729">
        <v>0.15</v>
      </c>
      <c r="E319" s="1729">
        <v>0.15</v>
      </c>
      <c r="F319" s="1730">
        <v>0.15</v>
      </c>
    </row>
    <row r="320" spans="1:6" ht="14.25" thickBot="1">
      <c r="A320" s="1724" t="s">
        <v>2005</v>
      </c>
      <c r="B320" s="1728" t="s">
        <v>1086</v>
      </c>
      <c r="C320" s="1729">
        <v>0.15</v>
      </c>
      <c r="D320" s="1729">
        <v>0.15</v>
      </c>
      <c r="E320" s="1729">
        <v>0.15</v>
      </c>
      <c r="F320" s="1737"/>
    </row>
    <row r="321" spans="1:6" ht="14.25" thickBot="1">
      <c r="A321" s="1724" t="s">
        <v>2005</v>
      </c>
      <c r="B321" s="1728" t="s">
        <v>2009</v>
      </c>
      <c r="C321" s="1729">
        <v>0.15</v>
      </c>
      <c r="D321" s="1729">
        <v>0.15</v>
      </c>
      <c r="E321" s="1729">
        <v>0.15</v>
      </c>
      <c r="F321" s="1737"/>
    </row>
    <row r="322" spans="1:6" ht="14.25" thickBot="1">
      <c r="A322" s="1724" t="s">
        <v>2005</v>
      </c>
      <c r="B322" s="1728" t="s">
        <v>2010</v>
      </c>
      <c r="C322" s="1729">
        <v>0.15</v>
      </c>
      <c r="D322" s="1729">
        <v>0.15</v>
      </c>
      <c r="E322" s="1729">
        <v>0.15</v>
      </c>
      <c r="F322" s="1730">
        <v>0.15</v>
      </c>
    </row>
    <row r="323" spans="1:6" ht="14.25" thickBot="1">
      <c r="A323" s="1724" t="s">
        <v>2005</v>
      </c>
      <c r="B323" s="1728" t="s">
        <v>2011</v>
      </c>
      <c r="C323" s="1729">
        <v>0.15</v>
      </c>
      <c r="D323" s="1729">
        <v>0.15</v>
      </c>
      <c r="E323" s="1729">
        <v>0.15</v>
      </c>
      <c r="F323" s="1737"/>
    </row>
    <row r="324" spans="1:6" ht="14.25" thickBot="1">
      <c r="A324" s="1724" t="s">
        <v>2005</v>
      </c>
      <c r="B324" s="1728" t="s">
        <v>2012</v>
      </c>
      <c r="C324" s="1729">
        <v>0.15</v>
      </c>
      <c r="D324" s="1729">
        <v>0.15</v>
      </c>
      <c r="E324" s="1729">
        <v>0.15</v>
      </c>
      <c r="F324" s="1737"/>
    </row>
    <row r="325" spans="1:6" ht="14.25" thickBot="1">
      <c r="A325" s="1724" t="s">
        <v>2005</v>
      </c>
      <c r="B325" s="1728" t="s">
        <v>2013</v>
      </c>
      <c r="C325" s="1729">
        <v>0.15</v>
      </c>
      <c r="D325" s="1729">
        <v>0.15</v>
      </c>
      <c r="E325" s="1729">
        <v>0.15</v>
      </c>
      <c r="F325" s="1730">
        <v>0.14699999999999999</v>
      </c>
    </row>
    <row r="326" spans="1:6" ht="14.25" thickBot="1">
      <c r="A326" s="1724" t="s">
        <v>2005</v>
      </c>
      <c r="B326" s="1728" t="s">
        <v>1155</v>
      </c>
      <c r="C326" s="1729">
        <v>0.15</v>
      </c>
      <c r="D326" s="1729">
        <v>0.15</v>
      </c>
      <c r="E326" s="1729">
        <v>0.15</v>
      </c>
      <c r="F326" s="1737"/>
    </row>
    <row r="327" spans="1:6" ht="14.25" thickBot="1">
      <c r="A327" s="1724" t="s">
        <v>2005</v>
      </c>
      <c r="B327" s="1728" t="s">
        <v>2014</v>
      </c>
      <c r="C327" s="1729">
        <v>0.15</v>
      </c>
      <c r="D327" s="1729">
        <v>0.15</v>
      </c>
      <c r="E327" s="1729">
        <v>0.15</v>
      </c>
      <c r="F327" s="1730">
        <v>0.15</v>
      </c>
    </row>
    <row r="328" spans="1:6" ht="14.25" thickBot="1">
      <c r="A328" s="1724" t="s">
        <v>2005</v>
      </c>
      <c r="B328" s="1728" t="s">
        <v>1175</v>
      </c>
      <c r="C328" s="1729">
        <v>0.15</v>
      </c>
      <c r="D328" s="1729">
        <v>0.15</v>
      </c>
      <c r="E328" s="1729">
        <v>0.15</v>
      </c>
      <c r="F328" s="1730">
        <v>0.14099999999999999</v>
      </c>
    </row>
    <row r="329" spans="1:6" ht="14.25" thickBot="1">
      <c r="A329" s="1724" t="s">
        <v>2005</v>
      </c>
      <c r="B329" s="1728" t="s">
        <v>1185</v>
      </c>
      <c r="C329" s="1729">
        <v>0.15</v>
      </c>
      <c r="D329" s="1729">
        <v>0.15</v>
      </c>
      <c r="E329" s="1729">
        <v>0.15</v>
      </c>
      <c r="F329" s="1730">
        <v>0.15</v>
      </c>
    </row>
    <row r="330" spans="1:6" ht="14.25" thickBot="1">
      <c r="A330" s="1724" t="s">
        <v>2005</v>
      </c>
      <c r="B330" s="1728" t="s">
        <v>1195</v>
      </c>
      <c r="C330" s="1729">
        <v>0.15</v>
      </c>
      <c r="D330" s="1729">
        <v>0.15</v>
      </c>
      <c r="E330" s="1729">
        <v>0.15</v>
      </c>
      <c r="F330" s="1737"/>
    </row>
    <row r="331" spans="1:6" ht="14.25" thickBot="1">
      <c r="A331" s="1724" t="s">
        <v>2005</v>
      </c>
      <c r="B331" s="1728" t="s">
        <v>2015</v>
      </c>
      <c r="C331" s="1729">
        <v>0.15</v>
      </c>
      <c r="D331" s="1729">
        <v>0.15</v>
      </c>
      <c r="E331" s="1729">
        <v>0.15</v>
      </c>
      <c r="F331" s="1730">
        <v>0.15</v>
      </c>
    </row>
    <row r="332" spans="1:6" ht="14.25" thickBot="1">
      <c r="A332" s="1724" t="s">
        <v>2005</v>
      </c>
      <c r="B332" s="1728" t="s">
        <v>1215</v>
      </c>
      <c r="C332" s="1729">
        <v>0.15</v>
      </c>
      <c r="D332" s="1729">
        <v>0.15</v>
      </c>
      <c r="E332" s="1729">
        <v>0.15</v>
      </c>
      <c r="F332" s="1730">
        <v>0.15</v>
      </c>
    </row>
    <row r="333" spans="1:6" ht="14.25" thickBot="1">
      <c r="A333" s="1724" t="s">
        <v>2005</v>
      </c>
      <c r="B333" s="1728" t="s">
        <v>2016</v>
      </c>
      <c r="C333" s="1729">
        <v>0.15</v>
      </c>
      <c r="D333" s="1729">
        <v>0.15</v>
      </c>
      <c r="E333" s="1729">
        <v>0.15</v>
      </c>
      <c r="F333" s="1730">
        <v>0.14099999999999999</v>
      </c>
    </row>
    <row r="334" spans="1:6" ht="14.25" thickBot="1">
      <c r="A334" s="1724" t="s">
        <v>2005</v>
      </c>
      <c r="B334" s="1728" t="s">
        <v>1235</v>
      </c>
      <c r="C334" s="1729">
        <v>0.15</v>
      </c>
      <c r="D334" s="1729">
        <v>0.15</v>
      </c>
      <c r="E334" s="1729">
        <v>0.15</v>
      </c>
      <c r="F334" s="1730">
        <v>0.15</v>
      </c>
    </row>
    <row r="335" spans="1:6" ht="14.25" thickBot="1">
      <c r="A335" s="1724" t="s">
        <v>2005</v>
      </c>
      <c r="B335" s="1728" t="s">
        <v>1245</v>
      </c>
      <c r="C335" s="1729">
        <v>0.15</v>
      </c>
      <c r="D335" s="1729">
        <v>0.15</v>
      </c>
      <c r="E335" s="1729">
        <v>0.15</v>
      </c>
      <c r="F335" s="1737"/>
    </row>
    <row r="336" spans="1:6" ht="14.25" thickBot="1">
      <c r="A336" s="1724" t="s">
        <v>2005</v>
      </c>
      <c r="B336" s="1728" t="s">
        <v>2017</v>
      </c>
      <c r="C336" s="1729">
        <v>0.15</v>
      </c>
      <c r="D336" s="1729">
        <v>0.15</v>
      </c>
      <c r="E336" s="1729">
        <v>0.15</v>
      </c>
      <c r="F336" s="1730">
        <v>0.11799999999999999</v>
      </c>
    </row>
    <row r="337" spans="1:6" ht="14.25" thickBot="1">
      <c r="A337" s="1732" t="s">
        <v>2005</v>
      </c>
      <c r="B337" s="1739" t="s">
        <v>1263</v>
      </c>
      <c r="C337" s="1735"/>
      <c r="D337" s="1735"/>
      <c r="E337" s="1735"/>
      <c r="F337" s="1740">
        <v>0.14299999999999999</v>
      </c>
    </row>
    <row r="338" spans="1:6" ht="14.25" thickBot="1">
      <c r="A338" s="1724" t="s">
        <v>2018</v>
      </c>
      <c r="B338" s="1725" t="s">
        <v>2019</v>
      </c>
      <c r="C338" s="1726">
        <v>0.15</v>
      </c>
      <c r="D338" s="1726">
        <v>0.15</v>
      </c>
      <c r="E338" s="1726">
        <v>0.15</v>
      </c>
      <c r="F338" s="1748"/>
    </row>
    <row r="339" spans="1:6" ht="14.25" thickBot="1">
      <c r="A339" s="1724" t="s">
        <v>2018</v>
      </c>
      <c r="B339" s="1728" t="s">
        <v>2020</v>
      </c>
      <c r="C339" s="1729">
        <v>0.15</v>
      </c>
      <c r="D339" s="1729">
        <v>0.15</v>
      </c>
      <c r="E339" s="1729">
        <v>0.15</v>
      </c>
      <c r="F339" s="1737"/>
    </row>
    <row r="340" spans="1:6" ht="14.25" thickBot="1">
      <c r="A340" s="1724" t="s">
        <v>2018</v>
      </c>
      <c r="B340" s="1728" t="s">
        <v>2021</v>
      </c>
      <c r="C340" s="1729">
        <v>0.15</v>
      </c>
      <c r="D340" s="1729">
        <v>0.15</v>
      </c>
      <c r="E340" s="1729">
        <v>0.15</v>
      </c>
      <c r="F340" s="1737"/>
    </row>
    <row r="341" spans="1:6" ht="14.25" thickBot="1">
      <c r="A341" s="1724" t="s">
        <v>2022</v>
      </c>
      <c r="B341" s="1728" t="s">
        <v>2023</v>
      </c>
      <c r="C341" s="1729">
        <v>0.15</v>
      </c>
      <c r="D341" s="1729">
        <v>0.15</v>
      </c>
      <c r="E341" s="1729">
        <v>0.15</v>
      </c>
      <c r="F341" s="1730">
        <v>0.15</v>
      </c>
    </row>
    <row r="342" spans="1:6" ht="14.25" thickBot="1">
      <c r="A342" s="1724" t="s">
        <v>2018</v>
      </c>
      <c r="B342" s="1728" t="s">
        <v>2024</v>
      </c>
      <c r="C342" s="1729">
        <v>0.15</v>
      </c>
      <c r="D342" s="1729">
        <v>0.15</v>
      </c>
      <c r="E342" s="1729">
        <v>0.15</v>
      </c>
      <c r="F342" s="1730">
        <v>0.15</v>
      </c>
    </row>
    <row r="343" spans="1:6" ht="14.25" thickBot="1">
      <c r="A343" s="1724" t="s">
        <v>2018</v>
      </c>
      <c r="B343" s="1728" t="s">
        <v>2025</v>
      </c>
      <c r="C343" s="1729">
        <v>0.15</v>
      </c>
      <c r="D343" s="1729">
        <v>0.15</v>
      </c>
      <c r="E343" s="1729">
        <v>0.15</v>
      </c>
      <c r="F343" s="1730">
        <v>0.15</v>
      </c>
    </row>
    <row r="344" spans="1:6" ht="14.25" thickBot="1">
      <c r="A344" s="1732" t="s">
        <v>2018</v>
      </c>
      <c r="B344" s="1739" t="s">
        <v>2026</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E20" sqref="E2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815" t="s">
        <v>2290</v>
      </c>
      <c r="C1" s="3815"/>
      <c r="D1" s="3815"/>
      <c r="E1" s="3815"/>
      <c r="F1" s="3815"/>
      <c r="G1" s="3814" t="s">
        <v>2291</v>
      </c>
      <c r="H1" s="3814"/>
      <c r="I1" s="3814"/>
      <c r="J1" s="3814"/>
      <c r="K1" s="3814"/>
      <c r="L1" s="3814"/>
      <c r="N1" s="3814" t="s">
        <v>2292</v>
      </c>
      <c r="O1" s="3814"/>
      <c r="P1" s="3814"/>
      <c r="Q1" s="3814"/>
      <c r="S1" s="3814" t="s">
        <v>2293</v>
      </c>
      <c r="T1" s="3814"/>
      <c r="U1" s="3814"/>
      <c r="V1" s="3814"/>
      <c r="X1" s="3813" t="s">
        <v>2353</v>
      </c>
      <c r="Y1" s="3814"/>
      <c r="Z1" s="3814"/>
      <c r="AA1" s="3814"/>
      <c r="AB1" s="3814"/>
      <c r="AD1" s="3813" t="s">
        <v>2357</v>
      </c>
      <c r="AE1" s="3814"/>
      <c r="AF1" s="3814"/>
      <c r="AG1" s="3814"/>
      <c r="AH1" s="3814"/>
    </row>
    <row r="2" spans="1:34" s="2783" customFormat="1" ht="14.25" thickBot="1">
      <c r="B2" s="2784" t="s">
        <v>2294</v>
      </c>
      <c r="C2" s="2784" t="s">
        <v>2355</v>
      </c>
      <c r="D2" s="2785" t="s">
        <v>1444</v>
      </c>
      <c r="E2" s="2785" t="s">
        <v>1741</v>
      </c>
      <c r="F2" s="2784" t="s">
        <v>2356</v>
      </c>
      <c r="G2" s="2786"/>
      <c r="I2" s="2784" t="s">
        <v>2645</v>
      </c>
      <c r="J2" s="2785" t="s">
        <v>2647</v>
      </c>
      <c r="K2" s="2785" t="s">
        <v>2648</v>
      </c>
      <c r="L2" s="2784" t="s">
        <v>2649</v>
      </c>
      <c r="N2" s="2784" t="s">
        <v>2294</v>
      </c>
      <c r="O2" s="2785" t="s">
        <v>2646</v>
      </c>
      <c r="P2" s="2785" t="s">
        <v>1741</v>
      </c>
      <c r="Q2" s="2784" t="s">
        <v>2356</v>
      </c>
      <c r="S2" s="2784" t="s">
        <v>2294</v>
      </c>
      <c r="T2" s="2785" t="s">
        <v>2646</v>
      </c>
      <c r="U2" s="2785" t="s">
        <v>1741</v>
      </c>
      <c r="V2" s="2784" t="s">
        <v>2356</v>
      </c>
      <c r="X2" s="2784" t="s">
        <v>2294</v>
      </c>
      <c r="Y2" s="2784" t="s">
        <v>2355</v>
      </c>
      <c r="Z2" s="2785" t="s">
        <v>1444</v>
      </c>
      <c r="AA2" s="2785" t="s">
        <v>1741</v>
      </c>
      <c r="AB2" s="2784" t="s">
        <v>2356</v>
      </c>
      <c r="AD2" s="2784" t="s">
        <v>2294</v>
      </c>
      <c r="AE2" s="2784" t="s">
        <v>2355</v>
      </c>
      <c r="AF2" s="2785" t="s">
        <v>1444</v>
      </c>
      <c r="AG2" s="2785" t="s">
        <v>1741</v>
      </c>
      <c r="AH2" s="2784" t="s">
        <v>2356</v>
      </c>
    </row>
    <row r="3" spans="1:34" s="2793" customFormat="1" ht="14.25">
      <c r="A3" s="2787" t="s">
        <v>2656</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2873</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2872</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2871</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2870</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2869</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2725</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2724</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2723</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2722</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2720</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2719</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2683</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2681</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2679</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2678</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2675</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2674</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2672</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809">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2665</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809"/>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2666</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809"/>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2662</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810"/>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2655</v>
      </c>
      <c r="B26" s="2823">
        <v>439</v>
      </c>
      <c r="C26" s="2823">
        <v>327</v>
      </c>
      <c r="D26" s="2823">
        <f t="shared" si="219"/>
        <v>327</v>
      </c>
      <c r="E26" s="2823">
        <v>627</v>
      </c>
      <c r="F26" s="2824">
        <v>283</v>
      </c>
      <c r="G26" s="3808">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2657</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809"/>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2295</v>
      </c>
      <c r="B28" s="2807">
        <f t="shared" si="231"/>
        <v>419.31181600000002</v>
      </c>
      <c r="C28" s="2807">
        <f t="shared" si="231"/>
        <v>313.95436800000004</v>
      </c>
      <c r="D28" s="2807">
        <f t="shared" si="219"/>
        <v>313.95436800000004</v>
      </c>
      <c r="E28" s="2807">
        <f t="shared" si="232"/>
        <v>596.63028431999999</v>
      </c>
      <c r="F28" s="2807">
        <f t="shared" si="232"/>
        <v>274.74220703999998</v>
      </c>
      <c r="G28" s="3809"/>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2296</v>
      </c>
      <c r="B29" s="2807">
        <f t="shared" si="231"/>
        <v>405.524</v>
      </c>
      <c r="C29" s="2807">
        <f t="shared" si="231"/>
        <v>307.79840000000002</v>
      </c>
      <c r="D29" s="2807">
        <f t="shared" si="219"/>
        <v>307.79840000000002</v>
      </c>
      <c r="E29" s="2807">
        <f t="shared" si="232"/>
        <v>574.67759999999998</v>
      </c>
      <c r="F29" s="2807">
        <f t="shared" si="232"/>
        <v>270.20280000000002</v>
      </c>
      <c r="G29" s="3810"/>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808">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809"/>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809"/>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812"/>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811">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809"/>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809"/>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812"/>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811">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809"/>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809"/>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812"/>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2354</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2297</v>
      </c>
      <c r="B42" s="2828">
        <v>299</v>
      </c>
      <c r="C42" s="2828">
        <v>252</v>
      </c>
      <c r="D42" s="2828">
        <f t="shared" si="241"/>
        <v>252</v>
      </c>
      <c r="E42" s="2828">
        <v>409</v>
      </c>
      <c r="F42" s="2829">
        <v>227</v>
      </c>
      <c r="G42" s="3816">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2298</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817"/>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2299</v>
      </c>
      <c r="B44" s="2807">
        <f t="shared" si="250"/>
        <v>288.2649053828776</v>
      </c>
      <c r="C44" s="2807">
        <f t="shared" si="250"/>
        <v>243.64564425013293</v>
      </c>
      <c r="D44" s="2807">
        <f t="shared" si="241"/>
        <v>243.64564425013293</v>
      </c>
      <c r="E44" s="2807">
        <f t="shared" si="251"/>
        <v>393.31080825986544</v>
      </c>
      <c r="F44" s="2807">
        <f t="shared" si="251"/>
        <v>223.07903790551154</v>
      </c>
      <c r="G44" s="3817"/>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2300</v>
      </c>
      <c r="B45" s="2807">
        <f t="shared" si="250"/>
        <v>282.50186729015837</v>
      </c>
      <c r="C45" s="2807">
        <f t="shared" si="250"/>
        <v>238.09796174155468</v>
      </c>
      <c r="D45" s="2807">
        <f t="shared" si="241"/>
        <v>238.09796174155468</v>
      </c>
      <c r="E45" s="2807">
        <f t="shared" si="251"/>
        <v>385.33438646014054</v>
      </c>
      <c r="F45" s="2807">
        <f t="shared" si="251"/>
        <v>221.55034055567739</v>
      </c>
      <c r="G45" s="3818"/>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2301</v>
      </c>
      <c r="B46" s="2856">
        <v>278</v>
      </c>
      <c r="C46" s="2856">
        <v>234</v>
      </c>
      <c r="D46" s="2856">
        <f t="shared" si="241"/>
        <v>234</v>
      </c>
      <c r="E46" s="2856">
        <v>379</v>
      </c>
      <c r="F46" s="2857">
        <v>220</v>
      </c>
      <c r="G46" s="3811">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2302</v>
      </c>
      <c r="B47" s="2807">
        <f>B46/(1+N46)</f>
        <v>275.49301357645425</v>
      </c>
      <c r="C47" s="2807">
        <f>C46/(1+O46)</f>
        <v>232.41954707985698</v>
      </c>
      <c r="D47" s="2807">
        <f t="shared" si="241"/>
        <v>232.41954707985698</v>
      </c>
      <c r="E47" s="2807">
        <f t="shared" ref="E47:F49" si="252">E46/(1+P46)</f>
        <v>375.32184591008121</v>
      </c>
      <c r="F47" s="2807">
        <f t="shared" si="252"/>
        <v>218.03766105054513</v>
      </c>
      <c r="G47" s="3809"/>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2303</v>
      </c>
      <c r="B48" s="2807">
        <f>B47/(1+N47)</f>
        <v>275.24529281292263</v>
      </c>
      <c r="C48" s="2807">
        <f>C47/(1+O47)</f>
        <v>231.74747938962707</v>
      </c>
      <c r="D48" s="2807">
        <f t="shared" si="241"/>
        <v>231.74747938962707</v>
      </c>
      <c r="E48" s="2807">
        <f t="shared" si="252"/>
        <v>375.35938184826603</v>
      </c>
      <c r="F48" s="2807">
        <f t="shared" si="252"/>
        <v>216.78033510692495</v>
      </c>
      <c r="G48" s="3809"/>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2304</v>
      </c>
      <c r="B49" s="2807">
        <f>B48/(1+N48)</f>
        <v>275.19025476197027</v>
      </c>
      <c r="C49" s="2858">
        <v>232</v>
      </c>
      <c r="D49" s="2858">
        <f t="shared" si="241"/>
        <v>232</v>
      </c>
      <c r="E49" s="2807">
        <f t="shared" si="252"/>
        <v>375.65990977608692</v>
      </c>
      <c r="F49" s="2807">
        <f t="shared" si="252"/>
        <v>214.12518283971252</v>
      </c>
      <c r="G49" s="3812"/>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2305</v>
      </c>
      <c r="B50" s="2828">
        <v>275</v>
      </c>
      <c r="C50" s="2828">
        <v>232</v>
      </c>
      <c r="D50" s="2828">
        <f t="shared" si="241"/>
        <v>232</v>
      </c>
      <c r="E50" s="2828">
        <v>376</v>
      </c>
      <c r="F50" s="2829">
        <v>213</v>
      </c>
      <c r="G50" s="3811">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2306</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809">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2307</v>
      </c>
      <c r="B52" s="2807">
        <f t="shared" si="253"/>
        <v>275.19335084830601</v>
      </c>
      <c r="C52" s="2807">
        <f t="shared" si="253"/>
        <v>230.18088050139744</v>
      </c>
      <c r="D52" s="2807">
        <f t="shared" si="241"/>
        <v>230.18088050139744</v>
      </c>
      <c r="E52" s="2807">
        <f t="shared" si="254"/>
        <v>377.58482925212331</v>
      </c>
      <c r="F52" s="2807">
        <f t="shared" si="254"/>
        <v>210.90687997847917</v>
      </c>
      <c r="G52" s="3809">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2308</v>
      </c>
      <c r="B53" s="2807">
        <f t="shared" si="253"/>
        <v>276.29854502841971</v>
      </c>
      <c r="C53" s="2807">
        <f t="shared" si="253"/>
        <v>229.79023709833027</v>
      </c>
      <c r="D53" s="2807">
        <f t="shared" si="241"/>
        <v>229.79023709833027</v>
      </c>
      <c r="E53" s="2807">
        <f t="shared" si="254"/>
        <v>379.78759731655936</v>
      </c>
      <c r="F53" s="2807">
        <f t="shared" si="254"/>
        <v>211.32953905659235</v>
      </c>
      <c r="G53" s="3812">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2309</v>
      </c>
      <c r="B54" s="2828">
        <v>269</v>
      </c>
      <c r="C54" s="2828">
        <v>221</v>
      </c>
      <c r="D54" s="2828">
        <f t="shared" si="241"/>
        <v>221</v>
      </c>
      <c r="E54" s="2828">
        <v>373</v>
      </c>
      <c r="F54" s="2829">
        <v>196</v>
      </c>
      <c r="G54" s="3811">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2310</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809">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2311</v>
      </c>
      <c r="B56" s="2807">
        <f t="shared" si="255"/>
        <v>242.95398227588385</v>
      </c>
      <c r="C56" s="2807">
        <f t="shared" si="255"/>
        <v>199.59137053614126</v>
      </c>
      <c r="D56" s="2807">
        <f t="shared" si="241"/>
        <v>199.59137053614126</v>
      </c>
      <c r="E56" s="2807">
        <f t="shared" si="256"/>
        <v>335.92189522342125</v>
      </c>
      <c r="F56" s="2807">
        <f t="shared" si="256"/>
        <v>183.10139991109489</v>
      </c>
      <c r="G56" s="3809">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2312</v>
      </c>
      <c r="B57" s="2807">
        <f t="shared" si="255"/>
        <v>232.06990378821649</v>
      </c>
      <c r="C57" s="2807">
        <f t="shared" si="255"/>
        <v>192.74878854286936</v>
      </c>
      <c r="D57" s="2807">
        <f t="shared" si="241"/>
        <v>192.74878854286936</v>
      </c>
      <c r="E57" s="2807">
        <f t="shared" si="256"/>
        <v>319.71247284992984</v>
      </c>
      <c r="F57" s="2807">
        <f t="shared" si="256"/>
        <v>175.67053622862409</v>
      </c>
      <c r="G57" s="3812">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2313</v>
      </c>
      <c r="B58" s="2828">
        <v>220</v>
      </c>
      <c r="C58" s="2828">
        <v>187</v>
      </c>
      <c r="D58" s="2828">
        <f t="shared" si="241"/>
        <v>187</v>
      </c>
      <c r="E58" s="2828">
        <v>301</v>
      </c>
      <c r="F58" s="2829">
        <v>168</v>
      </c>
      <c r="G58" s="3811">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2314</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809">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2315</v>
      </c>
      <c r="B60" s="2807">
        <f t="shared" si="257"/>
        <v>210.630522469011</v>
      </c>
      <c r="C60" s="2807">
        <f t="shared" si="257"/>
        <v>181.69567812247232</v>
      </c>
      <c r="D60" s="2807">
        <f t="shared" si="241"/>
        <v>181.69567812247232</v>
      </c>
      <c r="E60" s="2807">
        <f t="shared" si="258"/>
        <v>286.13517466736738</v>
      </c>
      <c r="F60" s="2807">
        <f t="shared" si="258"/>
        <v>165.47535084591149</v>
      </c>
      <c r="G60" s="3809">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2316</v>
      </c>
      <c r="B61" s="2807">
        <f t="shared" si="257"/>
        <v>208.83454537875372</v>
      </c>
      <c r="C61" s="2807">
        <f t="shared" si="257"/>
        <v>183.77230517090351</v>
      </c>
      <c r="D61" s="2807">
        <f t="shared" si="241"/>
        <v>183.77230517090351</v>
      </c>
      <c r="E61" s="2807">
        <f t="shared" si="258"/>
        <v>281.10342338870947</v>
      </c>
      <c r="F61" s="2807">
        <f t="shared" si="258"/>
        <v>168.97309388942256</v>
      </c>
      <c r="G61" s="3812">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2317</v>
      </c>
      <c r="B62" s="2856">
        <v>214</v>
      </c>
      <c r="C62" s="2856">
        <v>188</v>
      </c>
      <c r="D62" s="2856">
        <f t="shared" si="241"/>
        <v>188</v>
      </c>
      <c r="E62" s="2856">
        <v>289</v>
      </c>
      <c r="F62" s="2857">
        <v>166</v>
      </c>
      <c r="G62" s="3811">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2318</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809">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2319</v>
      </c>
      <c r="B64" s="2807">
        <f t="shared" si="259"/>
        <v>206.31694671589116</v>
      </c>
      <c r="C64" s="2807">
        <f t="shared" si="259"/>
        <v>183.61041121036101</v>
      </c>
      <c r="D64" s="2807">
        <f t="shared" si="241"/>
        <v>183.61041121036101</v>
      </c>
      <c r="E64" s="2807">
        <f t="shared" si="260"/>
        <v>276.66850301795557</v>
      </c>
      <c r="F64" s="2807">
        <f t="shared" si="260"/>
        <v>165.1360938278614</v>
      </c>
      <c r="G64" s="3809">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2320</v>
      </c>
      <c r="B65" s="2859">
        <f t="shared" si="259"/>
        <v>196.62341248059772</v>
      </c>
      <c r="C65" s="2859">
        <f t="shared" si="259"/>
        <v>170.99125648199012</v>
      </c>
      <c r="D65" s="2859">
        <f t="shared" si="241"/>
        <v>170.99125648199012</v>
      </c>
      <c r="E65" s="2859">
        <f t="shared" si="260"/>
        <v>266.07857570490052</v>
      </c>
      <c r="F65" s="2859">
        <f t="shared" si="260"/>
        <v>154.53499328828505</v>
      </c>
      <c r="G65" s="3812">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2321</v>
      </c>
      <c r="B66" s="2828">
        <v>188</v>
      </c>
      <c r="C66" s="2828">
        <v>165</v>
      </c>
      <c r="D66" s="2828">
        <f t="shared" si="241"/>
        <v>165</v>
      </c>
      <c r="E66" s="2828">
        <v>254</v>
      </c>
      <c r="F66" s="2829">
        <v>148</v>
      </c>
      <c r="G66" s="3811">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2322</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809">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2323</v>
      </c>
      <c r="B68" s="2807">
        <f t="shared" si="263"/>
        <v>168.82017748715555</v>
      </c>
      <c r="C68" s="2807">
        <f t="shared" si="263"/>
        <v>148.06267029972753</v>
      </c>
      <c r="D68" s="2807">
        <f t="shared" si="241"/>
        <v>148.06267029972753</v>
      </c>
      <c r="E68" s="2807">
        <f t="shared" si="264"/>
        <v>216.46288379323747</v>
      </c>
      <c r="F68" s="2807">
        <f t="shared" si="264"/>
        <v>134.23529411764704</v>
      </c>
      <c r="G68" s="3809">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2324</v>
      </c>
      <c r="B69" s="2807">
        <f t="shared" si="263"/>
        <v>163.84913591779542</v>
      </c>
      <c r="C69" s="2807">
        <f t="shared" si="263"/>
        <v>145.0283378746594</v>
      </c>
      <c r="D69" s="2807">
        <f t="shared" si="241"/>
        <v>145.0283378746594</v>
      </c>
      <c r="E69" s="2807">
        <f t="shared" si="264"/>
        <v>204.95180722891567</v>
      </c>
      <c r="F69" s="2807">
        <f t="shared" si="264"/>
        <v>125.95920303605313</v>
      </c>
      <c r="G69" s="3812">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2325</v>
      </c>
      <c r="B70" s="2835">
        <v>159</v>
      </c>
      <c r="C70" s="2835">
        <v>141</v>
      </c>
      <c r="D70" s="2835">
        <f t="shared" si="241"/>
        <v>141</v>
      </c>
      <c r="E70" s="2835">
        <v>195</v>
      </c>
      <c r="F70" s="2836">
        <v>122</v>
      </c>
      <c r="G70" s="3811">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2326</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809">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2327</v>
      </c>
      <c r="B72" s="2807">
        <f t="shared" si="267"/>
        <v>146.57412060301507</v>
      </c>
      <c r="C72" s="2807">
        <f t="shared" si="267"/>
        <v>136.46831955922866</v>
      </c>
      <c r="D72" s="2807">
        <f t="shared" si="241"/>
        <v>136.46831955922866</v>
      </c>
      <c r="E72" s="2807">
        <f t="shared" si="268"/>
        <v>166.73864894795128</v>
      </c>
      <c r="F72" s="2807">
        <f t="shared" si="268"/>
        <v>115.05882352941177</v>
      </c>
      <c r="G72" s="3809">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2328</v>
      </c>
      <c r="B73" s="2807">
        <f t="shared" si="267"/>
        <v>144.04145728643215</v>
      </c>
      <c r="C73" s="2807">
        <f t="shared" si="267"/>
        <v>136.12396694214877</v>
      </c>
      <c r="D73" s="2807">
        <f t="shared" si="241"/>
        <v>136.12396694214877</v>
      </c>
      <c r="E73" s="2807">
        <f t="shared" si="268"/>
        <v>158.32225913621264</v>
      </c>
      <c r="F73" s="2807">
        <f t="shared" si="268"/>
        <v>114.04278074866311</v>
      </c>
      <c r="G73" s="3812">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2329</v>
      </c>
      <c r="B74" s="2835">
        <v>138</v>
      </c>
      <c r="C74" s="2835">
        <v>131</v>
      </c>
      <c r="D74" s="2835">
        <f t="shared" si="241"/>
        <v>131</v>
      </c>
      <c r="E74" s="2835">
        <v>155</v>
      </c>
      <c r="F74" s="2836">
        <v>114</v>
      </c>
      <c r="G74" s="3811">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2330</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809">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2331</v>
      </c>
      <c r="B76" s="2807">
        <f t="shared" si="271"/>
        <v>124.29032258064517</v>
      </c>
      <c r="C76" s="2807">
        <f t="shared" si="271"/>
        <v>123.8968609865471</v>
      </c>
      <c r="D76" s="2807">
        <f t="shared" si="241"/>
        <v>123.8968609865471</v>
      </c>
      <c r="E76" s="2807">
        <f t="shared" si="272"/>
        <v>138.00507614213197</v>
      </c>
      <c r="F76" s="2807">
        <f t="shared" si="272"/>
        <v>107.96106557377048</v>
      </c>
      <c r="G76" s="3809">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2332</v>
      </c>
      <c r="B77" s="2807">
        <f t="shared" si="271"/>
        <v>122.57204301075269</v>
      </c>
      <c r="C77" s="2807">
        <f t="shared" si="271"/>
        <v>123.4932735426009</v>
      </c>
      <c r="D77" s="2807">
        <f t="shared" si="241"/>
        <v>123.4932735426009</v>
      </c>
      <c r="E77" s="2807">
        <f t="shared" si="272"/>
        <v>129.82233502538071</v>
      </c>
      <c r="F77" s="2807">
        <f t="shared" si="272"/>
        <v>107.39446721311475</v>
      </c>
      <c r="G77" s="3812">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2333</v>
      </c>
      <c r="B78" s="2856">
        <v>121</v>
      </c>
      <c r="C78" s="2856">
        <v>122</v>
      </c>
      <c r="D78" s="2856">
        <f t="shared" si="241"/>
        <v>122</v>
      </c>
      <c r="E78" s="2856">
        <v>124</v>
      </c>
      <c r="F78" s="2857">
        <v>107</v>
      </c>
      <c r="G78" s="3811">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2334</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809">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2335</v>
      </c>
      <c r="B80" s="2807">
        <f t="shared" si="275"/>
        <v>116.99099099099099</v>
      </c>
      <c r="C80" s="2807">
        <f t="shared" si="275"/>
        <v>118.84848484848486</v>
      </c>
      <c r="D80" s="2807">
        <f t="shared" si="241"/>
        <v>118.84848484848486</v>
      </c>
      <c r="E80" s="2807">
        <f t="shared" si="276"/>
        <v>117.60960960960961</v>
      </c>
      <c r="F80" s="2807">
        <f t="shared" si="276"/>
        <v>104</v>
      </c>
      <c r="G80" s="3809">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2336</v>
      </c>
      <c r="B81" s="2859">
        <f t="shared" si="275"/>
        <v>112.48648648648648</v>
      </c>
      <c r="C81" s="2859">
        <f t="shared" si="275"/>
        <v>115.21212121212122</v>
      </c>
      <c r="D81" s="2859">
        <f t="shared" si="241"/>
        <v>115.21212121212122</v>
      </c>
      <c r="E81" s="2859">
        <f t="shared" si="276"/>
        <v>110.4024024024024</v>
      </c>
      <c r="F81" s="2859">
        <f t="shared" si="276"/>
        <v>104</v>
      </c>
      <c r="G81" s="3812">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2337</v>
      </c>
      <c r="B82" s="2876">
        <v>111</v>
      </c>
      <c r="C82" s="2876">
        <v>114</v>
      </c>
      <c r="D82" s="2876">
        <f t="shared" si="241"/>
        <v>114</v>
      </c>
      <c r="E82" s="2876">
        <v>108</v>
      </c>
      <c r="F82" s="2877">
        <v>104</v>
      </c>
      <c r="G82" s="3811">
        <v>2003</v>
      </c>
      <c r="H82" s="2866">
        <v>4</v>
      </c>
      <c r="I82" s="2878"/>
      <c r="J82" s="2878"/>
      <c r="K82" s="2878"/>
      <c r="L82" s="2878"/>
      <c r="N82" s="2879"/>
      <c r="O82" s="2878"/>
      <c r="P82" s="2878"/>
      <c r="Q82" s="2878"/>
      <c r="S82" s="2879"/>
      <c r="T82" s="2878"/>
      <c r="U82" s="2878"/>
      <c r="V82" s="2878"/>
      <c r="X82" s="2870"/>
      <c r="Y82" s="2870"/>
      <c r="Z82" s="2870"/>
    </row>
    <row r="83" spans="1:26">
      <c r="A83" s="2806" t="s">
        <v>2338</v>
      </c>
      <c r="B83" s="2880">
        <f t="shared" ref="B83:C85" si="277">B84+(B$82-B$86)/4</f>
        <v>109.75</v>
      </c>
      <c r="C83" s="2880">
        <f t="shared" si="277"/>
        <v>112.25</v>
      </c>
      <c r="D83" s="2880">
        <f t="shared" si="241"/>
        <v>112.25</v>
      </c>
      <c r="E83" s="2880">
        <f t="shared" ref="E83:F85" si="278">E84+(E$82-E$86)/4</f>
        <v>107.25</v>
      </c>
      <c r="F83" s="2880">
        <f t="shared" si="278"/>
        <v>103.5</v>
      </c>
      <c r="G83" s="3809">
        <v>2003</v>
      </c>
      <c r="H83" s="2833">
        <v>3</v>
      </c>
      <c r="I83" s="2878"/>
      <c r="J83" s="2878"/>
      <c r="K83" s="2878"/>
      <c r="L83" s="2878"/>
      <c r="X83" s="2870"/>
      <c r="Y83" s="2870"/>
      <c r="Z83" s="2870"/>
    </row>
    <row r="84" spans="1:26">
      <c r="A84" s="2806" t="s">
        <v>2339</v>
      </c>
      <c r="B84" s="2880">
        <f t="shared" si="277"/>
        <v>108.5</v>
      </c>
      <c r="C84" s="2880">
        <f t="shared" si="277"/>
        <v>110.5</v>
      </c>
      <c r="D84" s="2880">
        <f t="shared" si="241"/>
        <v>110.5</v>
      </c>
      <c r="E84" s="2880">
        <f t="shared" si="278"/>
        <v>106.5</v>
      </c>
      <c r="F84" s="2880">
        <f t="shared" si="278"/>
        <v>103</v>
      </c>
      <c r="G84" s="3809">
        <v>2003</v>
      </c>
      <c r="H84" s="2821">
        <v>2</v>
      </c>
      <c r="I84" s="2878"/>
      <c r="J84" s="2878"/>
      <c r="K84" s="2878"/>
      <c r="L84" s="2878"/>
      <c r="X84" s="2870"/>
      <c r="Y84" s="2870"/>
      <c r="Z84" s="2870"/>
    </row>
    <row r="85" spans="1:26" ht="13.5" thickBot="1">
      <c r="A85" s="2806" t="s">
        <v>2340</v>
      </c>
      <c r="B85" s="2880">
        <f t="shared" si="277"/>
        <v>107.25</v>
      </c>
      <c r="C85" s="2880">
        <f t="shared" si="277"/>
        <v>108.75</v>
      </c>
      <c r="D85" s="2880">
        <f t="shared" si="241"/>
        <v>108.75</v>
      </c>
      <c r="E85" s="2880">
        <f t="shared" si="278"/>
        <v>105.75</v>
      </c>
      <c r="F85" s="2880">
        <f t="shared" si="278"/>
        <v>102.5</v>
      </c>
      <c r="G85" s="3812">
        <v>2003</v>
      </c>
      <c r="H85" s="2881">
        <v>1</v>
      </c>
      <c r="I85" s="2878"/>
      <c r="J85" s="2878"/>
      <c r="K85" s="2878"/>
      <c r="L85" s="2878"/>
      <c r="S85" s="2809"/>
      <c r="T85" s="2805"/>
      <c r="U85" s="2805"/>
      <c r="X85" s="2870"/>
      <c r="Y85" s="2870"/>
      <c r="Z85" s="2870"/>
    </row>
    <row r="86" spans="1:26" ht="13.5" thickBot="1">
      <c r="A86" s="2806" t="s">
        <v>2341</v>
      </c>
      <c r="B86" s="2882">
        <v>106</v>
      </c>
      <c r="C86" s="2882">
        <v>107</v>
      </c>
      <c r="D86" s="2882">
        <f t="shared" si="241"/>
        <v>107</v>
      </c>
      <c r="E86" s="2882">
        <v>105</v>
      </c>
      <c r="F86" s="2883">
        <v>102</v>
      </c>
      <c r="G86" s="3811">
        <v>2002</v>
      </c>
      <c r="H86" s="2830">
        <v>4</v>
      </c>
      <c r="I86" s="2878"/>
      <c r="J86" s="2878"/>
      <c r="K86" s="2878"/>
      <c r="L86" s="2878"/>
      <c r="N86" s="2879"/>
      <c r="O86" s="2878"/>
      <c r="P86" s="2878"/>
      <c r="Q86" s="2878"/>
      <c r="S86" s="2879"/>
      <c r="T86" s="2878"/>
      <c r="U86" s="2878"/>
      <c r="V86" s="2878"/>
      <c r="X86" s="2870"/>
      <c r="Y86" s="2870"/>
      <c r="Z86" s="2870"/>
    </row>
    <row r="87" spans="1:26">
      <c r="A87" s="2806" t="s">
        <v>2342</v>
      </c>
      <c r="B87" s="2880">
        <f t="shared" ref="B87:C89" si="279">B88+(B$86-B$90)/4</f>
        <v>105</v>
      </c>
      <c r="C87" s="2880">
        <f t="shared" si="279"/>
        <v>106</v>
      </c>
      <c r="D87" s="2880">
        <f t="shared" si="241"/>
        <v>106</v>
      </c>
      <c r="E87" s="2880">
        <f t="shared" ref="E87:F89" si="280">E88+(E$86-E$90)/4</f>
        <v>104.5</v>
      </c>
      <c r="F87" s="2880">
        <f t="shared" si="280"/>
        <v>101.5</v>
      </c>
      <c r="G87" s="3809">
        <v>2002</v>
      </c>
      <c r="H87" s="2833">
        <v>3</v>
      </c>
      <c r="I87" s="2878"/>
      <c r="J87" s="2878"/>
      <c r="K87" s="2878"/>
      <c r="L87" s="2878"/>
      <c r="X87" s="2870"/>
      <c r="Y87" s="2870"/>
      <c r="Z87" s="2870"/>
    </row>
    <row r="88" spans="1:26">
      <c r="A88" s="2806" t="s">
        <v>2343</v>
      </c>
      <c r="B88" s="2880">
        <f t="shared" si="279"/>
        <v>104</v>
      </c>
      <c r="C88" s="2880">
        <f t="shared" si="279"/>
        <v>105</v>
      </c>
      <c r="D88" s="2880">
        <f t="shared" si="241"/>
        <v>105</v>
      </c>
      <c r="E88" s="2880">
        <f t="shared" si="280"/>
        <v>104</v>
      </c>
      <c r="F88" s="2880">
        <f t="shared" si="280"/>
        <v>101</v>
      </c>
      <c r="G88" s="3809">
        <v>2002</v>
      </c>
      <c r="H88" s="2821">
        <v>2</v>
      </c>
      <c r="I88" s="2878"/>
      <c r="J88" s="2878"/>
      <c r="K88" s="2878"/>
      <c r="L88" s="2878"/>
      <c r="X88" s="2870"/>
      <c r="Y88" s="2870"/>
      <c r="Z88" s="2870"/>
    </row>
    <row r="89" spans="1:26" s="2843" customFormat="1" ht="13.5" thickBot="1">
      <c r="A89" s="2839" t="s">
        <v>2344</v>
      </c>
      <c r="B89" s="2846">
        <f t="shared" si="279"/>
        <v>103</v>
      </c>
      <c r="C89" s="2846">
        <f t="shared" si="279"/>
        <v>104</v>
      </c>
      <c r="D89" s="2846">
        <f t="shared" si="241"/>
        <v>104</v>
      </c>
      <c r="E89" s="2846">
        <f t="shared" si="280"/>
        <v>103.5</v>
      </c>
      <c r="F89" s="2846">
        <f t="shared" si="280"/>
        <v>100.5</v>
      </c>
      <c r="G89" s="3812">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2345</v>
      </c>
      <c r="G92" s="2893"/>
      <c r="N92" s="2893"/>
      <c r="S92" s="2893"/>
    </row>
    <row r="93" spans="1:26" s="2892" customFormat="1">
      <c r="A93" s="2892" t="s">
        <v>2346</v>
      </c>
      <c r="G93" s="2893"/>
      <c r="N93" s="2893"/>
      <c r="S93" s="2893"/>
    </row>
    <row r="94" spans="1:26" s="2892" customFormat="1">
      <c r="A94" s="2892" t="s">
        <v>2347</v>
      </c>
      <c r="G94" s="2893"/>
      <c r="I94" s="2894"/>
      <c r="J94" s="2894"/>
      <c r="K94" s="2894"/>
      <c r="L94" s="2894"/>
      <c r="N94" s="2895"/>
      <c r="O94" s="2894"/>
      <c r="P94" s="2894"/>
      <c r="Q94" s="2894"/>
      <c r="S94" s="2895"/>
      <c r="T94" s="2894"/>
      <c r="U94" s="2894"/>
      <c r="V94" s="2894"/>
    </row>
    <row r="95" spans="1:26" s="2892" customFormat="1">
      <c r="A95" s="2892" t="s">
        <v>2348</v>
      </c>
      <c r="G95" s="2893"/>
      <c r="N95" s="2893"/>
      <c r="S95" s="2893"/>
    </row>
    <row r="102" spans="7:22" ht="13.5" thickBot="1"/>
    <row r="103" spans="7:22">
      <c r="G103" s="2804"/>
      <c r="S103" s="2896" t="s">
        <v>2349</v>
      </c>
      <c r="T103" s="2897" t="s">
        <v>2350</v>
      </c>
      <c r="U103" s="2897" t="s">
        <v>2351</v>
      </c>
      <c r="V103" s="2897" t="s">
        <v>2352</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0" sqref="E20"/>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2639</v>
      </c>
      <c r="B1" s="3154"/>
      <c r="C1" s="3154"/>
      <c r="D1" s="3154"/>
      <c r="E1" s="3154"/>
      <c r="F1" s="3154"/>
      <c r="G1" s="3155"/>
      <c r="H1" s="3155"/>
      <c r="I1" s="3155"/>
      <c r="J1" s="3155"/>
      <c r="K1" s="3155"/>
      <c r="L1" s="3155"/>
      <c r="M1" s="3155"/>
      <c r="N1" s="3155"/>
    </row>
    <row r="2" spans="1:14" ht="14.25">
      <c r="A2" s="3160" t="s">
        <v>2634</v>
      </c>
      <c r="B2" s="3165">
        <f ca="1">SUMIF(B7:B14,"&lt;&gt;#ref!",B7:B14)</f>
        <v>0</v>
      </c>
      <c r="C2" s="3160" t="s">
        <v>2635</v>
      </c>
      <c r="D2" s="3157"/>
      <c r="E2" s="3157"/>
      <c r="F2" s="3157"/>
      <c r="G2" s="3155"/>
      <c r="H2" s="3155"/>
      <c r="I2" s="3155"/>
      <c r="J2" s="3155"/>
      <c r="K2" s="3155"/>
      <c r="L2" s="3155"/>
      <c r="M2" s="3155"/>
      <c r="N2" s="3155"/>
    </row>
    <row r="3" spans="1:14" ht="14.25">
      <c r="A3" s="3160" t="s">
        <v>2663</v>
      </c>
      <c r="B3" s="3165" t="e">
        <f ca="1">ROUND(B2*10000/E3,0)</f>
        <v>#DIV/0!</v>
      </c>
      <c r="C3" s="3160" t="s">
        <v>1867</v>
      </c>
      <c r="D3" s="3160" t="s">
        <v>2636</v>
      </c>
      <c r="E3" s="3158">
        <f ca="1">SUMIF(E7:E14,"&lt;&gt;#ref!",E7:E14)</f>
        <v>0</v>
      </c>
      <c r="F3" s="3157"/>
      <c r="G3" s="3155"/>
      <c r="H3" s="3155"/>
      <c r="I3" s="3155"/>
      <c r="J3" s="3155"/>
      <c r="K3" s="3155"/>
      <c r="L3" s="3155"/>
      <c r="M3" s="3155"/>
      <c r="N3" s="3155"/>
    </row>
    <row r="4" spans="1:14" ht="14.25">
      <c r="A4" s="3160" t="s">
        <v>2642</v>
      </c>
      <c r="B4" s="3165" t="e">
        <f ca="1">ROUND(B2*10000/E4,0)</f>
        <v>#DIV/0!</v>
      </c>
      <c r="C4" s="3160" t="s">
        <v>1867</v>
      </c>
      <c r="D4" s="3160" t="s">
        <v>2643</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2640</v>
      </c>
      <c r="B6" s="3160" t="s">
        <v>2637</v>
      </c>
      <c r="C6" s="2708"/>
      <c r="D6" s="3157"/>
      <c r="E6" s="3160" t="s">
        <v>2638</v>
      </c>
      <c r="F6" s="3160" t="s">
        <v>2641</v>
      </c>
      <c r="G6" s="3155"/>
      <c r="H6" s="3155"/>
      <c r="I6" s="3155"/>
      <c r="J6" s="3155"/>
      <c r="K6" s="3155"/>
      <c r="L6" s="3155"/>
      <c r="M6" s="3155"/>
      <c r="N6" s="3155"/>
    </row>
    <row r="7" spans="1:14" ht="14.25">
      <c r="A7" s="3163"/>
      <c r="B7" s="3165" t="e">
        <f ca="1">SUMIF(INDIRECT("'"&amp;A7&amp;"'"&amp;"!A:A"),"总价",INDIRECT("'"&amp;A7&amp;"'"&amp;"!B:B"))</f>
        <v>#REF!</v>
      </c>
      <c r="C7" s="3160" t="s">
        <v>2635</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2635</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2635</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2635</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2635</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2635</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2635</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2635</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北京辉煌凯盛旅游产业有限公司：</v>
      </c>
    </row>
    <row r="4" spans="1:4" ht="37.5">
      <c r="A4" s="1661" t="str">
        <f>"受贵公司委托，我公司对"&amp;项目基本情况!K2&amp;项目基本情况!B9&amp;"进行了预评估。"</f>
        <v>受贵公司委托，我公司对北京市北京市延庆区张山营镇水峪村D-03地块出让国有建设用地使用权抵押价格进行了预评估。</v>
      </c>
    </row>
    <row r="5" spans="1:4" ht="18.75">
      <c r="A5" s="1664" t="s">
        <v>1701</v>
      </c>
    </row>
    <row r="6" spans="1:4" ht="93.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辉煌凯盛旅游产业有限公司使用的、位于北京市北京市延庆区张山营镇水峪村D-03地块出让国有建设用地使用权。根据《不动产权证书》[]，估价对象（分摊）出让国有建设用地使用权面积为30101.08平方米。根据《建设工程规划许可证》[]，估价对象规划建筑面积为26725.12平方米。</v>
      </c>
    </row>
    <row r="7" spans="1:4" ht="56.25">
      <c r="A7" s="1665" t="s">
        <v>2461</v>
      </c>
    </row>
    <row r="8" spans="1:4" ht="18.75">
      <c r="A8" s="1664" t="s">
        <v>1702</v>
      </c>
    </row>
    <row r="9" spans="1:4" ht="56.25">
      <c r="A9" s="1666" t="str">
        <f>IF(项目基本情况!B8="抵押",IF(项目基本情况!B5=项目基本情况!B6,定义!C51,定义!B51),定义!D51)</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4" ht="18.75">
      <c r="A10" s="1667" t="s">
        <v>1815</v>
      </c>
    </row>
    <row r="11" spans="1:4" ht="18.75">
      <c r="A11" s="1650" t="str">
        <f>TEXT(项目基本情况!D3,"yyyy年m月d日;;")&amp;IF(项目基本情况!B3=项目基本情况!D3,"（评估专业人员勘察现场之日）","")</f>
        <v>2022年5月24日（评估专业人员勘察现场之日）</v>
      </c>
    </row>
    <row r="12" spans="1:4" ht="18.75">
      <c r="A12" s="1667" t="s">
        <v>1814</v>
      </c>
    </row>
    <row r="13" spans="1:4" ht="18.75">
      <c r="A13" s="1661" t="s">
        <v>2632</v>
      </c>
    </row>
    <row r="14" spans="1:4" ht="37.5">
      <c r="A14" s="1661" t="str">
        <f>"根据"&amp;项目基本情况!F12&amp;"，本次评估估价对象证载（地类）用途为"&amp;项目基本情况!B12&amp;"。"</f>
        <v>根据《不动产权证书》[]，本次评估估价对象证载（地类）用途为商业、办公、地下仓储。</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本次评估设定用途即为证载用途酒店。</v>
      </c>
      <c r="C15" s="1651"/>
      <c r="D15" s="1652"/>
    </row>
    <row r="16" spans="1:4" ht="18.75">
      <c r="A16" s="1661" t="s">
        <v>1861</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661" t="s">
        <v>1862</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根据《不动产权证书》[]，估价对象（分摊）出让国有建设用地使用权面积为30101.08平方米。根据《建设工程规划许可证》[]，估价对象规划建筑面积为26725.12平方米。</v>
      </c>
    </row>
    <row r="21" spans="1:1" ht="18.75">
      <c r="A21" s="1661" t="s">
        <v>1863</v>
      </c>
    </row>
    <row r="22" spans="1:1" ht="56.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本次估价对象为出让国有建设用地使用权，《不动产权证书》[]证载土地终止日期为商业2058年4月2日、办公2068年4月2日地下仓储2068年4月2日。截至估价期日，出让国有建设用地使用权剩余土地使用年限为。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1864</v>
      </c>
    </row>
    <row r="25" spans="1:1" ht="93.75">
      <c r="A25" s="1661" t="str">
        <f>定义!C53</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1" t="str">
        <f>IF(项目基本情况!B9="市场价格","——",IF(项目基本情况!E9="——","",定义!C57))</f>
        <v/>
      </c>
    </row>
    <row r="29" spans="1:1" ht="18.75">
      <c r="A29" s="1667" t="s">
        <v>1816</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1817</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2158</v>
      </c>
      <c r="F1" s="2197">
        <f ca="1">J54</f>
        <v>-3</v>
      </c>
      <c r="G1" s="747">
        <f>MATCH(C1,'数据-取费表'!A6:A16,0)+5</f>
        <v>7</v>
      </c>
      <c r="H1" s="1259"/>
      <c r="I1" s="1888"/>
      <c r="J1" s="1888"/>
      <c r="K1" s="1889"/>
      <c r="L1" s="1888"/>
      <c r="M1" s="1888"/>
      <c r="N1" s="1890"/>
      <c r="O1" s="1890"/>
      <c r="P1" s="1890"/>
      <c r="Q1" s="1890"/>
      <c r="R1" s="1890"/>
      <c r="S1" s="1890"/>
      <c r="T1" s="1890"/>
      <c r="U1" s="1890"/>
      <c r="V1" s="1890"/>
      <c r="W1" s="1890"/>
      <c r="X1" s="1890"/>
      <c r="Y1" s="1890"/>
    </row>
    <row r="2" spans="1:25" ht="18" customHeight="1">
      <c r="A2" s="1528" t="s">
        <v>611</v>
      </c>
      <c r="B2" s="748">
        <f ca="1">IF(ISERROR(C45+J31),0,C45+J31)</f>
        <v>0</v>
      </c>
      <c r="C2" s="1260"/>
      <c r="D2" s="1892"/>
      <c r="E2" s="1893"/>
      <c r="F2" s="1893"/>
      <c r="G2" s="1481"/>
      <c r="H2" s="1272"/>
      <c r="I2" s="1894"/>
      <c r="J2" s="1894"/>
      <c r="K2" s="1895"/>
      <c r="L2" s="1894"/>
      <c r="M2" s="1894"/>
    </row>
    <row r="3" spans="1:25" ht="18" customHeight="1">
      <c r="A3" s="1529" t="s">
        <v>1486</v>
      </c>
      <c r="B3" s="1296">
        <f ca="1">ROUND(B2*10000/'数据-汇总表'!E3,0)</f>
        <v>0</v>
      </c>
      <c r="C3" s="1260"/>
      <c r="D3" s="1892"/>
      <c r="E3" s="1893"/>
      <c r="F3" s="1893"/>
      <c r="G3" s="1481"/>
      <c r="H3" s="749" t="s">
        <v>677</v>
      </c>
      <c r="I3" s="1894"/>
      <c r="J3" s="1894"/>
      <c r="K3" s="1895"/>
      <c r="L3" s="1894"/>
      <c r="M3" s="1894"/>
    </row>
    <row r="4" spans="1:25" ht="18" customHeight="1">
      <c r="A4" s="1530" t="s">
        <v>678</v>
      </c>
      <c r="B4" s="1261">
        <f ca="1">ROUND(B2*10000/'数据-汇总表'!D3,0)</f>
        <v>0</v>
      </c>
      <c r="C4" s="422"/>
      <c r="D4" s="1892"/>
      <c r="E4" s="1893"/>
      <c r="F4" s="1893"/>
      <c r="G4" s="1481"/>
      <c r="H4" s="749"/>
      <c r="I4" s="1894"/>
      <c r="J4" s="1894"/>
      <c r="K4" s="1895"/>
      <c r="L4" s="1894"/>
      <c r="M4" s="1894"/>
    </row>
    <row r="5" spans="1:25" ht="18" customHeight="1" thickBot="1">
      <c r="A5" s="1531"/>
      <c r="B5" s="424">
        <f ca="1">ROUND(B2/('数据-汇总表'!D3/666.67),0)</f>
        <v>0</v>
      </c>
      <c r="C5" s="425" t="s">
        <v>679</v>
      </c>
      <c r="D5" s="1892"/>
      <c r="E5" s="1893"/>
      <c r="F5" s="1893"/>
      <c r="G5" s="1481"/>
      <c r="H5" s="749"/>
      <c r="I5" s="1894"/>
      <c r="J5" s="1894"/>
      <c r="K5" s="1895"/>
      <c r="L5" s="1894"/>
      <c r="M5" s="1894"/>
    </row>
    <row r="6" spans="1:25" ht="18" customHeight="1">
      <c r="A6" s="1698" t="s">
        <v>680</v>
      </c>
      <c r="B6" s="1690" t="s">
        <v>681</v>
      </c>
      <c r="C6" s="1690" t="s">
        <v>614</v>
      </c>
      <c r="D6" s="1690" t="s">
        <v>615</v>
      </c>
      <c r="E6" s="752" t="s">
        <v>616</v>
      </c>
      <c r="F6" s="753"/>
      <c r="G6" s="1483"/>
      <c r="H6" s="1698" t="s">
        <v>612</v>
      </c>
      <c r="I6" s="1690" t="s">
        <v>613</v>
      </c>
      <c r="J6" s="1690" t="s">
        <v>614</v>
      </c>
      <c r="K6" s="1690" t="s">
        <v>615</v>
      </c>
      <c r="L6" s="752" t="s">
        <v>616</v>
      </c>
      <c r="M6" s="753"/>
    </row>
    <row r="7" spans="1:25" ht="18" customHeight="1">
      <c r="A7" s="754">
        <v>1</v>
      </c>
      <c r="B7" s="755" t="s">
        <v>2234</v>
      </c>
      <c r="C7" s="53">
        <f ca="1">C8+C12+C14</f>
        <v>0</v>
      </c>
      <c r="D7" s="2301" t="s">
        <v>2237</v>
      </c>
      <c r="E7" s="2295"/>
      <c r="F7" s="2296"/>
      <c r="G7" s="1483"/>
      <c r="H7" s="754">
        <v>1</v>
      </c>
      <c r="I7" s="755" t="s">
        <v>2234</v>
      </c>
      <c r="J7" s="53">
        <f ca="1">J8+J12+J14</f>
        <v>0</v>
      </c>
      <c r="K7" s="2301" t="s">
        <v>2237</v>
      </c>
      <c r="L7" s="2295"/>
      <c r="M7" s="2296"/>
    </row>
    <row r="8" spans="1:25" ht="18" customHeight="1">
      <c r="A8" s="1700" t="s">
        <v>1624</v>
      </c>
      <c r="B8" s="3820" t="s">
        <v>2239</v>
      </c>
      <c r="C8" s="1695">
        <f ca="1">ROUND(F8*F10*F9*(1-F11)/10000,0)</f>
        <v>0</v>
      </c>
      <c r="D8" s="1692" t="s">
        <v>2249</v>
      </c>
      <c r="E8" s="61" t="s">
        <v>619</v>
      </c>
      <c r="F8" s="758">
        <f ca="1">INDIRECT("'数据-取费表'!u"&amp;$G$1)</f>
        <v>0</v>
      </c>
      <c r="G8" s="1483"/>
      <c r="H8" s="2309" t="s">
        <v>1624</v>
      </c>
      <c r="I8" s="3820" t="s">
        <v>2239</v>
      </c>
      <c r="J8" s="756">
        <f ca="1">ROUND(M8*M10*M9*(1-M11)/10000,0)</f>
        <v>0</v>
      </c>
      <c r="K8" s="339" t="s">
        <v>2249</v>
      </c>
      <c r="L8" s="757" t="s">
        <v>1538</v>
      </c>
      <c r="M8" s="758">
        <f ca="1">INDIRECT("'数据-取费表'!z"&amp;$G$1)</f>
        <v>0</v>
      </c>
    </row>
    <row r="9" spans="1:25" ht="18" customHeight="1">
      <c r="A9" s="2305"/>
      <c r="B9" s="3821"/>
      <c r="C9" s="1696"/>
      <c r="D9" s="1693"/>
      <c r="E9" s="61" t="s">
        <v>620</v>
      </c>
      <c r="F9" s="758">
        <f ca="1">IF(INDIRECT("'数据-取费表'!ah"&amp;$G$1)="",INDIRECT("'数据-取费表'!k"&amp;$G$1),INDIRECT("'数据-取费表'!ah"&amp;$G$1))</f>
        <v>0</v>
      </c>
      <c r="G9" s="1483"/>
      <c r="H9" s="2294"/>
      <c r="I9" s="3821"/>
      <c r="J9" s="761"/>
      <c r="K9" s="762"/>
      <c r="L9" s="757" t="s">
        <v>1539</v>
      </c>
      <c r="M9" s="758">
        <f ca="1">F9</f>
        <v>0</v>
      </c>
    </row>
    <row r="10" spans="1:25" ht="18" customHeight="1">
      <c r="A10" s="2298"/>
      <c r="B10" s="3822"/>
      <c r="C10" s="1696"/>
      <c r="D10" s="1693"/>
      <c r="E10" s="61" t="s">
        <v>621</v>
      </c>
      <c r="F10" s="758">
        <f ca="1">INDIRECT("'数据-取费表'!ai"&amp;$G$1)</f>
        <v>0</v>
      </c>
      <c r="G10" s="1483"/>
      <c r="H10" s="2294"/>
      <c r="I10" s="3822"/>
      <c r="J10" s="761"/>
      <c r="K10" s="762"/>
      <c r="L10" s="757" t="s">
        <v>1540</v>
      </c>
      <c r="M10" s="758">
        <f ca="1">INDIRECT("'数据-取费表'!ai"&amp;$G$1)</f>
        <v>0</v>
      </c>
    </row>
    <row r="11" spans="1:25" ht="18" customHeight="1">
      <c r="A11" s="759"/>
      <c r="B11" s="3823"/>
      <c r="C11" s="1696"/>
      <c r="D11" s="1693"/>
      <c r="E11" s="61" t="s">
        <v>622</v>
      </c>
      <c r="F11" s="767">
        <f ca="1">INDIRECT("'数据-取费表'!w"&amp;$G$1)</f>
        <v>0</v>
      </c>
      <c r="G11" s="1483"/>
      <c r="H11" s="2310"/>
      <c r="I11" s="3822"/>
      <c r="J11" s="761"/>
      <c r="K11" s="762"/>
      <c r="L11" s="768" t="s">
        <v>1541</v>
      </c>
      <c r="M11" s="769">
        <f ca="1">INDIRECT("'数据-取费表'!ab"&amp;$G$1)</f>
        <v>0</v>
      </c>
    </row>
    <row r="12" spans="1:25" ht="18" customHeight="1">
      <c r="A12" s="1700" t="s">
        <v>1625</v>
      </c>
      <c r="B12" s="2299" t="s">
        <v>2235</v>
      </c>
      <c r="C12" s="772">
        <f ca="1">ROUND(IF(F12="押一",C8/12*F13,IF(F12="押二",C8/12*2*F13,IF(F12="押三",C8/12*3*F13,C13*F13))),0)</f>
        <v>0</v>
      </c>
      <c r="D12" s="2306" t="s">
        <v>2660</v>
      </c>
      <c r="E12" s="2303" t="s">
        <v>2240</v>
      </c>
      <c r="F12" s="2387"/>
      <c r="G12" s="1483"/>
      <c r="H12" s="2337" t="s">
        <v>1625</v>
      </c>
      <c r="I12" s="2342" t="s">
        <v>2235</v>
      </c>
      <c r="J12" s="756">
        <f ca="1">ROUND(IF(M12="押一",J8/12*M13,IF(M12="押二",J8/12*2*M13,IF(M12="押三",J8/12*3*M13,J13*M13))),0)</f>
        <v>0</v>
      </c>
      <c r="K12" s="2306" t="s">
        <v>2660</v>
      </c>
      <c r="L12" s="2303" t="s">
        <v>2240</v>
      </c>
      <c r="M12" s="2387"/>
    </row>
    <row r="13" spans="1:25" ht="18" customHeight="1">
      <c r="A13" s="763"/>
      <c r="B13" s="2300" t="s">
        <v>2288</v>
      </c>
      <c r="C13" s="2304"/>
      <c r="D13" s="762"/>
      <c r="E13" s="2303" t="s">
        <v>2233</v>
      </c>
      <c r="F13" s="769">
        <f ca="1">'数据-取费表'!B39</f>
        <v>1.4999999999999999E-2</v>
      </c>
      <c r="G13" s="1483"/>
      <c r="H13" s="2338"/>
      <c r="I13" s="2300" t="s">
        <v>2288</v>
      </c>
      <c r="J13" s="2304"/>
      <c r="K13" s="2339"/>
      <c r="L13" s="2303" t="s">
        <v>2233</v>
      </c>
      <c r="M13" s="2297">
        <f ca="1">'数据-取费表'!B39</f>
        <v>1.4999999999999999E-2</v>
      </c>
    </row>
    <row r="14" spans="1:25" ht="18" customHeight="1" thickBot="1">
      <c r="A14" s="2313" t="s">
        <v>2243</v>
      </c>
      <c r="B14" s="2314" t="s">
        <v>2236</v>
      </c>
      <c r="C14" s="2315"/>
      <c r="D14" s="2316"/>
      <c r="E14" s="2317"/>
      <c r="F14" s="2318"/>
      <c r="G14" s="1483"/>
      <c r="H14" s="2327" t="s">
        <v>2243</v>
      </c>
      <c r="I14" s="2340" t="s">
        <v>2236</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3"/>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3"/>
      <c r="H16" s="776" t="s">
        <v>1858</v>
      </c>
      <c r="I16" s="2065" t="s">
        <v>2538</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0.1</v>
      </c>
      <c r="G17" s="1484"/>
      <c r="H17" s="776" t="s">
        <v>1859</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800</v>
      </c>
      <c r="G19" s="1484"/>
      <c r="H19" s="776" t="s">
        <v>1858</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3"/>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0.03</v>
      </c>
      <c r="G22" s="1484"/>
      <c r="H22" s="1702" t="s">
        <v>1650</v>
      </c>
      <c r="I22" s="1692" t="s">
        <v>650</v>
      </c>
      <c r="J22" s="54">
        <f ca="1">ROUND(M22*M23/10000,0)</f>
        <v>0</v>
      </c>
      <c r="K22" s="786" t="s">
        <v>651</v>
      </c>
      <c r="L22" s="757" t="s">
        <v>652</v>
      </c>
      <c r="M22" s="615">
        <f>'数据-取费表'!B52</f>
        <v>1.5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0.03</v>
      </c>
      <c r="G23" s="1484"/>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3"/>
      <c r="H24" s="1701" t="s">
        <v>1859</v>
      </c>
      <c r="I24" s="757" t="s">
        <v>658</v>
      </c>
      <c r="J24" s="53">
        <f ca="1">ROUND(J16*M24,0)</f>
        <v>0</v>
      </c>
      <c r="K24" s="1845" t="s">
        <v>659</v>
      </c>
      <c r="L24" s="757" t="s">
        <v>631</v>
      </c>
      <c r="M24" s="789">
        <f ca="1">INDIRECT("'数据-取费表'!Ak"&amp;$G$1)</f>
        <v>0</v>
      </c>
    </row>
    <row r="25" spans="1:25" s="1901" customFormat="1" ht="18" customHeight="1">
      <c r="A25" s="776" t="s">
        <v>1671</v>
      </c>
      <c r="B25" s="757" t="s">
        <v>2216</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3</v>
      </c>
      <c r="G25" s="1484"/>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1.9E-3</v>
      </c>
      <c r="D26" s="2345" t="str">
        <f>IF(F25&lt;=1,"销售费用×利率×(建设周期÷2)","销售费用×((1+利率)^(建设周期÷2)-1)")</f>
        <v>销售费用×((1+利率)^(建设周期÷2)-1)</v>
      </c>
      <c r="E26" s="757" t="s">
        <v>664</v>
      </c>
      <c r="F26" s="791">
        <f ca="1">'数据-取费表'!B40</f>
        <v>4.2000000000000003E-2</v>
      </c>
      <c r="G26" s="1484"/>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3"/>
      <c r="H27" s="770" t="s">
        <v>1628</v>
      </c>
      <c r="I27" s="2645" t="s">
        <v>2535</v>
      </c>
      <c r="J27" s="772">
        <f ca="1">J7-J18</f>
        <v>0</v>
      </c>
      <c r="K27" s="1847" t="s">
        <v>682</v>
      </c>
      <c r="L27" s="1849"/>
      <c r="M27" s="792"/>
    </row>
    <row r="28" spans="1:25" ht="18" customHeight="1">
      <c r="A28" s="776" t="s">
        <v>1671</v>
      </c>
      <c r="B28" s="757" t="s">
        <v>2217</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5.2400000000000002E-2</v>
      </c>
      <c r="D30" s="784" t="s">
        <v>691</v>
      </c>
      <c r="E30" s="757" t="s">
        <v>631</v>
      </c>
      <c r="F30" s="782">
        <f>'数据-取费表'!B41</f>
        <v>5.5000000000000007E-2</v>
      </c>
      <c r="G30" s="1484"/>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2536</v>
      </c>
      <c r="C31" s="2320">
        <f ca="1">ROUND((C21+C22+C25+C28)/(1-F23-C26-C29-C30),0)</f>
        <v>0</v>
      </c>
      <c r="D31" s="2321"/>
      <c r="E31" s="2322"/>
      <c r="F31" s="2323"/>
      <c r="G31" s="1484"/>
      <c r="H31" s="795" t="s">
        <v>1668</v>
      </c>
      <c r="I31" s="2646" t="s">
        <v>2537</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2714</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1.5</v>
      </c>
      <c r="G36" s="1899"/>
      <c r="H36" s="1902"/>
      <c r="I36" s="3819"/>
      <c r="J36" s="1916"/>
      <c r="K36" s="1917"/>
      <c r="L36" s="1916"/>
      <c r="M36" s="1916"/>
    </row>
    <row r="37" spans="1:18" ht="18" customHeight="1">
      <c r="A37" s="787"/>
      <c r="B37" s="766"/>
      <c r="C37" s="69"/>
      <c r="D37" s="788"/>
      <c r="E37" s="757" t="s">
        <v>656</v>
      </c>
      <c r="F37" s="758">
        <f ca="1">INDIRECT("'数据-取费表'!r"&amp;$G$1)</f>
        <v>0</v>
      </c>
      <c r="G37" s="1899"/>
      <c r="H37" s="1902"/>
      <c r="I37" s="3819"/>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2"/>
      <c r="D41" s="1263"/>
      <c r="E41" s="1263"/>
      <c r="F41" s="1264"/>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5" t="s">
        <v>694</v>
      </c>
      <c r="E43" s="2713" t="s">
        <v>2650</v>
      </c>
      <c r="F43" s="2714">
        <f ca="1">INDIRECT("'数据-取费表'!j"&amp;$G$1)</f>
        <v>0</v>
      </c>
      <c r="G43" s="1899"/>
      <c r="H43" s="1899"/>
      <c r="I43" s="1899"/>
      <c r="J43" s="1899"/>
      <c r="K43" s="1919"/>
      <c r="L43" s="1899"/>
      <c r="M43" s="1899"/>
    </row>
    <row r="44" spans="1:18" ht="18" customHeight="1">
      <c r="A44" s="776" t="s">
        <v>1674</v>
      </c>
      <c r="B44" s="807" t="s">
        <v>695</v>
      </c>
      <c r="C44" s="1266">
        <f ca="1">C42-C43</f>
        <v>0</v>
      </c>
      <c r="D44" s="456" t="s">
        <v>696</v>
      </c>
      <c r="E44" s="457"/>
      <c r="F44" s="458"/>
      <c r="G44" s="1899"/>
      <c r="H44" s="1899"/>
      <c r="I44" s="1899"/>
      <c r="J44" s="1899"/>
      <c r="K44" s="1919"/>
      <c r="L44" s="1899"/>
      <c r="M44" s="1899"/>
    </row>
    <row r="45" spans="1:18" ht="18" customHeight="1">
      <c r="A45" s="776" t="s">
        <v>1675</v>
      </c>
      <c r="B45" s="1265" t="s">
        <v>697</v>
      </c>
      <c r="C45" s="2670">
        <f ca="1">ROUND(-PV(F45,F46,C44,0),0)</f>
        <v>0</v>
      </c>
      <c r="D45" s="1267" t="s">
        <v>698</v>
      </c>
      <c r="E45" s="779" t="s">
        <v>699</v>
      </c>
      <c r="F45" s="802">
        <f ca="1">INDIRECT("'数据-取费表'!h"&amp;$G$1)</f>
        <v>0</v>
      </c>
      <c r="G45" s="1899"/>
      <c r="H45" s="1899"/>
      <c r="I45" s="1899"/>
      <c r="J45" s="1899"/>
      <c r="K45" s="1919"/>
      <c r="L45" s="1899"/>
      <c r="M45" s="1899"/>
    </row>
    <row r="46" spans="1:18" ht="18" customHeight="1" thickBot="1">
      <c r="A46" s="803"/>
      <c r="B46" s="1268"/>
      <c r="C46" s="1269"/>
      <c r="D46" s="1270"/>
      <c r="E46" s="2715" t="s">
        <v>2653</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2127</v>
      </c>
      <c r="J47" s="2188"/>
      <c r="K47" s="2189"/>
      <c r="L47" s="2729" t="str">
        <f ca="1">IF(M48="住宅",0,IF(L49&gt;J52,L61,J61))</f>
        <v>0</v>
      </c>
      <c r="O47" s="2203" t="s">
        <v>2194</v>
      </c>
      <c r="P47" s="1483"/>
      <c r="Q47" s="1491"/>
      <c r="R47" s="1483"/>
    </row>
    <row r="48" spans="1:18" s="1896" customFormat="1" ht="18" customHeight="1" thickBot="1">
      <c r="A48" s="1920"/>
      <c r="C48" s="1923"/>
      <c r="D48" s="1924"/>
      <c r="E48" s="1924"/>
      <c r="F48" s="1925"/>
      <c r="G48" s="1926"/>
      <c r="I48" s="2720" t="s">
        <v>2128</v>
      </c>
      <c r="J48" s="2190"/>
      <c r="K48" s="2726" t="s">
        <v>2133</v>
      </c>
      <c r="L48" s="2730">
        <f ca="1">INDIRECT("'数据-取费表'!d"&amp;$G$1)</f>
        <v>0</v>
      </c>
      <c r="M48" s="2712" t="str">
        <f>IF(ISNUMBER(FIND("住宅",C1)),"住宅","非住宅")</f>
        <v>非住宅</v>
      </c>
      <c r="O48" s="2204" t="s">
        <v>2159</v>
      </c>
      <c r="P48" s="2205" t="s">
        <v>2160</v>
      </c>
      <c r="Q48" s="2206" t="s">
        <v>2161</v>
      </c>
      <c r="R48" s="2205" t="s">
        <v>2162</v>
      </c>
    </row>
    <row r="49" spans="1:18" s="1896" customFormat="1" ht="18" customHeight="1" thickBot="1">
      <c r="A49" s="1920"/>
      <c r="D49" s="1927"/>
      <c r="E49" s="1928"/>
      <c r="F49" s="1925"/>
      <c r="G49" s="1926"/>
      <c r="H49" s="1929"/>
      <c r="I49" s="2717" t="s">
        <v>2129</v>
      </c>
      <c r="J49" s="2191"/>
      <c r="K49" s="2727" t="s">
        <v>2135</v>
      </c>
      <c r="L49" s="1777">
        <f ca="1">INDIRECT("'数据-取费表'!f"&amp;$G$1)</f>
        <v>0</v>
      </c>
      <c r="O49" s="2207" t="s">
        <v>2163</v>
      </c>
      <c r="P49" s="2208" t="s">
        <v>2189</v>
      </c>
      <c r="Q49" s="2209">
        <f ca="1">C41+J31</f>
        <v>0</v>
      </c>
      <c r="R49" s="2208" t="s">
        <v>2164</v>
      </c>
    </row>
    <row r="50" spans="1:18" s="1896" customFormat="1" ht="18" customHeight="1" thickBot="1">
      <c r="A50" s="1920"/>
      <c r="D50" s="1930"/>
      <c r="E50" s="1930"/>
      <c r="F50" s="1924"/>
      <c r="G50" s="1931"/>
      <c r="H50" s="1929"/>
      <c r="I50" s="2717" t="s">
        <v>2130</v>
      </c>
      <c r="J50" s="2192"/>
      <c r="K50" s="2728" t="s">
        <v>2136</v>
      </c>
      <c r="L50" s="2193"/>
      <c r="O50" s="2207" t="s">
        <v>2165</v>
      </c>
      <c r="P50" s="2208" t="s">
        <v>2190</v>
      </c>
      <c r="Q50" s="2209" t="str">
        <f ca="1">J61</f>
        <v>0</v>
      </c>
      <c r="R50" s="2208" t="s">
        <v>2166</v>
      </c>
    </row>
    <row r="51" spans="1:18" s="1896" customFormat="1" ht="18" customHeight="1" thickBot="1">
      <c r="A51" s="1932"/>
      <c r="D51" s="1930"/>
      <c r="E51" s="1930"/>
      <c r="F51" s="1921"/>
      <c r="H51" s="1929"/>
      <c r="I51" s="2717" t="s">
        <v>2131</v>
      </c>
      <c r="J51" s="2724">
        <f>SUMPRODUCT((I64:I66=J48)*(J63:L63=J49)*(J64:L66))</f>
        <v>0</v>
      </c>
      <c r="K51" s="2728" t="s">
        <v>2137</v>
      </c>
      <c r="L51" s="2193"/>
      <c r="O51" s="2210" t="s">
        <v>2167</v>
      </c>
      <c r="P51" s="2208" t="s">
        <v>2191</v>
      </c>
      <c r="Q51" s="2209">
        <f ca="1">C31</f>
        <v>0</v>
      </c>
      <c r="R51" s="2208" t="s">
        <v>2164</v>
      </c>
    </row>
    <row r="52" spans="1:18" s="1896" customFormat="1" ht="18" customHeight="1" thickBot="1">
      <c r="A52" s="1932"/>
      <c r="F52" s="1921"/>
      <c r="I52" s="2721" t="s">
        <v>2132</v>
      </c>
      <c r="J52" s="2725">
        <f>IF(J50="",J51,J50+J51-YEAR('数据-取费表'!B3))</f>
        <v>0</v>
      </c>
      <c r="K52" s="2717" t="s">
        <v>2138</v>
      </c>
      <c r="L52" s="2731">
        <f ca="1">C45</f>
        <v>0</v>
      </c>
      <c r="O52" s="2210" t="s">
        <v>2168</v>
      </c>
      <c r="P52" s="2208" t="s">
        <v>2169</v>
      </c>
      <c r="Q52" s="2211" t="e">
        <f ca="1">J59</f>
        <v>#VALUE!</v>
      </c>
      <c r="R52" s="2212"/>
    </row>
    <row r="53" spans="1:18" s="1896" customFormat="1" ht="18" customHeight="1" thickBot="1">
      <c r="A53" s="1932"/>
      <c r="F53" s="1921"/>
      <c r="I53" s="2722" t="s">
        <v>2205</v>
      </c>
      <c r="J53" s="2194"/>
      <c r="K53" s="2722" t="s">
        <v>2204</v>
      </c>
      <c r="L53" s="2194"/>
      <c r="O53" s="2210" t="s">
        <v>2170</v>
      </c>
      <c r="P53" s="2208" t="s">
        <v>2171</v>
      </c>
      <c r="Q53" s="2211">
        <f>J53</f>
        <v>0</v>
      </c>
      <c r="R53" s="2212"/>
    </row>
    <row r="54" spans="1:18" s="1896" customFormat="1" ht="29.25" thickBot="1">
      <c r="A54" s="1932"/>
      <c r="I54" s="2723" t="s">
        <v>2664</v>
      </c>
      <c r="J54" s="2776">
        <f ca="1">IF(M48="住宅",MAX(J52,L49-'数据-取费表'!B20),MIN(J52,L49-'数据-取费表'!B20))</f>
        <v>-3</v>
      </c>
      <c r="K54" s="3824"/>
      <c r="L54" s="3825"/>
      <c r="O54" s="2210" t="s">
        <v>2172</v>
      </c>
      <c r="P54" s="2208" t="s">
        <v>2173</v>
      </c>
      <c r="Q54" s="2209">
        <f ca="1">J54</f>
        <v>-3</v>
      </c>
      <c r="R54" s="2208" t="s">
        <v>2174</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2175</v>
      </c>
      <c r="P55" s="2208" t="s">
        <v>2192</v>
      </c>
      <c r="Q55" s="2209">
        <f ca="1">Q49+Q50</f>
        <v>0</v>
      </c>
      <c r="R55" s="2212" t="s">
        <v>2176</v>
      </c>
    </row>
    <row r="56" spans="1:18" s="1896" customFormat="1" ht="16.5" thickBot="1">
      <c r="A56" s="1932"/>
      <c r="B56" s="1933"/>
      <c r="C56" s="1933"/>
      <c r="I56" s="2734" t="s">
        <v>2139</v>
      </c>
      <c r="J56" s="2706" t="e">
        <f ca="1">ROUND(IF(J48="钢混",J58/J51,1-(1-2%)*(J51-J58)/J51),3)</f>
        <v>#VALUE!</v>
      </c>
      <c r="K56" s="2735" t="s">
        <v>2140</v>
      </c>
      <c r="L56" s="2195"/>
      <c r="O56" s="2213" t="s">
        <v>2195</v>
      </c>
      <c r="P56" s="1483"/>
      <c r="Q56" s="1491"/>
      <c r="R56" s="1483"/>
    </row>
    <row r="57" spans="1:18" s="1896" customFormat="1" ht="43.5" thickBot="1">
      <c r="A57" s="1932"/>
      <c r="B57" s="1933"/>
      <c r="C57" s="1933"/>
      <c r="I57" s="2736" t="s">
        <v>2141</v>
      </c>
      <c r="J57" s="2746" t="s">
        <v>1478</v>
      </c>
      <c r="K57" s="2717" t="s">
        <v>2146</v>
      </c>
      <c r="L57" s="1777">
        <f ca="1">IF(L49&lt;J52,"——",L49-J52)</f>
        <v>0</v>
      </c>
      <c r="O57" s="2204" t="s">
        <v>2159</v>
      </c>
      <c r="P57" s="2205" t="s">
        <v>2160</v>
      </c>
      <c r="Q57" s="2206" t="s">
        <v>2161</v>
      </c>
      <c r="R57" s="2205" t="s">
        <v>2162</v>
      </c>
    </row>
    <row r="58" spans="1:18" s="1896" customFormat="1" ht="29.25" thickBot="1">
      <c r="A58" s="1932"/>
      <c r="B58" s="1933"/>
      <c r="C58" s="1933"/>
      <c r="I58" s="2737" t="s">
        <v>2142</v>
      </c>
      <c r="J58" s="2738" t="str">
        <f ca="1">IF(OR(M48="住宅",J52&lt;L49,J57="是"),"——",J52-L49)</f>
        <v>——</v>
      </c>
      <c r="K58" s="2717" t="s">
        <v>2147</v>
      </c>
      <c r="L58" s="1777">
        <f ca="1">IF(L49&lt;J52,"——",IF(L56="比较法",L50,IF(L56="基准地价",L51,L52)))</f>
        <v>0</v>
      </c>
      <c r="O58" s="2207" t="s">
        <v>2163</v>
      </c>
      <c r="P58" s="2208" t="s">
        <v>2189</v>
      </c>
      <c r="Q58" s="2209">
        <f ca="1">C41+J31</f>
        <v>0</v>
      </c>
      <c r="R58" s="2208" t="s">
        <v>2164</v>
      </c>
    </row>
    <row r="59" spans="1:18" s="1896" customFormat="1" ht="29.25" thickBot="1">
      <c r="A59" s="1932"/>
      <c r="B59" s="1933"/>
      <c r="C59" s="1933"/>
      <c r="I59" s="2737" t="s">
        <v>2143</v>
      </c>
      <c r="J59" s="2707" t="e">
        <f ca="1">IF(J56&lt;0.4,0.4,J56)</f>
        <v>#VALUE!</v>
      </c>
      <c r="K59" s="2717" t="s">
        <v>2148</v>
      </c>
      <c r="L59" s="1777">
        <f ca="1">IF(ISERROR(POWER(1+L53,L48-L49)*(POWER(1+L53,L49)-1)/(POWER(1+L53,L48)-1)),0,POWER(1+L53,L48-L49)*(POWER(1+L53,L49)-1)/(POWER(1+L53,L48)-1))</f>
        <v>0</v>
      </c>
      <c r="O59" s="2207" t="s">
        <v>2165</v>
      </c>
      <c r="P59" s="2208" t="s">
        <v>2196</v>
      </c>
      <c r="Q59" s="2209" t="e">
        <f ca="1">L61</f>
        <v>#DIV/0!</v>
      </c>
      <c r="R59" s="2212" t="s">
        <v>2198</v>
      </c>
    </row>
    <row r="60" spans="1:18" s="1896" customFormat="1" ht="29.25" thickBot="1">
      <c r="A60" s="1932"/>
      <c r="B60" s="1933"/>
      <c r="C60" s="1933"/>
      <c r="I60" s="2737" t="s">
        <v>2144</v>
      </c>
      <c r="J60" s="2738" t="str">
        <f ca="1">IF(OR(M48="住宅",J52&lt;L49,J57="是"),"——",ROUND(C30*J59,0))</f>
        <v>——</v>
      </c>
      <c r="K60" s="2717" t="s">
        <v>2149</v>
      </c>
      <c r="L60" s="1777">
        <f ca="1">IF(ISERROR(POWER(1+L53,L48-J52)*(POWER(1+L53,J52)-1)/(POWER(1+L53,L48)-1)),0,POWER(1+L53,L48-J52)*(POWER(1+L53,J52)-1)/(POWER(1+L53,L48)-1))</f>
        <v>0</v>
      </c>
      <c r="O60" s="2210" t="s">
        <v>2167</v>
      </c>
      <c r="P60" s="2208" t="s">
        <v>2197</v>
      </c>
      <c r="Q60" s="2209">
        <f>IF(L56="比较法",L50,IF(L56="基准地价",L51,0))</f>
        <v>0</v>
      </c>
      <c r="R60" s="2208" t="s">
        <v>2164</v>
      </c>
    </row>
    <row r="61" spans="1:18" s="1896" customFormat="1" ht="15.75" thickBot="1">
      <c r="A61" s="1932"/>
      <c r="B61" s="1933"/>
      <c r="C61" s="1933"/>
      <c r="I61" s="2739" t="s">
        <v>2145</v>
      </c>
      <c r="J61" s="2740" t="str">
        <f ca="1">IF(OR(M48="住宅",J52&lt;L49,J57="是"),"0",ROUND(J60/(1+J53)^J54,0))</f>
        <v>0</v>
      </c>
      <c r="K61" s="2741" t="s">
        <v>2150</v>
      </c>
      <c r="L61" s="2740" t="e">
        <f ca="1">IF(OR(M48="住宅",L49&lt;J52),0,ROUND(L58*(L59/L60-1),0))</f>
        <v>#DIV/0!</v>
      </c>
      <c r="O61" s="2210" t="s">
        <v>2168</v>
      </c>
      <c r="P61" s="2208" t="s">
        <v>2177</v>
      </c>
      <c r="Q61" s="2211">
        <f>L53</f>
        <v>0</v>
      </c>
      <c r="R61" s="2212"/>
    </row>
    <row r="62" spans="1:18" s="1896" customFormat="1" ht="20.25" thickBot="1">
      <c r="A62" s="1932"/>
      <c r="B62" s="1933"/>
      <c r="C62" s="1933"/>
      <c r="K62" s="1922"/>
      <c r="O62" s="2210" t="s">
        <v>2170</v>
      </c>
      <c r="P62" s="2208" t="s">
        <v>2178</v>
      </c>
      <c r="Q62" s="2209">
        <f ca="1">L59</f>
        <v>0</v>
      </c>
      <c r="R62" s="2212" t="s">
        <v>2179</v>
      </c>
    </row>
    <row r="63" spans="1:18" s="1896" customFormat="1" ht="20.25" thickBot="1">
      <c r="A63" s="1932"/>
      <c r="B63" s="1933"/>
      <c r="C63" s="1933"/>
      <c r="I63" s="2742" t="s">
        <v>2151</v>
      </c>
      <c r="J63" s="2743" t="s">
        <v>2152</v>
      </c>
      <c r="K63" s="2743" t="s">
        <v>2153</v>
      </c>
      <c r="L63" s="2743" t="s">
        <v>2134</v>
      </c>
      <c r="M63" s="2744" t="s">
        <v>2633</v>
      </c>
      <c r="O63" s="2210" t="s">
        <v>2172</v>
      </c>
      <c r="P63" s="2208" t="s">
        <v>2180</v>
      </c>
      <c r="Q63" s="2209">
        <f ca="1">L60</f>
        <v>0</v>
      </c>
      <c r="R63" s="2212" t="s">
        <v>2181</v>
      </c>
    </row>
    <row r="64" spans="1:18" s="1896" customFormat="1" ht="15.75" thickBot="1">
      <c r="A64" s="1932"/>
      <c r="B64" s="1933"/>
      <c r="C64" s="1933"/>
      <c r="I64" s="2742" t="s">
        <v>2154</v>
      </c>
      <c r="J64" s="2743">
        <v>70</v>
      </c>
      <c r="K64" s="2743">
        <v>50</v>
      </c>
      <c r="L64" s="2743">
        <v>80</v>
      </c>
      <c r="M64" s="2745">
        <v>0.02</v>
      </c>
      <c r="O64" s="2207" t="s">
        <v>2175</v>
      </c>
      <c r="P64" s="2208" t="s">
        <v>2192</v>
      </c>
      <c r="Q64" s="2209" t="e">
        <f ca="1">Q58+Q59</f>
        <v>#DIV/0!</v>
      </c>
      <c r="R64" s="2212" t="s">
        <v>2176</v>
      </c>
    </row>
    <row r="65" spans="1:18" s="1896" customFormat="1" ht="16.5" thickBot="1">
      <c r="A65" s="1932"/>
      <c r="B65" s="1933"/>
      <c r="C65" s="1933"/>
      <c r="I65" s="2742" t="s">
        <v>2155</v>
      </c>
      <c r="J65" s="2743">
        <v>50</v>
      </c>
      <c r="K65" s="2743">
        <v>35</v>
      </c>
      <c r="L65" s="2743">
        <v>60</v>
      </c>
      <c r="M65" s="818">
        <v>0</v>
      </c>
      <c r="O65" s="2213" t="s">
        <v>2199</v>
      </c>
      <c r="P65" s="1483"/>
      <c r="Q65" s="1491"/>
      <c r="R65" s="1483"/>
    </row>
    <row r="66" spans="1:18" s="1896" customFormat="1" ht="15.75" thickBot="1">
      <c r="A66" s="1932"/>
      <c r="B66" s="1933"/>
      <c r="C66" s="1933"/>
      <c r="I66" s="2742" t="s">
        <v>2156</v>
      </c>
      <c r="J66" s="2743">
        <v>40</v>
      </c>
      <c r="K66" s="2743">
        <v>30</v>
      </c>
      <c r="L66" s="2743">
        <v>50</v>
      </c>
      <c r="M66" s="2745">
        <v>0.02</v>
      </c>
      <c r="O66" s="2204" t="s">
        <v>2159</v>
      </c>
      <c r="P66" s="2205" t="s">
        <v>2160</v>
      </c>
      <c r="Q66" s="2206" t="s">
        <v>2161</v>
      </c>
      <c r="R66" s="2205" t="s">
        <v>2162</v>
      </c>
    </row>
    <row r="67" spans="1:18" s="1896" customFormat="1" ht="15.75" thickBot="1">
      <c r="A67" s="1932"/>
      <c r="B67" s="1933"/>
      <c r="C67" s="1933"/>
      <c r="K67" s="1922"/>
      <c r="O67" s="2207" t="s">
        <v>2163</v>
      </c>
      <c r="P67" s="2208" t="s">
        <v>2189</v>
      </c>
      <c r="Q67" s="2209">
        <f ca="1">C41+J31</f>
        <v>0</v>
      </c>
      <c r="R67" s="2208" t="s">
        <v>2164</v>
      </c>
    </row>
    <row r="68" spans="1:18" s="1896" customFormat="1" ht="20.25" thickBot="1">
      <c r="A68" s="1932"/>
      <c r="B68" s="1933"/>
      <c r="C68" s="1933"/>
      <c r="K68" s="1922"/>
      <c r="O68" s="2207" t="s">
        <v>2165</v>
      </c>
      <c r="P68" s="2208" t="s">
        <v>2196</v>
      </c>
      <c r="Q68" s="2209" t="e">
        <f ca="1">L61</f>
        <v>#DIV/0!</v>
      </c>
      <c r="R68" s="2212" t="s">
        <v>2198</v>
      </c>
    </row>
    <row r="69" spans="1:18" s="1896" customFormat="1" ht="21.75" thickBot="1">
      <c r="A69" s="1932"/>
      <c r="B69" s="1933"/>
      <c r="C69" s="1933"/>
      <c r="K69" s="1922"/>
      <c r="O69" s="2210" t="s">
        <v>2167</v>
      </c>
      <c r="P69" s="2208" t="s">
        <v>2197</v>
      </c>
      <c r="Q69" s="2214">
        <f ca="1">L52</f>
        <v>0</v>
      </c>
      <c r="R69" s="2215" t="s">
        <v>2200</v>
      </c>
    </row>
    <row r="70" spans="1:18" s="1896" customFormat="1" ht="20.25" thickBot="1">
      <c r="A70" s="1932"/>
      <c r="B70" s="1933"/>
      <c r="C70" s="1933"/>
      <c r="K70" s="1922"/>
      <c r="O70" s="2210" t="s">
        <v>2168</v>
      </c>
      <c r="P70" s="2216" t="s">
        <v>2182</v>
      </c>
      <c r="Q70" s="2209">
        <f ca="1">ROUND(Q71-Q72*Q73,0)</f>
        <v>0</v>
      </c>
      <c r="R70" s="2212"/>
    </row>
    <row r="71" spans="1:18" s="1896" customFormat="1" ht="15.75" thickBot="1">
      <c r="A71" s="1932"/>
      <c r="B71" s="1933"/>
      <c r="C71" s="1933"/>
      <c r="K71" s="1922"/>
      <c r="O71" s="2210" t="s">
        <v>2183</v>
      </c>
      <c r="P71" s="2216" t="s">
        <v>2184</v>
      </c>
      <c r="Q71" s="2209">
        <f ca="1">C42</f>
        <v>0</v>
      </c>
      <c r="R71" s="2208" t="s">
        <v>2164</v>
      </c>
    </row>
    <row r="72" spans="1:18" s="1896" customFormat="1" ht="15.75" thickBot="1">
      <c r="A72" s="1932"/>
      <c r="B72" s="1933"/>
      <c r="C72" s="1933"/>
      <c r="K72" s="1922"/>
      <c r="O72" s="2210" t="s">
        <v>2185</v>
      </c>
      <c r="P72" s="2216" t="s">
        <v>2186</v>
      </c>
      <c r="Q72" s="2209">
        <f ca="1">C15</f>
        <v>0</v>
      </c>
      <c r="R72" s="2208" t="s">
        <v>2164</v>
      </c>
    </row>
    <row r="73" spans="1:18" s="1896" customFormat="1" ht="15.75" thickBot="1">
      <c r="A73" s="1932"/>
      <c r="B73" s="1933"/>
      <c r="C73" s="1933"/>
      <c r="K73" s="1922"/>
      <c r="O73" s="2210" t="s">
        <v>2187</v>
      </c>
      <c r="P73" s="2216" t="s">
        <v>2188</v>
      </c>
      <c r="Q73" s="2211">
        <f ca="1">F43</f>
        <v>0</v>
      </c>
      <c r="R73" s="2212"/>
    </row>
    <row r="74" spans="1:18" s="1896" customFormat="1" ht="15.75" thickBot="1">
      <c r="A74" s="1932"/>
      <c r="B74" s="1933"/>
      <c r="C74" s="1933"/>
      <c r="K74" s="1922"/>
      <c r="O74" s="2210" t="s">
        <v>2170</v>
      </c>
      <c r="P74" s="2208" t="s">
        <v>2177</v>
      </c>
      <c r="Q74" s="2211">
        <f>L53</f>
        <v>0</v>
      </c>
      <c r="R74" s="2212"/>
    </row>
    <row r="75" spans="1:18" s="1896" customFormat="1" ht="20.25" thickBot="1">
      <c r="A75" s="1932"/>
      <c r="B75" s="1933"/>
      <c r="C75" s="1933"/>
      <c r="K75" s="1922"/>
      <c r="O75" s="2210" t="s">
        <v>2172</v>
      </c>
      <c r="P75" s="2208" t="s">
        <v>2178</v>
      </c>
      <c r="Q75" s="2209">
        <f ca="1">L59</f>
        <v>0</v>
      </c>
      <c r="R75" s="2212" t="s">
        <v>2179</v>
      </c>
    </row>
    <row r="76" spans="1:18" s="1896" customFormat="1" ht="20.25" thickBot="1">
      <c r="A76" s="1932"/>
      <c r="B76" s="1933"/>
      <c r="C76" s="1933"/>
      <c r="K76" s="1922"/>
      <c r="O76" s="2210" t="s">
        <v>2201</v>
      </c>
      <c r="P76" s="2208" t="s">
        <v>2180</v>
      </c>
      <c r="Q76" s="2209">
        <f ca="1">L60</f>
        <v>0</v>
      </c>
      <c r="R76" s="2212" t="s">
        <v>2181</v>
      </c>
    </row>
    <row r="77" spans="1:18" s="1896" customFormat="1" ht="15.75" thickBot="1">
      <c r="A77" s="1932"/>
      <c r="B77" s="1933"/>
      <c r="C77" s="1933"/>
      <c r="K77" s="1922"/>
      <c r="O77" s="2207" t="s">
        <v>2175</v>
      </c>
      <c r="P77" s="2208" t="s">
        <v>2192</v>
      </c>
      <c r="Q77" s="2209" t="e">
        <f ca="1">Q67+Q68</f>
        <v>#DIV/0!</v>
      </c>
      <c r="R77" s="2212" t="s">
        <v>2176</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H41" sqref="H41"/>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31" s="1878" customFormat="1" ht="18" customHeight="1">
      <c r="A2" s="1937" t="s">
        <v>461</v>
      </c>
      <c r="B2" s="1941">
        <f ca="1">C36</f>
        <v>25187</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9424</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8367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558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88700</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3336</v>
      </c>
      <c r="D7" s="430"/>
      <c r="E7" s="430"/>
      <c r="F7" s="430"/>
      <c r="G7" s="430"/>
      <c r="H7" s="430"/>
      <c r="I7" s="430"/>
      <c r="J7" s="430"/>
      <c r="K7" s="431"/>
      <c r="AA7" s="1948"/>
      <c r="AB7" s="1948"/>
      <c r="AC7" s="1948"/>
      <c r="AD7" s="1948"/>
      <c r="AE7" s="1948"/>
    </row>
    <row r="8" spans="1:31" s="1951" customFormat="1" ht="13.5" customHeight="1">
      <c r="A8" s="776" t="s">
        <v>1645</v>
      </c>
      <c r="B8" s="259" t="s">
        <v>466</v>
      </c>
      <c r="C8" s="2473">
        <f ca="1">'不动产收益法-酒店模型'!B3</f>
        <v>33190</v>
      </c>
      <c r="D8" s="2473"/>
      <c r="E8" s="2473"/>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26725.120000000003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 ca="1">'不动产收益法-酒店模型'!B2</f>
        <v>88700</v>
      </c>
      <c r="D10" s="2663"/>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513" t="s">
        <v>3580</v>
      </c>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25389</v>
      </c>
      <c r="D13" s="2483"/>
      <c r="E13" s="2484"/>
      <c r="F13" s="2485"/>
      <c r="G13" s="2451"/>
      <c r="H13" s="2452"/>
      <c r="I13" s="2452"/>
      <c r="J13" s="2452"/>
      <c r="K13" s="2453"/>
      <c r="L13" s="1953"/>
      <c r="M13" s="3512" t="s">
        <v>3574</v>
      </c>
      <c r="N13" s="3512" t="s">
        <v>3575</v>
      </c>
      <c r="O13" s="1953">
        <v>18838</v>
      </c>
      <c r="P13" s="1953"/>
      <c r="Q13" s="3514">
        <f ca="1">C13</f>
        <v>25389</v>
      </c>
      <c r="R13" s="1953"/>
      <c r="S13" s="3514">
        <f ca="1">Q13-O13-O14</f>
        <v>-475</v>
      </c>
      <c r="T13" s="1953"/>
      <c r="U13" s="1953"/>
      <c r="V13" s="1953"/>
      <c r="W13" s="1953"/>
      <c r="X13" s="1953"/>
      <c r="Y13" s="1953"/>
      <c r="Z13" s="1953"/>
    </row>
    <row r="14" spans="1:31" s="1952" customFormat="1" ht="13.5" customHeight="1">
      <c r="A14" s="2481" t="s">
        <v>1649</v>
      </c>
      <c r="B14" s="2482" t="s">
        <v>474</v>
      </c>
      <c r="C14" s="53">
        <f ca="1">ROUND(C13*F14,0)</f>
        <v>2539</v>
      </c>
      <c r="D14" s="2483"/>
      <c r="E14" s="2484"/>
      <c r="F14" s="2486">
        <f>'数据-取费表'!B33</f>
        <v>0.1</v>
      </c>
      <c r="G14" s="2451" t="s">
        <v>475</v>
      </c>
      <c r="H14" s="2452"/>
      <c r="I14" s="2452"/>
      <c r="J14" s="2452"/>
      <c r="K14" s="2453"/>
      <c r="L14" s="1953"/>
      <c r="M14" s="1953"/>
      <c r="N14" s="3512" t="s">
        <v>3577</v>
      </c>
      <c r="O14" s="1953">
        <v>7026</v>
      </c>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0</v>
      </c>
      <c r="D15" s="2483"/>
      <c r="E15" s="2484"/>
      <c r="F15" s="2486">
        <f>'数据-取费表'!B34</f>
        <v>0</v>
      </c>
      <c r="G15" s="2451" t="s">
        <v>477</v>
      </c>
      <c r="H15" s="2452"/>
      <c r="I15" s="2452"/>
      <c r="J15" s="2452"/>
      <c r="K15" s="2453"/>
      <c r="L15" s="1953"/>
      <c r="M15" s="1953"/>
      <c r="N15" s="3512" t="s">
        <v>3576</v>
      </c>
      <c r="O15" s="1953">
        <v>2379</v>
      </c>
      <c r="P15" s="1953"/>
      <c r="Q15" s="1953">
        <f ca="1">C16</f>
        <v>2138</v>
      </c>
      <c r="R15" s="1953"/>
      <c r="S15" s="1953">
        <f ca="1">Q15-O15</f>
        <v>-241</v>
      </c>
      <c r="T15" s="1953"/>
      <c r="U15" s="1953"/>
      <c r="V15" s="1953"/>
      <c r="W15" s="1953"/>
      <c r="X15" s="1953"/>
      <c r="Y15" s="1953"/>
      <c r="Z15" s="1953"/>
    </row>
    <row r="16" spans="1:31" s="1953" customFormat="1" ht="13.5" customHeight="1">
      <c r="A16" s="2481" t="s">
        <v>1651</v>
      </c>
      <c r="B16" s="2482" t="s">
        <v>478</v>
      </c>
      <c r="C16" s="53">
        <f ca="1">ROUND(D16*E16/10000,0)</f>
        <v>2138</v>
      </c>
      <c r="D16" s="2483">
        <f ca="1">IF(B1="",'数据-汇总表'!E3,INDIRECT("'数据-取费表'!K"&amp;$K$1)+INDIRECT("'数据-取费表'!S"&amp;$K$1))</f>
        <v>26725.120000000003</v>
      </c>
      <c r="E16" s="53">
        <f>'数据-取费表'!B35</f>
        <v>800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381</v>
      </c>
      <c r="D17" s="468"/>
      <c r="E17" s="2487"/>
      <c r="F17" s="2488">
        <f>'数据-取费表'!B36</f>
        <v>1.4999999999999999E-2</v>
      </c>
      <c r="G17" s="259" t="s">
        <v>480</v>
      </c>
      <c r="H17" s="2454"/>
      <c r="I17" s="2454"/>
      <c r="J17" s="2454"/>
      <c r="K17" s="277"/>
      <c r="L17" s="1953"/>
      <c r="M17" s="1953"/>
      <c r="N17" s="3512" t="s">
        <v>3578</v>
      </c>
      <c r="O17" s="1953">
        <f>9887.4-6932.4-237</f>
        <v>2718</v>
      </c>
      <c r="P17" s="1953"/>
      <c r="Q17" s="1953">
        <f ca="1">C14</f>
        <v>2539</v>
      </c>
      <c r="R17" s="1953"/>
      <c r="S17" s="1953">
        <f ca="1">Q17-O17</f>
        <v>-179</v>
      </c>
      <c r="T17" s="1953"/>
      <c r="U17" s="1953"/>
      <c r="V17" s="1953"/>
      <c r="W17" s="1953"/>
      <c r="X17" s="1953"/>
      <c r="Y17" s="1953"/>
      <c r="Z17" s="1953"/>
    </row>
    <row r="18" spans="1:26" s="1952" customFormat="1" ht="13.5" customHeight="1">
      <c r="A18" s="2489" t="s">
        <v>1653</v>
      </c>
      <c r="B18" s="2490" t="s">
        <v>481</v>
      </c>
      <c r="C18" s="2491">
        <f ca="1">SUM(C13:C17)</f>
        <v>30447</v>
      </c>
      <c r="D18" s="2492"/>
      <c r="E18" s="461"/>
      <c r="F18" s="461"/>
      <c r="G18" s="2455" t="s">
        <v>2213</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26725.120000000003</v>
      </c>
      <c r="E19" s="2447">
        <f>'数据-取费表'!B32</f>
        <v>0</v>
      </c>
      <c r="F19" s="461"/>
      <c r="G19" s="2451" t="s">
        <v>483</v>
      </c>
      <c r="H19" s="2452"/>
      <c r="I19" s="2456"/>
      <c r="J19" s="2456"/>
      <c r="K19" s="2457"/>
      <c r="L19" s="1953"/>
      <c r="M19" s="1953"/>
      <c r="N19" s="3512" t="s">
        <v>3579</v>
      </c>
      <c r="O19" s="1953">
        <v>237</v>
      </c>
      <c r="P19" s="1953"/>
      <c r="Q19" s="1953">
        <f ca="1">C20</f>
        <v>401</v>
      </c>
      <c r="R19" s="1953"/>
      <c r="S19" s="1953">
        <f ca="1">Q19-O19</f>
        <v>164</v>
      </c>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401</v>
      </c>
      <c r="D20" s="2493"/>
      <c r="E20" s="2447"/>
      <c r="F20" s="2494"/>
      <c r="G20" s="2694"/>
      <c r="H20" s="2449"/>
      <c r="I20" s="2450" t="s">
        <v>2365</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0</v>
      </c>
      <c r="D21" s="2483">
        <f ca="1">IF(B1="",'数据-汇总表'!E5,IF(INDIRECT("'数据-取费表'!c"&amp;$K$1)="住宅",INDIRECT("'数据-取费表'!k"&amp;$K$1),0))</f>
        <v>0</v>
      </c>
      <c r="E21" s="53">
        <f>'数据-取费表'!B27</f>
        <v>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401</v>
      </c>
      <c r="D22" s="2483">
        <f ca="1">IF(B1="",'数据-汇总表'!E6,IF(INDIRECT("'数据-取费表'!c"&amp;$K$1)="住宅",INDIRECT("'数据-取费表'!s"&amp;$K$1),INDIRECT("'数据-取费表'!k"&amp;$K$1)+INDIRECT("'数据-取费表'!s"&amp;$K$1)))</f>
        <v>26725.120000000003</v>
      </c>
      <c r="E22" s="53">
        <f>'数据-取费表'!B28</f>
        <v>150</v>
      </c>
      <c r="F22" s="2486"/>
      <c r="G22" s="26"/>
      <c r="H22" s="51"/>
      <c r="I22" s="51"/>
      <c r="J22" s="51"/>
      <c r="K22" s="2458"/>
      <c r="L22" s="1953"/>
      <c r="M22" s="1953"/>
      <c r="N22" s="1953"/>
      <c r="O22" s="1953">
        <f>O13+O14+O15+O17+O19</f>
        <v>31198</v>
      </c>
      <c r="P22" s="1953"/>
      <c r="Q22" s="3514">
        <f ca="1">Q13+Q15+Q17+Q19</f>
        <v>30467</v>
      </c>
      <c r="R22" s="1953"/>
      <c r="S22" s="1953"/>
      <c r="T22" s="1953"/>
      <c r="U22" s="1953"/>
      <c r="V22" s="1953"/>
      <c r="W22" s="1953"/>
      <c r="X22" s="1953"/>
      <c r="Y22" s="1953"/>
      <c r="Z22" s="1953"/>
    </row>
    <row r="23" spans="1:26" s="1952" customFormat="1" ht="13.5" customHeight="1">
      <c r="A23" s="2489" t="s">
        <v>1658</v>
      </c>
      <c r="B23" s="2667" t="s">
        <v>2545</v>
      </c>
      <c r="C23" s="2491">
        <f ca="1">ROUND((C18+C19+C20)*F23,0)</f>
        <v>925</v>
      </c>
      <c r="D23" s="461"/>
      <c r="E23" s="461"/>
      <c r="F23" s="2495">
        <f>'数据-取费表'!B37</f>
        <v>0.03</v>
      </c>
      <c r="G23" s="2451" t="s">
        <v>2214</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2548</v>
      </c>
      <c r="C24" s="2491">
        <f ca="1">ROUND(C6*F24,0)</f>
        <v>2661</v>
      </c>
      <c r="D24" s="468"/>
      <c r="E24" s="466"/>
      <c r="F24" s="2495">
        <f>'数据-取费表'!B38</f>
        <v>0.03</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2546</v>
      </c>
      <c r="C25" s="460">
        <f>ROUND(F25/(1+'数据-取费表'!C42),4)</f>
        <v>2.9000000000000001E-2</v>
      </c>
      <c r="D25" s="455" t="s">
        <v>2541</v>
      </c>
      <c r="E25" s="462"/>
      <c r="F25" s="2495">
        <f>IF(项目基本情况!B8="出让",0,'数据-取费表'!B48+'数据-取费表'!B49)</f>
        <v>3.0499999999999999E-2</v>
      </c>
      <c r="G25" s="2459" t="s">
        <v>2077</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2547</v>
      </c>
      <c r="C26" s="2496">
        <f ca="1">C28</f>
        <v>2192</v>
      </c>
      <c r="D26" s="460">
        <f ca="1">C27</f>
        <v>0.13519999999999999</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0.13519999999999999</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2549</v>
      </c>
      <c r="C28" s="2499">
        <f ca="1">ROUND(IF('数据-取费表'!B22&lt;=1,(C18+C19+C20+C23+C24)*F26*'数据-取费表'!B24/2,(C18+C19+C20+C23+C24)*(POWER((1+F26),'数据-取费表'!B24/2)-1)),0)</f>
        <v>2192</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4646</v>
      </c>
      <c r="D29" s="461"/>
      <c r="E29" s="461"/>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20" t="s">
        <v>1663</v>
      </c>
      <c r="B30" s="2501" t="s">
        <v>494</v>
      </c>
      <c r="C30" s="2496">
        <f ca="1">C31</f>
        <v>41272</v>
      </c>
      <c r="D30" s="470">
        <f ca="1">C32</f>
        <v>0.16420000000000001</v>
      </c>
      <c r="E30" s="462" t="s">
        <v>489</v>
      </c>
      <c r="F30" s="464"/>
      <c r="G30" s="2459" t="s">
        <v>2658</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41272</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0.16420000000000001</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2544</v>
      </c>
      <c r="B33" s="2664" t="s">
        <v>2542</v>
      </c>
      <c r="C33" s="471">
        <f ca="1">C35</f>
        <v>10330</v>
      </c>
      <c r="D33" s="460">
        <f ca="1">C34</f>
        <v>0.30869999999999997</v>
      </c>
      <c r="E33" s="462" t="s">
        <v>489</v>
      </c>
      <c r="F33" s="472">
        <f ca="1">IF(B1="",'数据-取费表'!Q16,INDIRECT("'数据-取费表'!q"&amp;$K$1))</f>
        <v>0.3</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0.30869999999999997</v>
      </c>
      <c r="D34" s="465"/>
      <c r="E34" s="466"/>
      <c r="F34" s="473"/>
      <c r="G34" s="259" t="s">
        <v>2078</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1" t="s">
        <v>1657</v>
      </c>
      <c r="B35" s="2665" t="s">
        <v>2550</v>
      </c>
      <c r="C35" s="1513">
        <f ca="1">ROUND((C18+C19+C20+C23+C24)*F33,0)</f>
        <v>10330</v>
      </c>
      <c r="D35" s="1514"/>
      <c r="E35" s="2503"/>
      <c r="F35" s="1515"/>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25187</v>
      </c>
      <c r="D36" s="2465"/>
      <c r="E36" s="2465"/>
      <c r="F36" s="2465"/>
      <c r="G36" s="2464" t="s">
        <v>2551</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75"/>
  <sheetViews>
    <sheetView topLeftCell="A10" zoomScale="80" zoomScaleNormal="80" workbookViewId="0">
      <selection activeCell="G30" sqref="G30"/>
    </sheetView>
  </sheetViews>
  <sheetFormatPr defaultRowHeight="13.15" customHeight="1"/>
  <cols>
    <col min="1" max="1" width="9.5" style="3235" customWidth="1"/>
    <col min="2" max="2" width="8.875" style="3235"/>
    <col min="3" max="5" width="12.875" style="3235" customWidth="1"/>
    <col min="6" max="6" width="47.5" style="3235" customWidth="1"/>
    <col min="7" max="7" width="13" style="3394" customWidth="1"/>
    <col min="8" max="8" width="8.875" style="3229"/>
    <col min="9" max="9" width="8.875" style="3230"/>
    <col min="10" max="10" width="5.75" style="3395" customWidth="1"/>
    <col min="11" max="11" width="11.75" style="3395" customWidth="1"/>
    <col min="12" max="13" width="10.75" style="3395" customWidth="1"/>
    <col min="14" max="14" width="10" style="3395" customWidth="1"/>
    <col min="15" max="16" width="10.5" style="3395" bestFit="1" customWidth="1"/>
    <col min="17" max="17" width="10" style="3395" customWidth="1"/>
    <col min="18" max="18" width="10.125" style="3395" customWidth="1"/>
    <col min="19" max="20" width="10" style="3395" customWidth="1"/>
    <col min="21" max="21" width="26.125" style="3395" customWidth="1"/>
    <col min="22" max="22" width="8.875" style="3395"/>
    <col min="23" max="23" width="8.875" style="3230"/>
    <col min="24" max="257" width="8.875" style="3235"/>
    <col min="258" max="258" width="9.5" style="3235" customWidth="1"/>
    <col min="259" max="259" width="8.875" style="3235"/>
    <col min="260" max="262" width="12.875" style="3235" customWidth="1"/>
    <col min="263" max="263" width="47.5" style="3235" customWidth="1"/>
    <col min="264" max="264" width="13" style="3235" customWidth="1"/>
    <col min="265" max="266" width="8.875" style="3235"/>
    <col min="267" max="267" width="5.75" style="3235" customWidth="1"/>
    <col min="268" max="268" width="11.75" style="3235" customWidth="1"/>
    <col min="269" max="270" width="10.75" style="3235" customWidth="1"/>
    <col min="271" max="271" width="10" style="3235" customWidth="1"/>
    <col min="272" max="273" width="10.5" style="3235" bestFit="1" customWidth="1"/>
    <col min="274" max="274" width="10" style="3235" customWidth="1"/>
    <col min="275" max="275" width="10.125" style="3235" customWidth="1"/>
    <col min="276" max="276" width="10" style="3235" customWidth="1"/>
    <col min="277" max="277" width="26.125" style="3235" customWidth="1"/>
    <col min="278" max="513" width="8.875" style="3235"/>
    <col min="514" max="514" width="9.5" style="3235" customWidth="1"/>
    <col min="515" max="515" width="8.875" style="3235"/>
    <col min="516" max="518" width="12.875" style="3235" customWidth="1"/>
    <col min="519" max="519" width="47.5" style="3235" customWidth="1"/>
    <col min="520" max="520" width="13" style="3235" customWidth="1"/>
    <col min="521" max="522" width="8.875" style="3235"/>
    <col min="523" max="523" width="5.75" style="3235" customWidth="1"/>
    <col min="524" max="524" width="11.75" style="3235" customWidth="1"/>
    <col min="525" max="526" width="10.75" style="3235" customWidth="1"/>
    <col min="527" max="527" width="10" style="3235" customWidth="1"/>
    <col min="528" max="529" width="10.5" style="3235" bestFit="1" customWidth="1"/>
    <col min="530" max="530" width="10" style="3235" customWidth="1"/>
    <col min="531" max="531" width="10.125" style="3235" customWidth="1"/>
    <col min="532" max="532" width="10" style="3235" customWidth="1"/>
    <col min="533" max="533" width="26.125" style="3235" customWidth="1"/>
    <col min="534" max="769" width="8.875" style="3235"/>
    <col min="770" max="770" width="9.5" style="3235" customWidth="1"/>
    <col min="771" max="771" width="8.875" style="3235"/>
    <col min="772" max="774" width="12.875" style="3235" customWidth="1"/>
    <col min="775" max="775" width="47.5" style="3235" customWidth="1"/>
    <col min="776" max="776" width="13" style="3235" customWidth="1"/>
    <col min="777" max="778" width="8.875" style="3235"/>
    <col min="779" max="779" width="5.75" style="3235" customWidth="1"/>
    <col min="780" max="780" width="11.75" style="3235" customWidth="1"/>
    <col min="781" max="782" width="10.75" style="3235" customWidth="1"/>
    <col min="783" max="783" width="10" style="3235" customWidth="1"/>
    <col min="784" max="785" width="10.5" style="3235" bestFit="1" customWidth="1"/>
    <col min="786" max="786" width="10" style="3235" customWidth="1"/>
    <col min="787" max="787" width="10.125" style="3235" customWidth="1"/>
    <col min="788" max="788" width="10" style="3235" customWidth="1"/>
    <col min="789" max="789" width="26.125" style="3235" customWidth="1"/>
    <col min="790" max="1025" width="8.875" style="3235"/>
    <col min="1026" max="1026" width="9.5" style="3235" customWidth="1"/>
    <col min="1027" max="1027" width="8.875" style="3235"/>
    <col min="1028" max="1030" width="12.875" style="3235" customWidth="1"/>
    <col min="1031" max="1031" width="47.5" style="3235" customWidth="1"/>
    <col min="1032" max="1032" width="13" style="3235" customWidth="1"/>
    <col min="1033" max="1034" width="8.875" style="3235"/>
    <col min="1035" max="1035" width="5.75" style="3235" customWidth="1"/>
    <col min="1036" max="1036" width="11.75" style="3235" customWidth="1"/>
    <col min="1037" max="1038" width="10.75" style="3235" customWidth="1"/>
    <col min="1039" max="1039" width="10" style="3235" customWidth="1"/>
    <col min="1040" max="1041" width="10.5" style="3235" bestFit="1" customWidth="1"/>
    <col min="1042" max="1042" width="10" style="3235" customWidth="1"/>
    <col min="1043" max="1043" width="10.125" style="3235" customWidth="1"/>
    <col min="1044" max="1044" width="10" style="3235" customWidth="1"/>
    <col min="1045" max="1045" width="26.125" style="3235" customWidth="1"/>
    <col min="1046" max="1281" width="8.875" style="3235"/>
    <col min="1282" max="1282" width="9.5" style="3235" customWidth="1"/>
    <col min="1283" max="1283" width="8.875" style="3235"/>
    <col min="1284" max="1286" width="12.875" style="3235" customWidth="1"/>
    <col min="1287" max="1287" width="47.5" style="3235" customWidth="1"/>
    <col min="1288" max="1288" width="13" style="3235" customWidth="1"/>
    <col min="1289" max="1290" width="8.875" style="3235"/>
    <col min="1291" max="1291" width="5.75" style="3235" customWidth="1"/>
    <col min="1292" max="1292" width="11.75" style="3235" customWidth="1"/>
    <col min="1293" max="1294" width="10.75" style="3235" customWidth="1"/>
    <col min="1295" max="1295" width="10" style="3235" customWidth="1"/>
    <col min="1296" max="1297" width="10.5" style="3235" bestFit="1" customWidth="1"/>
    <col min="1298" max="1298" width="10" style="3235" customWidth="1"/>
    <col min="1299" max="1299" width="10.125" style="3235" customWidth="1"/>
    <col min="1300" max="1300" width="10" style="3235" customWidth="1"/>
    <col min="1301" max="1301" width="26.125" style="3235" customWidth="1"/>
    <col min="1302" max="1537" width="8.875" style="3235"/>
    <col min="1538" max="1538" width="9.5" style="3235" customWidth="1"/>
    <col min="1539" max="1539" width="8.875" style="3235"/>
    <col min="1540" max="1542" width="12.875" style="3235" customWidth="1"/>
    <col min="1543" max="1543" width="47.5" style="3235" customWidth="1"/>
    <col min="1544" max="1544" width="13" style="3235" customWidth="1"/>
    <col min="1545" max="1546" width="8.875" style="3235"/>
    <col min="1547" max="1547" width="5.75" style="3235" customWidth="1"/>
    <col min="1548" max="1548" width="11.75" style="3235" customWidth="1"/>
    <col min="1549" max="1550" width="10.75" style="3235" customWidth="1"/>
    <col min="1551" max="1551" width="10" style="3235" customWidth="1"/>
    <col min="1552" max="1553" width="10.5" style="3235" bestFit="1" customWidth="1"/>
    <col min="1554" max="1554" width="10" style="3235" customWidth="1"/>
    <col min="1555" max="1555" width="10.125" style="3235" customWidth="1"/>
    <col min="1556" max="1556" width="10" style="3235" customWidth="1"/>
    <col min="1557" max="1557" width="26.125" style="3235" customWidth="1"/>
    <col min="1558" max="1793" width="8.875" style="3235"/>
    <col min="1794" max="1794" width="9.5" style="3235" customWidth="1"/>
    <col min="1795" max="1795" width="8.875" style="3235"/>
    <col min="1796" max="1798" width="12.875" style="3235" customWidth="1"/>
    <col min="1799" max="1799" width="47.5" style="3235" customWidth="1"/>
    <col min="1800" max="1800" width="13" style="3235" customWidth="1"/>
    <col min="1801" max="1802" width="8.875" style="3235"/>
    <col min="1803" max="1803" width="5.75" style="3235" customWidth="1"/>
    <col min="1804" max="1804" width="11.75" style="3235" customWidth="1"/>
    <col min="1805" max="1806" width="10.75" style="3235" customWidth="1"/>
    <col min="1807" max="1807" width="10" style="3235" customWidth="1"/>
    <col min="1808" max="1809" width="10.5" style="3235" bestFit="1" customWidth="1"/>
    <col min="1810" max="1810" width="10" style="3235" customWidth="1"/>
    <col min="1811" max="1811" width="10.125" style="3235" customWidth="1"/>
    <col min="1812" max="1812" width="10" style="3235" customWidth="1"/>
    <col min="1813" max="1813" width="26.125" style="3235" customWidth="1"/>
    <col min="1814" max="2049" width="8.875" style="3235"/>
    <col min="2050" max="2050" width="9.5" style="3235" customWidth="1"/>
    <col min="2051" max="2051" width="8.875" style="3235"/>
    <col min="2052" max="2054" width="12.875" style="3235" customWidth="1"/>
    <col min="2055" max="2055" width="47.5" style="3235" customWidth="1"/>
    <col min="2056" max="2056" width="13" style="3235" customWidth="1"/>
    <col min="2057" max="2058" width="8.875" style="3235"/>
    <col min="2059" max="2059" width="5.75" style="3235" customWidth="1"/>
    <col min="2060" max="2060" width="11.75" style="3235" customWidth="1"/>
    <col min="2061" max="2062" width="10.75" style="3235" customWidth="1"/>
    <col min="2063" max="2063" width="10" style="3235" customWidth="1"/>
    <col min="2064" max="2065" width="10.5" style="3235" bestFit="1" customWidth="1"/>
    <col min="2066" max="2066" width="10" style="3235" customWidth="1"/>
    <col min="2067" max="2067" width="10.125" style="3235" customWidth="1"/>
    <col min="2068" max="2068" width="10" style="3235" customWidth="1"/>
    <col min="2069" max="2069" width="26.125" style="3235" customWidth="1"/>
    <col min="2070" max="2305" width="8.875" style="3235"/>
    <col min="2306" max="2306" width="9.5" style="3235" customWidth="1"/>
    <col min="2307" max="2307" width="8.875" style="3235"/>
    <col min="2308" max="2310" width="12.875" style="3235" customWidth="1"/>
    <col min="2311" max="2311" width="47.5" style="3235" customWidth="1"/>
    <col min="2312" max="2312" width="13" style="3235" customWidth="1"/>
    <col min="2313" max="2314" width="8.875" style="3235"/>
    <col min="2315" max="2315" width="5.75" style="3235" customWidth="1"/>
    <col min="2316" max="2316" width="11.75" style="3235" customWidth="1"/>
    <col min="2317" max="2318" width="10.75" style="3235" customWidth="1"/>
    <col min="2319" max="2319" width="10" style="3235" customWidth="1"/>
    <col min="2320" max="2321" width="10.5" style="3235" bestFit="1" customWidth="1"/>
    <col min="2322" max="2322" width="10" style="3235" customWidth="1"/>
    <col min="2323" max="2323" width="10.125" style="3235" customWidth="1"/>
    <col min="2324" max="2324" width="10" style="3235" customWidth="1"/>
    <col min="2325" max="2325" width="26.125" style="3235" customWidth="1"/>
    <col min="2326" max="2561" width="8.875" style="3235"/>
    <col min="2562" max="2562" width="9.5" style="3235" customWidth="1"/>
    <col min="2563" max="2563" width="8.875" style="3235"/>
    <col min="2564" max="2566" width="12.875" style="3235" customWidth="1"/>
    <col min="2567" max="2567" width="47.5" style="3235" customWidth="1"/>
    <col min="2568" max="2568" width="13" style="3235" customWidth="1"/>
    <col min="2569" max="2570" width="8.875" style="3235"/>
    <col min="2571" max="2571" width="5.75" style="3235" customWidth="1"/>
    <col min="2572" max="2572" width="11.75" style="3235" customWidth="1"/>
    <col min="2573" max="2574" width="10.75" style="3235" customWidth="1"/>
    <col min="2575" max="2575" width="10" style="3235" customWidth="1"/>
    <col min="2576" max="2577" width="10.5" style="3235" bestFit="1" customWidth="1"/>
    <col min="2578" max="2578" width="10" style="3235" customWidth="1"/>
    <col min="2579" max="2579" width="10.125" style="3235" customWidth="1"/>
    <col min="2580" max="2580" width="10" style="3235" customWidth="1"/>
    <col min="2581" max="2581" width="26.125" style="3235" customWidth="1"/>
    <col min="2582" max="2817" width="8.875" style="3235"/>
    <col min="2818" max="2818" width="9.5" style="3235" customWidth="1"/>
    <col min="2819" max="2819" width="8.875" style="3235"/>
    <col min="2820" max="2822" width="12.875" style="3235" customWidth="1"/>
    <col min="2823" max="2823" width="47.5" style="3235" customWidth="1"/>
    <col min="2824" max="2824" width="13" style="3235" customWidth="1"/>
    <col min="2825" max="2826" width="8.875" style="3235"/>
    <col min="2827" max="2827" width="5.75" style="3235" customWidth="1"/>
    <col min="2828" max="2828" width="11.75" style="3235" customWidth="1"/>
    <col min="2829" max="2830" width="10.75" style="3235" customWidth="1"/>
    <col min="2831" max="2831" width="10" style="3235" customWidth="1"/>
    <col min="2832" max="2833" width="10.5" style="3235" bestFit="1" customWidth="1"/>
    <col min="2834" max="2834" width="10" style="3235" customWidth="1"/>
    <col min="2835" max="2835" width="10.125" style="3235" customWidth="1"/>
    <col min="2836" max="2836" width="10" style="3235" customWidth="1"/>
    <col min="2837" max="2837" width="26.125" style="3235" customWidth="1"/>
    <col min="2838" max="3073" width="8.875" style="3235"/>
    <col min="3074" max="3074" width="9.5" style="3235" customWidth="1"/>
    <col min="3075" max="3075" width="8.875" style="3235"/>
    <col min="3076" max="3078" width="12.875" style="3235" customWidth="1"/>
    <col min="3079" max="3079" width="47.5" style="3235" customWidth="1"/>
    <col min="3080" max="3080" width="13" style="3235" customWidth="1"/>
    <col min="3081" max="3082" width="8.875" style="3235"/>
    <col min="3083" max="3083" width="5.75" style="3235" customWidth="1"/>
    <col min="3084" max="3084" width="11.75" style="3235" customWidth="1"/>
    <col min="3085" max="3086" width="10.75" style="3235" customWidth="1"/>
    <col min="3087" max="3087" width="10" style="3235" customWidth="1"/>
    <col min="3088" max="3089" width="10.5" style="3235" bestFit="1" customWidth="1"/>
    <col min="3090" max="3090" width="10" style="3235" customWidth="1"/>
    <col min="3091" max="3091" width="10.125" style="3235" customWidth="1"/>
    <col min="3092" max="3092" width="10" style="3235" customWidth="1"/>
    <col min="3093" max="3093" width="26.125" style="3235" customWidth="1"/>
    <col min="3094" max="3329" width="8.875" style="3235"/>
    <col min="3330" max="3330" width="9.5" style="3235" customWidth="1"/>
    <col min="3331" max="3331" width="8.875" style="3235"/>
    <col min="3332" max="3334" width="12.875" style="3235" customWidth="1"/>
    <col min="3335" max="3335" width="47.5" style="3235" customWidth="1"/>
    <col min="3336" max="3336" width="13" style="3235" customWidth="1"/>
    <col min="3337" max="3338" width="8.875" style="3235"/>
    <col min="3339" max="3339" width="5.75" style="3235" customWidth="1"/>
    <col min="3340" max="3340" width="11.75" style="3235" customWidth="1"/>
    <col min="3341" max="3342" width="10.75" style="3235" customWidth="1"/>
    <col min="3343" max="3343" width="10" style="3235" customWidth="1"/>
    <col min="3344" max="3345" width="10.5" style="3235" bestFit="1" customWidth="1"/>
    <col min="3346" max="3346" width="10" style="3235" customWidth="1"/>
    <col min="3347" max="3347" width="10.125" style="3235" customWidth="1"/>
    <col min="3348" max="3348" width="10" style="3235" customWidth="1"/>
    <col min="3349" max="3349" width="26.125" style="3235" customWidth="1"/>
    <col min="3350" max="3585" width="8.875" style="3235"/>
    <col min="3586" max="3586" width="9.5" style="3235" customWidth="1"/>
    <col min="3587" max="3587" width="8.875" style="3235"/>
    <col min="3588" max="3590" width="12.875" style="3235" customWidth="1"/>
    <col min="3591" max="3591" width="47.5" style="3235" customWidth="1"/>
    <col min="3592" max="3592" width="13" style="3235" customWidth="1"/>
    <col min="3593" max="3594" width="8.875" style="3235"/>
    <col min="3595" max="3595" width="5.75" style="3235" customWidth="1"/>
    <col min="3596" max="3596" width="11.75" style="3235" customWidth="1"/>
    <col min="3597" max="3598" width="10.75" style="3235" customWidth="1"/>
    <col min="3599" max="3599" width="10" style="3235" customWidth="1"/>
    <col min="3600" max="3601" width="10.5" style="3235" bestFit="1" customWidth="1"/>
    <col min="3602" max="3602" width="10" style="3235" customWidth="1"/>
    <col min="3603" max="3603" width="10.125" style="3235" customWidth="1"/>
    <col min="3604" max="3604" width="10" style="3235" customWidth="1"/>
    <col min="3605" max="3605" width="26.125" style="3235" customWidth="1"/>
    <col min="3606" max="3841" width="8.875" style="3235"/>
    <col min="3842" max="3842" width="9.5" style="3235" customWidth="1"/>
    <col min="3843" max="3843" width="8.875" style="3235"/>
    <col min="3844" max="3846" width="12.875" style="3235" customWidth="1"/>
    <col min="3847" max="3847" width="47.5" style="3235" customWidth="1"/>
    <col min="3848" max="3848" width="13" style="3235" customWidth="1"/>
    <col min="3849" max="3850" width="8.875" style="3235"/>
    <col min="3851" max="3851" width="5.75" style="3235" customWidth="1"/>
    <col min="3852" max="3852" width="11.75" style="3235" customWidth="1"/>
    <col min="3853" max="3854" width="10.75" style="3235" customWidth="1"/>
    <col min="3855" max="3855" width="10" style="3235" customWidth="1"/>
    <col min="3856" max="3857" width="10.5" style="3235" bestFit="1" customWidth="1"/>
    <col min="3858" max="3858" width="10" style="3235" customWidth="1"/>
    <col min="3859" max="3859" width="10.125" style="3235" customWidth="1"/>
    <col min="3860" max="3860" width="10" style="3235" customWidth="1"/>
    <col min="3861" max="3861" width="26.125" style="3235" customWidth="1"/>
    <col min="3862" max="4097" width="8.875" style="3235"/>
    <col min="4098" max="4098" width="9.5" style="3235" customWidth="1"/>
    <col min="4099" max="4099" width="8.875" style="3235"/>
    <col min="4100" max="4102" width="12.875" style="3235" customWidth="1"/>
    <col min="4103" max="4103" width="47.5" style="3235" customWidth="1"/>
    <col min="4104" max="4104" width="13" style="3235" customWidth="1"/>
    <col min="4105" max="4106" width="8.875" style="3235"/>
    <col min="4107" max="4107" width="5.75" style="3235" customWidth="1"/>
    <col min="4108" max="4108" width="11.75" style="3235" customWidth="1"/>
    <col min="4109" max="4110" width="10.75" style="3235" customWidth="1"/>
    <col min="4111" max="4111" width="10" style="3235" customWidth="1"/>
    <col min="4112" max="4113" width="10.5" style="3235" bestFit="1" customWidth="1"/>
    <col min="4114" max="4114" width="10" style="3235" customWidth="1"/>
    <col min="4115" max="4115" width="10.125" style="3235" customWidth="1"/>
    <col min="4116" max="4116" width="10" style="3235" customWidth="1"/>
    <col min="4117" max="4117" width="26.125" style="3235" customWidth="1"/>
    <col min="4118" max="4353" width="8.875" style="3235"/>
    <col min="4354" max="4354" width="9.5" style="3235" customWidth="1"/>
    <col min="4355" max="4355" width="8.875" style="3235"/>
    <col min="4356" max="4358" width="12.875" style="3235" customWidth="1"/>
    <col min="4359" max="4359" width="47.5" style="3235" customWidth="1"/>
    <col min="4360" max="4360" width="13" style="3235" customWidth="1"/>
    <col min="4361" max="4362" width="8.875" style="3235"/>
    <col min="4363" max="4363" width="5.75" style="3235" customWidth="1"/>
    <col min="4364" max="4364" width="11.75" style="3235" customWidth="1"/>
    <col min="4365" max="4366" width="10.75" style="3235" customWidth="1"/>
    <col min="4367" max="4367" width="10" style="3235" customWidth="1"/>
    <col min="4368" max="4369" width="10.5" style="3235" bestFit="1" customWidth="1"/>
    <col min="4370" max="4370" width="10" style="3235" customWidth="1"/>
    <col min="4371" max="4371" width="10.125" style="3235" customWidth="1"/>
    <col min="4372" max="4372" width="10" style="3235" customWidth="1"/>
    <col min="4373" max="4373" width="26.125" style="3235" customWidth="1"/>
    <col min="4374" max="4609" width="8.875" style="3235"/>
    <col min="4610" max="4610" width="9.5" style="3235" customWidth="1"/>
    <col min="4611" max="4611" width="8.875" style="3235"/>
    <col min="4612" max="4614" width="12.875" style="3235" customWidth="1"/>
    <col min="4615" max="4615" width="47.5" style="3235" customWidth="1"/>
    <col min="4616" max="4616" width="13" style="3235" customWidth="1"/>
    <col min="4617" max="4618" width="8.875" style="3235"/>
    <col min="4619" max="4619" width="5.75" style="3235" customWidth="1"/>
    <col min="4620" max="4620" width="11.75" style="3235" customWidth="1"/>
    <col min="4621" max="4622" width="10.75" style="3235" customWidth="1"/>
    <col min="4623" max="4623" width="10" style="3235" customWidth="1"/>
    <col min="4624" max="4625" width="10.5" style="3235" bestFit="1" customWidth="1"/>
    <col min="4626" max="4626" width="10" style="3235" customWidth="1"/>
    <col min="4627" max="4627" width="10.125" style="3235" customWidth="1"/>
    <col min="4628" max="4628" width="10" style="3235" customWidth="1"/>
    <col min="4629" max="4629" width="26.125" style="3235" customWidth="1"/>
    <col min="4630" max="4865" width="8.875" style="3235"/>
    <col min="4866" max="4866" width="9.5" style="3235" customWidth="1"/>
    <col min="4867" max="4867" width="8.875" style="3235"/>
    <col min="4868" max="4870" width="12.875" style="3235" customWidth="1"/>
    <col min="4871" max="4871" width="47.5" style="3235" customWidth="1"/>
    <col min="4872" max="4872" width="13" style="3235" customWidth="1"/>
    <col min="4873" max="4874" width="8.875" style="3235"/>
    <col min="4875" max="4875" width="5.75" style="3235" customWidth="1"/>
    <col min="4876" max="4876" width="11.75" style="3235" customWidth="1"/>
    <col min="4877" max="4878" width="10.75" style="3235" customWidth="1"/>
    <col min="4879" max="4879" width="10" style="3235" customWidth="1"/>
    <col min="4880" max="4881" width="10.5" style="3235" bestFit="1" customWidth="1"/>
    <col min="4882" max="4882" width="10" style="3235" customWidth="1"/>
    <col min="4883" max="4883" width="10.125" style="3235" customWidth="1"/>
    <col min="4884" max="4884" width="10" style="3235" customWidth="1"/>
    <col min="4885" max="4885" width="26.125" style="3235" customWidth="1"/>
    <col min="4886" max="5121" width="8.875" style="3235"/>
    <col min="5122" max="5122" width="9.5" style="3235" customWidth="1"/>
    <col min="5123" max="5123" width="8.875" style="3235"/>
    <col min="5124" max="5126" width="12.875" style="3235" customWidth="1"/>
    <col min="5127" max="5127" width="47.5" style="3235" customWidth="1"/>
    <col min="5128" max="5128" width="13" style="3235" customWidth="1"/>
    <col min="5129" max="5130" width="8.875" style="3235"/>
    <col min="5131" max="5131" width="5.75" style="3235" customWidth="1"/>
    <col min="5132" max="5132" width="11.75" style="3235" customWidth="1"/>
    <col min="5133" max="5134" width="10.75" style="3235" customWidth="1"/>
    <col min="5135" max="5135" width="10" style="3235" customWidth="1"/>
    <col min="5136" max="5137" width="10.5" style="3235" bestFit="1" customWidth="1"/>
    <col min="5138" max="5138" width="10" style="3235" customWidth="1"/>
    <col min="5139" max="5139" width="10.125" style="3235" customWidth="1"/>
    <col min="5140" max="5140" width="10" style="3235" customWidth="1"/>
    <col min="5141" max="5141" width="26.125" style="3235" customWidth="1"/>
    <col min="5142" max="5377" width="8.875" style="3235"/>
    <col min="5378" max="5378" width="9.5" style="3235" customWidth="1"/>
    <col min="5379" max="5379" width="8.875" style="3235"/>
    <col min="5380" max="5382" width="12.875" style="3235" customWidth="1"/>
    <col min="5383" max="5383" width="47.5" style="3235" customWidth="1"/>
    <col min="5384" max="5384" width="13" style="3235" customWidth="1"/>
    <col min="5385" max="5386" width="8.875" style="3235"/>
    <col min="5387" max="5387" width="5.75" style="3235" customWidth="1"/>
    <col min="5388" max="5388" width="11.75" style="3235" customWidth="1"/>
    <col min="5389" max="5390" width="10.75" style="3235" customWidth="1"/>
    <col min="5391" max="5391" width="10" style="3235" customWidth="1"/>
    <col min="5392" max="5393" width="10.5" style="3235" bestFit="1" customWidth="1"/>
    <col min="5394" max="5394" width="10" style="3235" customWidth="1"/>
    <col min="5395" max="5395" width="10.125" style="3235" customWidth="1"/>
    <col min="5396" max="5396" width="10" style="3235" customWidth="1"/>
    <col min="5397" max="5397" width="26.125" style="3235" customWidth="1"/>
    <col min="5398" max="5633" width="8.875" style="3235"/>
    <col min="5634" max="5634" width="9.5" style="3235" customWidth="1"/>
    <col min="5635" max="5635" width="8.875" style="3235"/>
    <col min="5636" max="5638" width="12.875" style="3235" customWidth="1"/>
    <col min="5639" max="5639" width="47.5" style="3235" customWidth="1"/>
    <col min="5640" max="5640" width="13" style="3235" customWidth="1"/>
    <col min="5641" max="5642" width="8.875" style="3235"/>
    <col min="5643" max="5643" width="5.75" style="3235" customWidth="1"/>
    <col min="5644" max="5644" width="11.75" style="3235" customWidth="1"/>
    <col min="5645" max="5646" width="10.75" style="3235" customWidth="1"/>
    <col min="5647" max="5647" width="10" style="3235" customWidth="1"/>
    <col min="5648" max="5649" width="10.5" style="3235" bestFit="1" customWidth="1"/>
    <col min="5650" max="5650" width="10" style="3235" customWidth="1"/>
    <col min="5651" max="5651" width="10.125" style="3235" customWidth="1"/>
    <col min="5652" max="5652" width="10" style="3235" customWidth="1"/>
    <col min="5653" max="5653" width="26.125" style="3235" customWidth="1"/>
    <col min="5654" max="5889" width="8.875" style="3235"/>
    <col min="5890" max="5890" width="9.5" style="3235" customWidth="1"/>
    <col min="5891" max="5891" width="8.875" style="3235"/>
    <col min="5892" max="5894" width="12.875" style="3235" customWidth="1"/>
    <col min="5895" max="5895" width="47.5" style="3235" customWidth="1"/>
    <col min="5896" max="5896" width="13" style="3235" customWidth="1"/>
    <col min="5897" max="5898" width="8.875" style="3235"/>
    <col min="5899" max="5899" width="5.75" style="3235" customWidth="1"/>
    <col min="5900" max="5900" width="11.75" style="3235" customWidth="1"/>
    <col min="5901" max="5902" width="10.75" style="3235" customWidth="1"/>
    <col min="5903" max="5903" width="10" style="3235" customWidth="1"/>
    <col min="5904" max="5905" width="10.5" style="3235" bestFit="1" customWidth="1"/>
    <col min="5906" max="5906" width="10" style="3235" customWidth="1"/>
    <col min="5907" max="5907" width="10.125" style="3235" customWidth="1"/>
    <col min="5908" max="5908" width="10" style="3235" customWidth="1"/>
    <col min="5909" max="5909" width="26.125" style="3235" customWidth="1"/>
    <col min="5910" max="6145" width="8.875" style="3235"/>
    <col min="6146" max="6146" width="9.5" style="3235" customWidth="1"/>
    <col min="6147" max="6147" width="8.875" style="3235"/>
    <col min="6148" max="6150" width="12.875" style="3235" customWidth="1"/>
    <col min="6151" max="6151" width="47.5" style="3235" customWidth="1"/>
    <col min="6152" max="6152" width="13" style="3235" customWidth="1"/>
    <col min="6153" max="6154" width="8.875" style="3235"/>
    <col min="6155" max="6155" width="5.75" style="3235" customWidth="1"/>
    <col min="6156" max="6156" width="11.75" style="3235" customWidth="1"/>
    <col min="6157" max="6158" width="10.75" style="3235" customWidth="1"/>
    <col min="6159" max="6159" width="10" style="3235" customWidth="1"/>
    <col min="6160" max="6161" width="10.5" style="3235" bestFit="1" customWidth="1"/>
    <col min="6162" max="6162" width="10" style="3235" customWidth="1"/>
    <col min="6163" max="6163" width="10.125" style="3235" customWidth="1"/>
    <col min="6164" max="6164" width="10" style="3235" customWidth="1"/>
    <col min="6165" max="6165" width="26.125" style="3235" customWidth="1"/>
    <col min="6166" max="6401" width="8.875" style="3235"/>
    <col min="6402" max="6402" width="9.5" style="3235" customWidth="1"/>
    <col min="6403" max="6403" width="8.875" style="3235"/>
    <col min="6404" max="6406" width="12.875" style="3235" customWidth="1"/>
    <col min="6407" max="6407" width="47.5" style="3235" customWidth="1"/>
    <col min="6408" max="6408" width="13" style="3235" customWidth="1"/>
    <col min="6409" max="6410" width="8.875" style="3235"/>
    <col min="6411" max="6411" width="5.75" style="3235" customWidth="1"/>
    <col min="6412" max="6412" width="11.75" style="3235" customWidth="1"/>
    <col min="6413" max="6414" width="10.75" style="3235" customWidth="1"/>
    <col min="6415" max="6415" width="10" style="3235" customWidth="1"/>
    <col min="6416" max="6417" width="10.5" style="3235" bestFit="1" customWidth="1"/>
    <col min="6418" max="6418" width="10" style="3235" customWidth="1"/>
    <col min="6419" max="6419" width="10.125" style="3235" customWidth="1"/>
    <col min="6420" max="6420" width="10" style="3235" customWidth="1"/>
    <col min="6421" max="6421" width="26.125" style="3235" customWidth="1"/>
    <col min="6422" max="6657" width="8.875" style="3235"/>
    <col min="6658" max="6658" width="9.5" style="3235" customWidth="1"/>
    <col min="6659" max="6659" width="8.875" style="3235"/>
    <col min="6660" max="6662" width="12.875" style="3235" customWidth="1"/>
    <col min="6663" max="6663" width="47.5" style="3235" customWidth="1"/>
    <col min="6664" max="6664" width="13" style="3235" customWidth="1"/>
    <col min="6665" max="6666" width="8.875" style="3235"/>
    <col min="6667" max="6667" width="5.75" style="3235" customWidth="1"/>
    <col min="6668" max="6668" width="11.75" style="3235" customWidth="1"/>
    <col min="6669" max="6670" width="10.75" style="3235" customWidth="1"/>
    <col min="6671" max="6671" width="10" style="3235" customWidth="1"/>
    <col min="6672" max="6673" width="10.5" style="3235" bestFit="1" customWidth="1"/>
    <col min="6674" max="6674" width="10" style="3235" customWidth="1"/>
    <col min="6675" max="6675" width="10.125" style="3235" customWidth="1"/>
    <col min="6676" max="6676" width="10" style="3235" customWidth="1"/>
    <col min="6677" max="6677" width="26.125" style="3235" customWidth="1"/>
    <col min="6678" max="6913" width="8.875" style="3235"/>
    <col min="6914" max="6914" width="9.5" style="3235" customWidth="1"/>
    <col min="6915" max="6915" width="8.875" style="3235"/>
    <col min="6916" max="6918" width="12.875" style="3235" customWidth="1"/>
    <col min="6919" max="6919" width="47.5" style="3235" customWidth="1"/>
    <col min="6920" max="6920" width="13" style="3235" customWidth="1"/>
    <col min="6921" max="6922" width="8.875" style="3235"/>
    <col min="6923" max="6923" width="5.75" style="3235" customWidth="1"/>
    <col min="6924" max="6924" width="11.75" style="3235" customWidth="1"/>
    <col min="6925" max="6926" width="10.75" style="3235" customWidth="1"/>
    <col min="6927" max="6927" width="10" style="3235" customWidth="1"/>
    <col min="6928" max="6929" width="10.5" style="3235" bestFit="1" customWidth="1"/>
    <col min="6930" max="6930" width="10" style="3235" customWidth="1"/>
    <col min="6931" max="6931" width="10.125" style="3235" customWidth="1"/>
    <col min="6932" max="6932" width="10" style="3235" customWidth="1"/>
    <col min="6933" max="6933" width="26.125" style="3235" customWidth="1"/>
    <col min="6934" max="7169" width="8.875" style="3235"/>
    <col min="7170" max="7170" width="9.5" style="3235" customWidth="1"/>
    <col min="7171" max="7171" width="8.875" style="3235"/>
    <col min="7172" max="7174" width="12.875" style="3235" customWidth="1"/>
    <col min="7175" max="7175" width="47.5" style="3235" customWidth="1"/>
    <col min="7176" max="7176" width="13" style="3235" customWidth="1"/>
    <col min="7177" max="7178" width="8.875" style="3235"/>
    <col min="7179" max="7179" width="5.75" style="3235" customWidth="1"/>
    <col min="7180" max="7180" width="11.75" style="3235" customWidth="1"/>
    <col min="7181" max="7182" width="10.75" style="3235" customWidth="1"/>
    <col min="7183" max="7183" width="10" style="3235" customWidth="1"/>
    <col min="7184" max="7185" width="10.5" style="3235" bestFit="1" customWidth="1"/>
    <col min="7186" max="7186" width="10" style="3235" customWidth="1"/>
    <col min="7187" max="7187" width="10.125" style="3235" customWidth="1"/>
    <col min="7188" max="7188" width="10" style="3235" customWidth="1"/>
    <col min="7189" max="7189" width="26.125" style="3235" customWidth="1"/>
    <col min="7190" max="7425" width="8.875" style="3235"/>
    <col min="7426" max="7426" width="9.5" style="3235" customWidth="1"/>
    <col min="7427" max="7427" width="8.875" style="3235"/>
    <col min="7428" max="7430" width="12.875" style="3235" customWidth="1"/>
    <col min="7431" max="7431" width="47.5" style="3235" customWidth="1"/>
    <col min="7432" max="7432" width="13" style="3235" customWidth="1"/>
    <col min="7433" max="7434" width="8.875" style="3235"/>
    <col min="7435" max="7435" width="5.75" style="3235" customWidth="1"/>
    <col min="7436" max="7436" width="11.75" style="3235" customWidth="1"/>
    <col min="7437" max="7438" width="10.75" style="3235" customWidth="1"/>
    <col min="7439" max="7439" width="10" style="3235" customWidth="1"/>
    <col min="7440" max="7441" width="10.5" style="3235" bestFit="1" customWidth="1"/>
    <col min="7442" max="7442" width="10" style="3235" customWidth="1"/>
    <col min="7443" max="7443" width="10.125" style="3235" customWidth="1"/>
    <col min="7444" max="7444" width="10" style="3235" customWidth="1"/>
    <col min="7445" max="7445" width="26.125" style="3235" customWidth="1"/>
    <col min="7446" max="7681" width="8.875" style="3235"/>
    <col min="7682" max="7682" width="9.5" style="3235" customWidth="1"/>
    <col min="7683" max="7683" width="8.875" style="3235"/>
    <col min="7684" max="7686" width="12.875" style="3235" customWidth="1"/>
    <col min="7687" max="7687" width="47.5" style="3235" customWidth="1"/>
    <col min="7688" max="7688" width="13" style="3235" customWidth="1"/>
    <col min="7689" max="7690" width="8.875" style="3235"/>
    <col min="7691" max="7691" width="5.75" style="3235" customWidth="1"/>
    <col min="7692" max="7692" width="11.75" style="3235" customWidth="1"/>
    <col min="7693" max="7694" width="10.75" style="3235" customWidth="1"/>
    <col min="7695" max="7695" width="10" style="3235" customWidth="1"/>
    <col min="7696" max="7697" width="10.5" style="3235" bestFit="1" customWidth="1"/>
    <col min="7698" max="7698" width="10" style="3235" customWidth="1"/>
    <col min="7699" max="7699" width="10.125" style="3235" customWidth="1"/>
    <col min="7700" max="7700" width="10" style="3235" customWidth="1"/>
    <col min="7701" max="7701" width="26.125" style="3235" customWidth="1"/>
    <col min="7702" max="7937" width="8.875" style="3235"/>
    <col min="7938" max="7938" width="9.5" style="3235" customWidth="1"/>
    <col min="7939" max="7939" width="8.875" style="3235"/>
    <col min="7940" max="7942" width="12.875" style="3235" customWidth="1"/>
    <col min="7943" max="7943" width="47.5" style="3235" customWidth="1"/>
    <col min="7944" max="7944" width="13" style="3235" customWidth="1"/>
    <col min="7945" max="7946" width="8.875" style="3235"/>
    <col min="7947" max="7947" width="5.75" style="3235" customWidth="1"/>
    <col min="7948" max="7948" width="11.75" style="3235" customWidth="1"/>
    <col min="7949" max="7950" width="10.75" style="3235" customWidth="1"/>
    <col min="7951" max="7951" width="10" style="3235" customWidth="1"/>
    <col min="7952" max="7953" width="10.5" style="3235" bestFit="1" customWidth="1"/>
    <col min="7954" max="7954" width="10" style="3235" customWidth="1"/>
    <col min="7955" max="7955" width="10.125" style="3235" customWidth="1"/>
    <col min="7956" max="7956" width="10" style="3235" customWidth="1"/>
    <col min="7957" max="7957" width="26.125" style="3235" customWidth="1"/>
    <col min="7958" max="8193" width="8.875" style="3235"/>
    <col min="8194" max="8194" width="9.5" style="3235" customWidth="1"/>
    <col min="8195" max="8195" width="8.875" style="3235"/>
    <col min="8196" max="8198" width="12.875" style="3235" customWidth="1"/>
    <col min="8199" max="8199" width="47.5" style="3235" customWidth="1"/>
    <col min="8200" max="8200" width="13" style="3235" customWidth="1"/>
    <col min="8201" max="8202" width="8.875" style="3235"/>
    <col min="8203" max="8203" width="5.75" style="3235" customWidth="1"/>
    <col min="8204" max="8204" width="11.75" style="3235" customWidth="1"/>
    <col min="8205" max="8206" width="10.75" style="3235" customWidth="1"/>
    <col min="8207" max="8207" width="10" style="3235" customWidth="1"/>
    <col min="8208" max="8209" width="10.5" style="3235" bestFit="1" customWidth="1"/>
    <col min="8210" max="8210" width="10" style="3235" customWidth="1"/>
    <col min="8211" max="8211" width="10.125" style="3235" customWidth="1"/>
    <col min="8212" max="8212" width="10" style="3235" customWidth="1"/>
    <col min="8213" max="8213" width="26.125" style="3235" customWidth="1"/>
    <col min="8214" max="8449" width="8.875" style="3235"/>
    <col min="8450" max="8450" width="9.5" style="3235" customWidth="1"/>
    <col min="8451" max="8451" width="8.875" style="3235"/>
    <col min="8452" max="8454" width="12.875" style="3235" customWidth="1"/>
    <col min="8455" max="8455" width="47.5" style="3235" customWidth="1"/>
    <col min="8456" max="8456" width="13" style="3235" customWidth="1"/>
    <col min="8457" max="8458" width="8.875" style="3235"/>
    <col min="8459" max="8459" width="5.75" style="3235" customWidth="1"/>
    <col min="8460" max="8460" width="11.75" style="3235" customWidth="1"/>
    <col min="8461" max="8462" width="10.75" style="3235" customWidth="1"/>
    <col min="8463" max="8463" width="10" style="3235" customWidth="1"/>
    <col min="8464" max="8465" width="10.5" style="3235" bestFit="1" customWidth="1"/>
    <col min="8466" max="8466" width="10" style="3235" customWidth="1"/>
    <col min="8467" max="8467" width="10.125" style="3235" customWidth="1"/>
    <col min="8468" max="8468" width="10" style="3235" customWidth="1"/>
    <col min="8469" max="8469" width="26.125" style="3235" customWidth="1"/>
    <col min="8470" max="8705" width="8.875" style="3235"/>
    <col min="8706" max="8706" width="9.5" style="3235" customWidth="1"/>
    <col min="8707" max="8707" width="8.875" style="3235"/>
    <col min="8708" max="8710" width="12.875" style="3235" customWidth="1"/>
    <col min="8711" max="8711" width="47.5" style="3235" customWidth="1"/>
    <col min="8712" max="8712" width="13" style="3235" customWidth="1"/>
    <col min="8713" max="8714" width="8.875" style="3235"/>
    <col min="8715" max="8715" width="5.75" style="3235" customWidth="1"/>
    <col min="8716" max="8716" width="11.75" style="3235" customWidth="1"/>
    <col min="8717" max="8718" width="10.75" style="3235" customWidth="1"/>
    <col min="8719" max="8719" width="10" style="3235" customWidth="1"/>
    <col min="8720" max="8721" width="10.5" style="3235" bestFit="1" customWidth="1"/>
    <col min="8722" max="8722" width="10" style="3235" customWidth="1"/>
    <col min="8723" max="8723" width="10.125" style="3235" customWidth="1"/>
    <col min="8724" max="8724" width="10" style="3235" customWidth="1"/>
    <col min="8725" max="8725" width="26.125" style="3235" customWidth="1"/>
    <col min="8726" max="8961" width="8.875" style="3235"/>
    <col min="8962" max="8962" width="9.5" style="3235" customWidth="1"/>
    <col min="8963" max="8963" width="8.875" style="3235"/>
    <col min="8964" max="8966" width="12.875" style="3235" customWidth="1"/>
    <col min="8967" max="8967" width="47.5" style="3235" customWidth="1"/>
    <col min="8968" max="8968" width="13" style="3235" customWidth="1"/>
    <col min="8969" max="8970" width="8.875" style="3235"/>
    <col min="8971" max="8971" width="5.75" style="3235" customWidth="1"/>
    <col min="8972" max="8972" width="11.75" style="3235" customWidth="1"/>
    <col min="8973" max="8974" width="10.75" style="3235" customWidth="1"/>
    <col min="8975" max="8975" width="10" style="3235" customWidth="1"/>
    <col min="8976" max="8977" width="10.5" style="3235" bestFit="1" customWidth="1"/>
    <col min="8978" max="8978" width="10" style="3235" customWidth="1"/>
    <col min="8979" max="8979" width="10.125" style="3235" customWidth="1"/>
    <col min="8980" max="8980" width="10" style="3235" customWidth="1"/>
    <col min="8981" max="8981" width="26.125" style="3235" customWidth="1"/>
    <col min="8982" max="9217" width="8.875" style="3235"/>
    <col min="9218" max="9218" width="9.5" style="3235" customWidth="1"/>
    <col min="9219" max="9219" width="8.875" style="3235"/>
    <col min="9220" max="9222" width="12.875" style="3235" customWidth="1"/>
    <col min="9223" max="9223" width="47.5" style="3235" customWidth="1"/>
    <col min="9224" max="9224" width="13" style="3235" customWidth="1"/>
    <col min="9225" max="9226" width="8.875" style="3235"/>
    <col min="9227" max="9227" width="5.75" style="3235" customWidth="1"/>
    <col min="9228" max="9228" width="11.75" style="3235" customWidth="1"/>
    <col min="9229" max="9230" width="10.75" style="3235" customWidth="1"/>
    <col min="9231" max="9231" width="10" style="3235" customWidth="1"/>
    <col min="9232" max="9233" width="10.5" style="3235" bestFit="1" customWidth="1"/>
    <col min="9234" max="9234" width="10" style="3235" customWidth="1"/>
    <col min="9235" max="9235" width="10.125" style="3235" customWidth="1"/>
    <col min="9236" max="9236" width="10" style="3235" customWidth="1"/>
    <col min="9237" max="9237" width="26.125" style="3235" customWidth="1"/>
    <col min="9238" max="9473" width="8.875" style="3235"/>
    <col min="9474" max="9474" width="9.5" style="3235" customWidth="1"/>
    <col min="9475" max="9475" width="8.875" style="3235"/>
    <col min="9476" max="9478" width="12.875" style="3235" customWidth="1"/>
    <col min="9479" max="9479" width="47.5" style="3235" customWidth="1"/>
    <col min="9480" max="9480" width="13" style="3235" customWidth="1"/>
    <col min="9481" max="9482" width="8.875" style="3235"/>
    <col min="9483" max="9483" width="5.75" style="3235" customWidth="1"/>
    <col min="9484" max="9484" width="11.75" style="3235" customWidth="1"/>
    <col min="9485" max="9486" width="10.75" style="3235" customWidth="1"/>
    <col min="9487" max="9487" width="10" style="3235" customWidth="1"/>
    <col min="9488" max="9489" width="10.5" style="3235" bestFit="1" customWidth="1"/>
    <col min="9490" max="9490" width="10" style="3235" customWidth="1"/>
    <col min="9491" max="9491" width="10.125" style="3235" customWidth="1"/>
    <col min="9492" max="9492" width="10" style="3235" customWidth="1"/>
    <col min="9493" max="9493" width="26.125" style="3235" customWidth="1"/>
    <col min="9494" max="9729" width="8.875" style="3235"/>
    <col min="9730" max="9730" width="9.5" style="3235" customWidth="1"/>
    <col min="9731" max="9731" width="8.875" style="3235"/>
    <col min="9732" max="9734" width="12.875" style="3235" customWidth="1"/>
    <col min="9735" max="9735" width="47.5" style="3235" customWidth="1"/>
    <col min="9736" max="9736" width="13" style="3235" customWidth="1"/>
    <col min="9737" max="9738" width="8.875" style="3235"/>
    <col min="9739" max="9739" width="5.75" style="3235" customWidth="1"/>
    <col min="9740" max="9740" width="11.75" style="3235" customWidth="1"/>
    <col min="9741" max="9742" width="10.75" style="3235" customWidth="1"/>
    <col min="9743" max="9743" width="10" style="3235" customWidth="1"/>
    <col min="9744" max="9745" width="10.5" style="3235" bestFit="1" customWidth="1"/>
    <col min="9746" max="9746" width="10" style="3235" customWidth="1"/>
    <col min="9747" max="9747" width="10.125" style="3235" customWidth="1"/>
    <col min="9748" max="9748" width="10" style="3235" customWidth="1"/>
    <col min="9749" max="9749" width="26.125" style="3235" customWidth="1"/>
    <col min="9750" max="9985" width="8.875" style="3235"/>
    <col min="9986" max="9986" width="9.5" style="3235" customWidth="1"/>
    <col min="9987" max="9987" width="8.875" style="3235"/>
    <col min="9988" max="9990" width="12.875" style="3235" customWidth="1"/>
    <col min="9991" max="9991" width="47.5" style="3235" customWidth="1"/>
    <col min="9992" max="9992" width="13" style="3235" customWidth="1"/>
    <col min="9993" max="9994" width="8.875" style="3235"/>
    <col min="9995" max="9995" width="5.75" style="3235" customWidth="1"/>
    <col min="9996" max="9996" width="11.75" style="3235" customWidth="1"/>
    <col min="9997" max="9998" width="10.75" style="3235" customWidth="1"/>
    <col min="9999" max="9999" width="10" style="3235" customWidth="1"/>
    <col min="10000" max="10001" width="10.5" style="3235" bestFit="1" customWidth="1"/>
    <col min="10002" max="10002" width="10" style="3235" customWidth="1"/>
    <col min="10003" max="10003" width="10.125" style="3235" customWidth="1"/>
    <col min="10004" max="10004" width="10" style="3235" customWidth="1"/>
    <col min="10005" max="10005" width="26.125" style="3235" customWidth="1"/>
    <col min="10006" max="10241" width="8.875" style="3235"/>
    <col min="10242" max="10242" width="9.5" style="3235" customWidth="1"/>
    <col min="10243" max="10243" width="8.875" style="3235"/>
    <col min="10244" max="10246" width="12.875" style="3235" customWidth="1"/>
    <col min="10247" max="10247" width="47.5" style="3235" customWidth="1"/>
    <col min="10248" max="10248" width="13" style="3235" customWidth="1"/>
    <col min="10249" max="10250" width="8.875" style="3235"/>
    <col min="10251" max="10251" width="5.75" style="3235" customWidth="1"/>
    <col min="10252" max="10252" width="11.75" style="3235" customWidth="1"/>
    <col min="10253" max="10254" width="10.75" style="3235" customWidth="1"/>
    <col min="10255" max="10255" width="10" style="3235" customWidth="1"/>
    <col min="10256" max="10257" width="10.5" style="3235" bestFit="1" customWidth="1"/>
    <col min="10258" max="10258" width="10" style="3235" customWidth="1"/>
    <col min="10259" max="10259" width="10.125" style="3235" customWidth="1"/>
    <col min="10260" max="10260" width="10" style="3235" customWidth="1"/>
    <col min="10261" max="10261" width="26.125" style="3235" customWidth="1"/>
    <col min="10262" max="10497" width="8.875" style="3235"/>
    <col min="10498" max="10498" width="9.5" style="3235" customWidth="1"/>
    <col min="10499" max="10499" width="8.875" style="3235"/>
    <col min="10500" max="10502" width="12.875" style="3235" customWidth="1"/>
    <col min="10503" max="10503" width="47.5" style="3235" customWidth="1"/>
    <col min="10504" max="10504" width="13" style="3235" customWidth="1"/>
    <col min="10505" max="10506" width="8.875" style="3235"/>
    <col min="10507" max="10507" width="5.75" style="3235" customWidth="1"/>
    <col min="10508" max="10508" width="11.75" style="3235" customWidth="1"/>
    <col min="10509" max="10510" width="10.75" style="3235" customWidth="1"/>
    <col min="10511" max="10511" width="10" style="3235" customWidth="1"/>
    <col min="10512" max="10513" width="10.5" style="3235" bestFit="1" customWidth="1"/>
    <col min="10514" max="10514" width="10" style="3235" customWidth="1"/>
    <col min="10515" max="10515" width="10.125" style="3235" customWidth="1"/>
    <col min="10516" max="10516" width="10" style="3235" customWidth="1"/>
    <col min="10517" max="10517" width="26.125" style="3235" customWidth="1"/>
    <col min="10518" max="10753" width="8.875" style="3235"/>
    <col min="10754" max="10754" width="9.5" style="3235" customWidth="1"/>
    <col min="10755" max="10755" width="8.875" style="3235"/>
    <col min="10756" max="10758" width="12.875" style="3235" customWidth="1"/>
    <col min="10759" max="10759" width="47.5" style="3235" customWidth="1"/>
    <col min="10760" max="10760" width="13" style="3235" customWidth="1"/>
    <col min="10761" max="10762" width="8.875" style="3235"/>
    <col min="10763" max="10763" width="5.75" style="3235" customWidth="1"/>
    <col min="10764" max="10764" width="11.75" style="3235" customWidth="1"/>
    <col min="10765" max="10766" width="10.75" style="3235" customWidth="1"/>
    <col min="10767" max="10767" width="10" style="3235" customWidth="1"/>
    <col min="10768" max="10769" width="10.5" style="3235" bestFit="1" customWidth="1"/>
    <col min="10770" max="10770" width="10" style="3235" customWidth="1"/>
    <col min="10771" max="10771" width="10.125" style="3235" customWidth="1"/>
    <col min="10772" max="10772" width="10" style="3235" customWidth="1"/>
    <col min="10773" max="10773" width="26.125" style="3235" customWidth="1"/>
    <col min="10774" max="11009" width="8.875" style="3235"/>
    <col min="11010" max="11010" width="9.5" style="3235" customWidth="1"/>
    <col min="11011" max="11011" width="8.875" style="3235"/>
    <col min="11012" max="11014" width="12.875" style="3235" customWidth="1"/>
    <col min="11015" max="11015" width="47.5" style="3235" customWidth="1"/>
    <col min="11016" max="11016" width="13" style="3235" customWidth="1"/>
    <col min="11017" max="11018" width="8.875" style="3235"/>
    <col min="11019" max="11019" width="5.75" style="3235" customWidth="1"/>
    <col min="11020" max="11020" width="11.75" style="3235" customWidth="1"/>
    <col min="11021" max="11022" width="10.75" style="3235" customWidth="1"/>
    <col min="11023" max="11023" width="10" style="3235" customWidth="1"/>
    <col min="11024" max="11025" width="10.5" style="3235" bestFit="1" customWidth="1"/>
    <col min="11026" max="11026" width="10" style="3235" customWidth="1"/>
    <col min="11027" max="11027" width="10.125" style="3235" customWidth="1"/>
    <col min="11028" max="11028" width="10" style="3235" customWidth="1"/>
    <col min="11029" max="11029" width="26.125" style="3235" customWidth="1"/>
    <col min="11030" max="11265" width="8.875" style="3235"/>
    <col min="11266" max="11266" width="9.5" style="3235" customWidth="1"/>
    <col min="11267" max="11267" width="8.875" style="3235"/>
    <col min="11268" max="11270" width="12.875" style="3235" customWidth="1"/>
    <col min="11271" max="11271" width="47.5" style="3235" customWidth="1"/>
    <col min="11272" max="11272" width="13" style="3235" customWidth="1"/>
    <col min="11273" max="11274" width="8.875" style="3235"/>
    <col min="11275" max="11275" width="5.75" style="3235" customWidth="1"/>
    <col min="11276" max="11276" width="11.75" style="3235" customWidth="1"/>
    <col min="11277" max="11278" width="10.75" style="3235" customWidth="1"/>
    <col min="11279" max="11279" width="10" style="3235" customWidth="1"/>
    <col min="11280" max="11281" width="10.5" style="3235" bestFit="1" customWidth="1"/>
    <col min="11282" max="11282" width="10" style="3235" customWidth="1"/>
    <col min="11283" max="11283" width="10.125" style="3235" customWidth="1"/>
    <col min="11284" max="11284" width="10" style="3235" customWidth="1"/>
    <col min="11285" max="11285" width="26.125" style="3235" customWidth="1"/>
    <col min="11286" max="11521" width="8.875" style="3235"/>
    <col min="11522" max="11522" width="9.5" style="3235" customWidth="1"/>
    <col min="11523" max="11523" width="8.875" style="3235"/>
    <col min="11524" max="11526" width="12.875" style="3235" customWidth="1"/>
    <col min="11527" max="11527" width="47.5" style="3235" customWidth="1"/>
    <col min="11528" max="11528" width="13" style="3235" customWidth="1"/>
    <col min="11529" max="11530" width="8.875" style="3235"/>
    <col min="11531" max="11531" width="5.75" style="3235" customWidth="1"/>
    <col min="11532" max="11532" width="11.75" style="3235" customWidth="1"/>
    <col min="11533" max="11534" width="10.75" style="3235" customWidth="1"/>
    <col min="11535" max="11535" width="10" style="3235" customWidth="1"/>
    <col min="11536" max="11537" width="10.5" style="3235" bestFit="1" customWidth="1"/>
    <col min="11538" max="11538" width="10" style="3235" customWidth="1"/>
    <col min="11539" max="11539" width="10.125" style="3235" customWidth="1"/>
    <col min="11540" max="11540" width="10" style="3235" customWidth="1"/>
    <col min="11541" max="11541" width="26.125" style="3235" customWidth="1"/>
    <col min="11542" max="11777" width="8.875" style="3235"/>
    <col min="11778" max="11778" width="9.5" style="3235" customWidth="1"/>
    <col min="11779" max="11779" width="8.875" style="3235"/>
    <col min="11780" max="11782" width="12.875" style="3235" customWidth="1"/>
    <col min="11783" max="11783" width="47.5" style="3235" customWidth="1"/>
    <col min="11784" max="11784" width="13" style="3235" customWidth="1"/>
    <col min="11785" max="11786" width="8.875" style="3235"/>
    <col min="11787" max="11787" width="5.75" style="3235" customWidth="1"/>
    <col min="11788" max="11788" width="11.75" style="3235" customWidth="1"/>
    <col min="11789" max="11790" width="10.75" style="3235" customWidth="1"/>
    <col min="11791" max="11791" width="10" style="3235" customWidth="1"/>
    <col min="11792" max="11793" width="10.5" style="3235" bestFit="1" customWidth="1"/>
    <col min="11794" max="11794" width="10" style="3235" customWidth="1"/>
    <col min="11795" max="11795" width="10.125" style="3235" customWidth="1"/>
    <col min="11796" max="11796" width="10" style="3235" customWidth="1"/>
    <col min="11797" max="11797" width="26.125" style="3235" customWidth="1"/>
    <col min="11798" max="12033" width="8.875" style="3235"/>
    <col min="12034" max="12034" width="9.5" style="3235" customWidth="1"/>
    <col min="12035" max="12035" width="8.875" style="3235"/>
    <col min="12036" max="12038" width="12.875" style="3235" customWidth="1"/>
    <col min="12039" max="12039" width="47.5" style="3235" customWidth="1"/>
    <col min="12040" max="12040" width="13" style="3235" customWidth="1"/>
    <col min="12041" max="12042" width="8.875" style="3235"/>
    <col min="12043" max="12043" width="5.75" style="3235" customWidth="1"/>
    <col min="12044" max="12044" width="11.75" style="3235" customWidth="1"/>
    <col min="12045" max="12046" width="10.75" style="3235" customWidth="1"/>
    <col min="12047" max="12047" width="10" style="3235" customWidth="1"/>
    <col min="12048" max="12049" width="10.5" style="3235" bestFit="1" customWidth="1"/>
    <col min="12050" max="12050" width="10" style="3235" customWidth="1"/>
    <col min="12051" max="12051" width="10.125" style="3235" customWidth="1"/>
    <col min="12052" max="12052" width="10" style="3235" customWidth="1"/>
    <col min="12053" max="12053" width="26.125" style="3235" customWidth="1"/>
    <col min="12054" max="12289" width="8.875" style="3235"/>
    <col min="12290" max="12290" width="9.5" style="3235" customWidth="1"/>
    <col min="12291" max="12291" width="8.875" style="3235"/>
    <col min="12292" max="12294" width="12.875" style="3235" customWidth="1"/>
    <col min="12295" max="12295" width="47.5" style="3235" customWidth="1"/>
    <col min="12296" max="12296" width="13" style="3235" customWidth="1"/>
    <col min="12297" max="12298" width="8.875" style="3235"/>
    <col min="12299" max="12299" width="5.75" style="3235" customWidth="1"/>
    <col min="12300" max="12300" width="11.75" style="3235" customWidth="1"/>
    <col min="12301" max="12302" width="10.75" style="3235" customWidth="1"/>
    <col min="12303" max="12303" width="10" style="3235" customWidth="1"/>
    <col min="12304" max="12305" width="10.5" style="3235" bestFit="1" customWidth="1"/>
    <col min="12306" max="12306" width="10" style="3235" customWidth="1"/>
    <col min="12307" max="12307" width="10.125" style="3235" customWidth="1"/>
    <col min="12308" max="12308" width="10" style="3235" customWidth="1"/>
    <col min="12309" max="12309" width="26.125" style="3235" customWidth="1"/>
    <col min="12310" max="12545" width="8.875" style="3235"/>
    <col min="12546" max="12546" width="9.5" style="3235" customWidth="1"/>
    <col min="12547" max="12547" width="8.875" style="3235"/>
    <col min="12548" max="12550" width="12.875" style="3235" customWidth="1"/>
    <col min="12551" max="12551" width="47.5" style="3235" customWidth="1"/>
    <col min="12552" max="12552" width="13" style="3235" customWidth="1"/>
    <col min="12553" max="12554" width="8.875" style="3235"/>
    <col min="12555" max="12555" width="5.75" style="3235" customWidth="1"/>
    <col min="12556" max="12556" width="11.75" style="3235" customWidth="1"/>
    <col min="12557" max="12558" width="10.75" style="3235" customWidth="1"/>
    <col min="12559" max="12559" width="10" style="3235" customWidth="1"/>
    <col min="12560" max="12561" width="10.5" style="3235" bestFit="1" customWidth="1"/>
    <col min="12562" max="12562" width="10" style="3235" customWidth="1"/>
    <col min="12563" max="12563" width="10.125" style="3235" customWidth="1"/>
    <col min="12564" max="12564" width="10" style="3235" customWidth="1"/>
    <col min="12565" max="12565" width="26.125" style="3235" customWidth="1"/>
    <col min="12566" max="12801" width="8.875" style="3235"/>
    <col min="12802" max="12802" width="9.5" style="3235" customWidth="1"/>
    <col min="12803" max="12803" width="8.875" style="3235"/>
    <col min="12804" max="12806" width="12.875" style="3235" customWidth="1"/>
    <col min="12807" max="12807" width="47.5" style="3235" customWidth="1"/>
    <col min="12808" max="12808" width="13" style="3235" customWidth="1"/>
    <col min="12809" max="12810" width="8.875" style="3235"/>
    <col min="12811" max="12811" width="5.75" style="3235" customWidth="1"/>
    <col min="12812" max="12812" width="11.75" style="3235" customWidth="1"/>
    <col min="12813" max="12814" width="10.75" style="3235" customWidth="1"/>
    <col min="12815" max="12815" width="10" style="3235" customWidth="1"/>
    <col min="12816" max="12817" width="10.5" style="3235" bestFit="1" customWidth="1"/>
    <col min="12818" max="12818" width="10" style="3235" customWidth="1"/>
    <col min="12819" max="12819" width="10.125" style="3235" customWidth="1"/>
    <col min="12820" max="12820" width="10" style="3235" customWidth="1"/>
    <col min="12821" max="12821" width="26.125" style="3235" customWidth="1"/>
    <col min="12822" max="13057" width="8.875" style="3235"/>
    <col min="13058" max="13058" width="9.5" style="3235" customWidth="1"/>
    <col min="13059" max="13059" width="8.875" style="3235"/>
    <col min="13060" max="13062" width="12.875" style="3235" customWidth="1"/>
    <col min="13063" max="13063" width="47.5" style="3235" customWidth="1"/>
    <col min="13064" max="13064" width="13" style="3235" customWidth="1"/>
    <col min="13065" max="13066" width="8.875" style="3235"/>
    <col min="13067" max="13067" width="5.75" style="3235" customWidth="1"/>
    <col min="13068" max="13068" width="11.75" style="3235" customWidth="1"/>
    <col min="13069" max="13070" width="10.75" style="3235" customWidth="1"/>
    <col min="13071" max="13071" width="10" style="3235" customWidth="1"/>
    <col min="13072" max="13073" width="10.5" style="3235" bestFit="1" customWidth="1"/>
    <col min="13074" max="13074" width="10" style="3235" customWidth="1"/>
    <col min="13075" max="13075" width="10.125" style="3235" customWidth="1"/>
    <col min="13076" max="13076" width="10" style="3235" customWidth="1"/>
    <col min="13077" max="13077" width="26.125" style="3235" customWidth="1"/>
    <col min="13078" max="13313" width="8.875" style="3235"/>
    <col min="13314" max="13314" width="9.5" style="3235" customWidth="1"/>
    <col min="13315" max="13315" width="8.875" style="3235"/>
    <col min="13316" max="13318" width="12.875" style="3235" customWidth="1"/>
    <col min="13319" max="13319" width="47.5" style="3235" customWidth="1"/>
    <col min="13320" max="13320" width="13" style="3235" customWidth="1"/>
    <col min="13321" max="13322" width="8.875" style="3235"/>
    <col min="13323" max="13323" width="5.75" style="3235" customWidth="1"/>
    <col min="13324" max="13324" width="11.75" style="3235" customWidth="1"/>
    <col min="13325" max="13326" width="10.75" style="3235" customWidth="1"/>
    <col min="13327" max="13327" width="10" style="3235" customWidth="1"/>
    <col min="13328" max="13329" width="10.5" style="3235" bestFit="1" customWidth="1"/>
    <col min="13330" max="13330" width="10" style="3235" customWidth="1"/>
    <col min="13331" max="13331" width="10.125" style="3235" customWidth="1"/>
    <col min="13332" max="13332" width="10" style="3235" customWidth="1"/>
    <col min="13333" max="13333" width="26.125" style="3235" customWidth="1"/>
    <col min="13334" max="13569" width="8.875" style="3235"/>
    <col min="13570" max="13570" width="9.5" style="3235" customWidth="1"/>
    <col min="13571" max="13571" width="8.875" style="3235"/>
    <col min="13572" max="13574" width="12.875" style="3235" customWidth="1"/>
    <col min="13575" max="13575" width="47.5" style="3235" customWidth="1"/>
    <col min="13576" max="13576" width="13" style="3235" customWidth="1"/>
    <col min="13577" max="13578" width="8.875" style="3235"/>
    <col min="13579" max="13579" width="5.75" style="3235" customWidth="1"/>
    <col min="13580" max="13580" width="11.75" style="3235" customWidth="1"/>
    <col min="13581" max="13582" width="10.75" style="3235" customWidth="1"/>
    <col min="13583" max="13583" width="10" style="3235" customWidth="1"/>
    <col min="13584" max="13585" width="10.5" style="3235" bestFit="1" customWidth="1"/>
    <col min="13586" max="13586" width="10" style="3235" customWidth="1"/>
    <col min="13587" max="13587" width="10.125" style="3235" customWidth="1"/>
    <col min="13588" max="13588" width="10" style="3235" customWidth="1"/>
    <col min="13589" max="13589" width="26.125" style="3235" customWidth="1"/>
    <col min="13590" max="13825" width="8.875" style="3235"/>
    <col min="13826" max="13826" width="9.5" style="3235" customWidth="1"/>
    <col min="13827" max="13827" width="8.875" style="3235"/>
    <col min="13828" max="13830" width="12.875" style="3235" customWidth="1"/>
    <col min="13831" max="13831" width="47.5" style="3235" customWidth="1"/>
    <col min="13832" max="13832" width="13" style="3235" customWidth="1"/>
    <col min="13833" max="13834" width="8.875" style="3235"/>
    <col min="13835" max="13835" width="5.75" style="3235" customWidth="1"/>
    <col min="13836" max="13836" width="11.75" style="3235" customWidth="1"/>
    <col min="13837" max="13838" width="10.75" style="3235" customWidth="1"/>
    <col min="13839" max="13839" width="10" style="3235" customWidth="1"/>
    <col min="13840" max="13841" width="10.5" style="3235" bestFit="1" customWidth="1"/>
    <col min="13842" max="13842" width="10" style="3235" customWidth="1"/>
    <col min="13843" max="13843" width="10.125" style="3235" customWidth="1"/>
    <col min="13844" max="13844" width="10" style="3235" customWidth="1"/>
    <col min="13845" max="13845" width="26.125" style="3235" customWidth="1"/>
    <col min="13846" max="14081" width="8.875" style="3235"/>
    <col min="14082" max="14082" width="9.5" style="3235" customWidth="1"/>
    <col min="14083" max="14083" width="8.875" style="3235"/>
    <col min="14084" max="14086" width="12.875" style="3235" customWidth="1"/>
    <col min="14087" max="14087" width="47.5" style="3235" customWidth="1"/>
    <col min="14088" max="14088" width="13" style="3235" customWidth="1"/>
    <col min="14089" max="14090" width="8.875" style="3235"/>
    <col min="14091" max="14091" width="5.75" style="3235" customWidth="1"/>
    <col min="14092" max="14092" width="11.75" style="3235" customWidth="1"/>
    <col min="14093" max="14094" width="10.75" style="3235" customWidth="1"/>
    <col min="14095" max="14095" width="10" style="3235" customWidth="1"/>
    <col min="14096" max="14097" width="10.5" style="3235" bestFit="1" customWidth="1"/>
    <col min="14098" max="14098" width="10" style="3235" customWidth="1"/>
    <col min="14099" max="14099" width="10.125" style="3235" customWidth="1"/>
    <col min="14100" max="14100" width="10" style="3235" customWidth="1"/>
    <col min="14101" max="14101" width="26.125" style="3235" customWidth="1"/>
    <col min="14102" max="14337" width="8.875" style="3235"/>
    <col min="14338" max="14338" width="9.5" style="3235" customWidth="1"/>
    <col min="14339" max="14339" width="8.875" style="3235"/>
    <col min="14340" max="14342" width="12.875" style="3235" customWidth="1"/>
    <col min="14343" max="14343" width="47.5" style="3235" customWidth="1"/>
    <col min="14344" max="14344" width="13" style="3235" customWidth="1"/>
    <col min="14345" max="14346" width="8.875" style="3235"/>
    <col min="14347" max="14347" width="5.75" style="3235" customWidth="1"/>
    <col min="14348" max="14348" width="11.75" style="3235" customWidth="1"/>
    <col min="14349" max="14350" width="10.75" style="3235" customWidth="1"/>
    <col min="14351" max="14351" width="10" style="3235" customWidth="1"/>
    <col min="14352" max="14353" width="10.5" style="3235" bestFit="1" customWidth="1"/>
    <col min="14354" max="14354" width="10" style="3235" customWidth="1"/>
    <col min="14355" max="14355" width="10.125" style="3235" customWidth="1"/>
    <col min="14356" max="14356" width="10" style="3235" customWidth="1"/>
    <col min="14357" max="14357" width="26.125" style="3235" customWidth="1"/>
    <col min="14358" max="14593" width="8.875" style="3235"/>
    <col min="14594" max="14594" width="9.5" style="3235" customWidth="1"/>
    <col min="14595" max="14595" width="8.875" style="3235"/>
    <col min="14596" max="14598" width="12.875" style="3235" customWidth="1"/>
    <col min="14599" max="14599" width="47.5" style="3235" customWidth="1"/>
    <col min="14600" max="14600" width="13" style="3235" customWidth="1"/>
    <col min="14601" max="14602" width="8.875" style="3235"/>
    <col min="14603" max="14603" width="5.75" style="3235" customWidth="1"/>
    <col min="14604" max="14604" width="11.75" style="3235" customWidth="1"/>
    <col min="14605" max="14606" width="10.75" style="3235" customWidth="1"/>
    <col min="14607" max="14607" width="10" style="3235" customWidth="1"/>
    <col min="14608" max="14609" width="10.5" style="3235" bestFit="1" customWidth="1"/>
    <col min="14610" max="14610" width="10" style="3235" customWidth="1"/>
    <col min="14611" max="14611" width="10.125" style="3235" customWidth="1"/>
    <col min="14612" max="14612" width="10" style="3235" customWidth="1"/>
    <col min="14613" max="14613" width="26.125" style="3235" customWidth="1"/>
    <col min="14614" max="14849" width="8.875" style="3235"/>
    <col min="14850" max="14850" width="9.5" style="3235" customWidth="1"/>
    <col min="14851" max="14851" width="8.875" style="3235"/>
    <col min="14852" max="14854" width="12.875" style="3235" customWidth="1"/>
    <col min="14855" max="14855" width="47.5" style="3235" customWidth="1"/>
    <col min="14856" max="14856" width="13" style="3235" customWidth="1"/>
    <col min="14857" max="14858" width="8.875" style="3235"/>
    <col min="14859" max="14859" width="5.75" style="3235" customWidth="1"/>
    <col min="14860" max="14860" width="11.75" style="3235" customWidth="1"/>
    <col min="14861" max="14862" width="10.75" style="3235" customWidth="1"/>
    <col min="14863" max="14863" width="10" style="3235" customWidth="1"/>
    <col min="14864" max="14865" width="10.5" style="3235" bestFit="1" customWidth="1"/>
    <col min="14866" max="14866" width="10" style="3235" customWidth="1"/>
    <col min="14867" max="14867" width="10.125" style="3235" customWidth="1"/>
    <col min="14868" max="14868" width="10" style="3235" customWidth="1"/>
    <col min="14869" max="14869" width="26.125" style="3235" customWidth="1"/>
    <col min="14870" max="15105" width="8.875" style="3235"/>
    <col min="15106" max="15106" width="9.5" style="3235" customWidth="1"/>
    <col min="15107" max="15107" width="8.875" style="3235"/>
    <col min="15108" max="15110" width="12.875" style="3235" customWidth="1"/>
    <col min="15111" max="15111" width="47.5" style="3235" customWidth="1"/>
    <col min="15112" max="15112" width="13" style="3235" customWidth="1"/>
    <col min="15113" max="15114" width="8.875" style="3235"/>
    <col min="15115" max="15115" width="5.75" style="3235" customWidth="1"/>
    <col min="15116" max="15116" width="11.75" style="3235" customWidth="1"/>
    <col min="15117" max="15118" width="10.75" style="3235" customWidth="1"/>
    <col min="15119" max="15119" width="10" style="3235" customWidth="1"/>
    <col min="15120" max="15121" width="10.5" style="3235" bestFit="1" customWidth="1"/>
    <col min="15122" max="15122" width="10" style="3235" customWidth="1"/>
    <col min="15123" max="15123" width="10.125" style="3235" customWidth="1"/>
    <col min="15124" max="15124" width="10" style="3235" customWidth="1"/>
    <col min="15125" max="15125" width="26.125" style="3235" customWidth="1"/>
    <col min="15126" max="15361" width="8.875" style="3235"/>
    <col min="15362" max="15362" width="9.5" style="3235" customWidth="1"/>
    <col min="15363" max="15363" width="8.875" style="3235"/>
    <col min="15364" max="15366" width="12.875" style="3235" customWidth="1"/>
    <col min="15367" max="15367" width="47.5" style="3235" customWidth="1"/>
    <col min="15368" max="15368" width="13" style="3235" customWidth="1"/>
    <col min="15369" max="15370" width="8.875" style="3235"/>
    <col min="15371" max="15371" width="5.75" style="3235" customWidth="1"/>
    <col min="15372" max="15372" width="11.75" style="3235" customWidth="1"/>
    <col min="15373" max="15374" width="10.75" style="3235" customWidth="1"/>
    <col min="15375" max="15375" width="10" style="3235" customWidth="1"/>
    <col min="15376" max="15377" width="10.5" style="3235" bestFit="1" customWidth="1"/>
    <col min="15378" max="15378" width="10" style="3235" customWidth="1"/>
    <col min="15379" max="15379" width="10.125" style="3235" customWidth="1"/>
    <col min="15380" max="15380" width="10" style="3235" customWidth="1"/>
    <col min="15381" max="15381" width="26.125" style="3235" customWidth="1"/>
    <col min="15382" max="15617" width="8.875" style="3235"/>
    <col min="15618" max="15618" width="9.5" style="3235" customWidth="1"/>
    <col min="15619" max="15619" width="8.875" style="3235"/>
    <col min="15620" max="15622" width="12.875" style="3235" customWidth="1"/>
    <col min="15623" max="15623" width="47.5" style="3235" customWidth="1"/>
    <col min="15624" max="15624" width="13" style="3235" customWidth="1"/>
    <col min="15625" max="15626" width="8.875" style="3235"/>
    <col min="15627" max="15627" width="5.75" style="3235" customWidth="1"/>
    <col min="15628" max="15628" width="11.75" style="3235" customWidth="1"/>
    <col min="15629" max="15630" width="10.75" style="3235" customWidth="1"/>
    <col min="15631" max="15631" width="10" style="3235" customWidth="1"/>
    <col min="15632" max="15633" width="10.5" style="3235" bestFit="1" customWidth="1"/>
    <col min="15634" max="15634" width="10" style="3235" customWidth="1"/>
    <col min="15635" max="15635" width="10.125" style="3235" customWidth="1"/>
    <col min="15636" max="15636" width="10" style="3235" customWidth="1"/>
    <col min="15637" max="15637" width="26.125" style="3235" customWidth="1"/>
    <col min="15638" max="15873" width="8.875" style="3235"/>
    <col min="15874" max="15874" width="9.5" style="3235" customWidth="1"/>
    <col min="15875" max="15875" width="8.875" style="3235"/>
    <col min="15876" max="15878" width="12.875" style="3235" customWidth="1"/>
    <col min="15879" max="15879" width="47.5" style="3235" customWidth="1"/>
    <col min="15880" max="15880" width="13" style="3235" customWidth="1"/>
    <col min="15881" max="15882" width="8.875" style="3235"/>
    <col min="15883" max="15883" width="5.75" style="3235" customWidth="1"/>
    <col min="15884" max="15884" width="11.75" style="3235" customWidth="1"/>
    <col min="15885" max="15886" width="10.75" style="3235" customWidth="1"/>
    <col min="15887" max="15887" width="10" style="3235" customWidth="1"/>
    <col min="15888" max="15889" width="10.5" style="3235" bestFit="1" customWidth="1"/>
    <col min="15890" max="15890" width="10" style="3235" customWidth="1"/>
    <col min="15891" max="15891" width="10.125" style="3235" customWidth="1"/>
    <col min="15892" max="15892" width="10" style="3235" customWidth="1"/>
    <col min="15893" max="15893" width="26.125" style="3235" customWidth="1"/>
    <col min="15894" max="16129" width="8.875" style="3235"/>
    <col min="16130" max="16130" width="9.5" style="3235" customWidth="1"/>
    <col min="16131" max="16131" width="8.875" style="3235"/>
    <col min="16132" max="16134" width="12.875" style="3235" customWidth="1"/>
    <col min="16135" max="16135" width="47.5" style="3235" customWidth="1"/>
    <col min="16136" max="16136" width="13" style="3235" customWidth="1"/>
    <col min="16137" max="16138" width="8.875" style="3235"/>
    <col min="16139" max="16139" width="5.75" style="3235" customWidth="1"/>
    <col min="16140" max="16140" width="11.75" style="3235" customWidth="1"/>
    <col min="16141" max="16142" width="10.75" style="3235" customWidth="1"/>
    <col min="16143" max="16143" width="10" style="3235" customWidth="1"/>
    <col min="16144" max="16145" width="10.5" style="3235" bestFit="1" customWidth="1"/>
    <col min="16146" max="16146" width="10" style="3235" customWidth="1"/>
    <col min="16147" max="16147" width="10.125" style="3235" customWidth="1"/>
    <col min="16148" max="16148" width="10" style="3235" customWidth="1"/>
    <col min="16149" max="16149" width="26.125" style="3235" customWidth="1"/>
    <col min="16150" max="16384" width="8.875" style="3235"/>
  </cols>
  <sheetData>
    <row r="1" spans="1:23" ht="21" customHeight="1">
      <c r="A1" s="3224" t="s">
        <v>2867</v>
      </c>
      <c r="B1" s="3225"/>
      <c r="C1" s="3238"/>
      <c r="D1" s="3238"/>
      <c r="E1" s="3226"/>
      <c r="F1" s="3227"/>
      <c r="G1" s="3228"/>
      <c r="J1" s="3231" t="s">
        <v>2731</v>
      </c>
      <c r="K1" s="3232"/>
      <c r="L1" s="3232"/>
      <c r="M1" s="3232"/>
      <c r="N1" s="3232"/>
      <c r="O1" s="3232"/>
      <c r="P1" s="3232"/>
      <c r="Q1" s="3232"/>
      <c r="R1" s="3233"/>
      <c r="S1" s="3234"/>
      <c r="T1" s="3234"/>
      <c r="U1" s="3234"/>
      <c r="V1" s="3234"/>
    </row>
    <row r="2" spans="1:23" s="3247" customFormat="1" ht="13.15" customHeight="1">
      <c r="A2" s="3236" t="s">
        <v>2732</v>
      </c>
      <c r="B2" s="3237">
        <f ca="1">C40</f>
        <v>88700</v>
      </c>
      <c r="C2" s="3238" t="s">
        <v>2733</v>
      </c>
      <c r="D2" s="3238"/>
      <c r="E2" s="3239"/>
      <c r="F2" s="3240"/>
      <c r="G2" s="3241"/>
      <c r="H2" s="3242"/>
      <c r="I2" s="3243"/>
      <c r="J2" s="3829" t="s">
        <v>2734</v>
      </c>
      <c r="K2" s="3830"/>
      <c r="L2" s="3244" t="s">
        <v>2735</v>
      </c>
      <c r="M2" s="3244" t="s">
        <v>2736</v>
      </c>
      <c r="N2" s="3244" t="s">
        <v>2737</v>
      </c>
      <c r="O2" s="3244" t="s">
        <v>2738</v>
      </c>
      <c r="P2" s="3244" t="s">
        <v>2739</v>
      </c>
      <c r="Q2" s="3245" t="s">
        <v>2740</v>
      </c>
      <c r="R2" s="3246" t="s">
        <v>2741</v>
      </c>
      <c r="S2" s="3234"/>
      <c r="T2" s="3234"/>
      <c r="U2" s="3234"/>
      <c r="V2" s="3234"/>
      <c r="W2" s="3243"/>
    </row>
    <row r="3" spans="1:23" s="3247" customFormat="1" ht="13.15" customHeight="1">
      <c r="A3" s="3248" t="s">
        <v>2742</v>
      </c>
      <c r="B3" s="3249">
        <f ca="1">ROUND(B2*10000/B4,0)</f>
        <v>33190</v>
      </c>
      <c r="C3" s="3238" t="s">
        <v>2743</v>
      </c>
      <c r="D3" s="3238"/>
      <c r="E3" s="3239"/>
      <c r="F3" s="3240"/>
      <c r="G3" s="3241"/>
      <c r="H3" s="3242"/>
      <c r="I3" s="3243"/>
      <c r="J3" s="3831" t="s">
        <v>2744</v>
      </c>
      <c r="K3" s="3832"/>
      <c r="L3" s="3250"/>
      <c r="M3" s="3250"/>
      <c r="N3" s="3250"/>
      <c r="O3" s="3250"/>
      <c r="P3" s="3250"/>
      <c r="Q3" s="3251"/>
      <c r="R3" s="3252">
        <f>SUM(L3:Q3)</f>
        <v>0</v>
      </c>
      <c r="S3" s="3234"/>
      <c r="T3" s="3234"/>
      <c r="U3" s="3234"/>
      <c r="V3" s="3234"/>
      <c r="W3" s="3243"/>
    </row>
    <row r="4" spans="1:23" s="3247" customFormat="1" ht="13.15" customHeight="1">
      <c r="A4" s="3253" t="s">
        <v>2745</v>
      </c>
      <c r="B4" s="3254">
        <f>'数据-汇总表'!E3</f>
        <v>26725.120000000003</v>
      </c>
      <c r="C4" s="3238"/>
      <c r="D4" s="3238"/>
      <c r="E4" s="3239"/>
      <c r="F4" s="3240"/>
      <c r="G4" s="3241"/>
      <c r="H4" s="3242"/>
      <c r="I4" s="3243"/>
      <c r="J4" s="3831" t="s">
        <v>2746</v>
      </c>
      <c r="K4" s="3832"/>
      <c r="L4" s="3255"/>
      <c r="M4" s="3255"/>
      <c r="N4" s="3255"/>
      <c r="O4" s="3255"/>
      <c r="P4" s="3255"/>
      <c r="Q4" s="3256"/>
      <c r="R4" s="3257">
        <f>SUM(L4:Q4)</f>
        <v>0</v>
      </c>
      <c r="S4" s="3234"/>
      <c r="T4" s="3234"/>
      <c r="U4" s="3234"/>
      <c r="V4" s="3234"/>
      <c r="W4" s="3243"/>
    </row>
    <row r="5" spans="1:23" s="3247" customFormat="1" ht="13.15" customHeight="1" thickBot="1">
      <c r="A5" s="3258" t="s">
        <v>2747</v>
      </c>
      <c r="B5" s="3259">
        <f>'数据-汇总表'!D3</f>
        <v>30101.08</v>
      </c>
      <c r="C5" s="3238"/>
      <c r="D5" s="3260"/>
      <c r="E5" s="3240"/>
      <c r="F5" s="3240"/>
      <c r="G5" s="3504" t="s">
        <v>3558</v>
      </c>
      <c r="H5" s="3242"/>
      <c r="I5" s="3243"/>
      <c r="J5" s="3261" t="s">
        <v>2748</v>
      </c>
      <c r="K5" s="3262"/>
      <c r="L5" s="3262"/>
      <c r="M5" s="3263"/>
      <c r="N5" s="3263"/>
      <c r="O5" s="3263"/>
      <c r="P5" s="3263"/>
      <c r="Q5" s="3263"/>
      <c r="R5" s="3246">
        <f>SUM(R14,R19,R24,R25,R27,R28)</f>
        <v>12893</v>
      </c>
      <c r="S5" s="3234"/>
      <c r="T5" s="3234"/>
      <c r="U5" s="3234" t="s">
        <v>2749</v>
      </c>
      <c r="V5" s="3234" t="e">
        <f>ROUND(R5*10000/365/R3,1)</f>
        <v>#DIV/0!</v>
      </c>
      <c r="W5" s="3243"/>
    </row>
    <row r="6" spans="1:23" s="3247" customFormat="1" ht="13.15" customHeight="1" thickBot="1">
      <c r="A6" s="3833" t="s">
        <v>2750</v>
      </c>
      <c r="B6" s="3834"/>
      <c r="C6" s="3835"/>
      <c r="D6" s="3264">
        <f>R5</f>
        <v>12893</v>
      </c>
      <c r="E6" s="3265"/>
      <c r="F6" s="3266"/>
      <c r="G6" s="3267">
        <f>M60</f>
        <v>25596.79</v>
      </c>
      <c r="H6" s="3242">
        <f>G6*10000/365/B4</f>
        <v>26.240552626451038</v>
      </c>
      <c r="I6" s="3243"/>
      <c r="J6" s="3836">
        <v>1</v>
      </c>
      <c r="K6" s="3837" t="s">
        <v>2751</v>
      </c>
      <c r="L6" s="3268" t="s">
        <v>2752</v>
      </c>
      <c r="M6" s="3269" t="s">
        <v>2753</v>
      </c>
      <c r="N6" s="3269" t="s">
        <v>2754</v>
      </c>
      <c r="O6" s="3269" t="s">
        <v>2755</v>
      </c>
      <c r="P6" s="3269" t="s">
        <v>2756</v>
      </c>
      <c r="Q6" s="3269" t="s">
        <v>2757</v>
      </c>
      <c r="R6" s="3252" t="s">
        <v>2758</v>
      </c>
      <c r="S6" s="3234"/>
      <c r="T6" s="3234"/>
      <c r="U6" s="3234" t="s">
        <v>2759</v>
      </c>
      <c r="V6" s="3234"/>
      <c r="W6" s="3243"/>
    </row>
    <row r="7" spans="1:23" s="3247" customFormat="1" ht="13.15" customHeight="1">
      <c r="A7" s="3270" t="s">
        <v>2760</v>
      </c>
      <c r="B7" s="3271"/>
      <c r="C7" s="3272"/>
      <c r="D7" s="3273">
        <f ca="1">SUM(D9,D10,D11,D17,0)</f>
        <v>8201</v>
      </c>
      <c r="E7" s="3274">
        <f ca="1">E9+E10+E11+E17</f>
        <v>0.63609322888389042</v>
      </c>
      <c r="F7" s="3275"/>
      <c r="G7" s="3276"/>
      <c r="H7" s="3242"/>
      <c r="I7" s="3243"/>
      <c r="J7" s="3836"/>
      <c r="K7" s="3838"/>
      <c r="L7" s="3277"/>
      <c r="M7" s="3278"/>
      <c r="N7" s="3254"/>
      <c r="O7" s="3279"/>
      <c r="P7" s="3279"/>
      <c r="Q7" s="3280">
        <v>365</v>
      </c>
      <c r="R7" s="3281">
        <f>ROUND(M7*N7*O7*P7*Q7/10000,0)</f>
        <v>0</v>
      </c>
      <c r="S7" s="3234"/>
      <c r="T7" s="3234"/>
      <c r="U7" s="3234" t="s">
        <v>2761</v>
      </c>
      <c r="V7" s="3234"/>
      <c r="W7" s="3243"/>
    </row>
    <row r="8" spans="1:23" s="3247" customFormat="1" ht="13.15" customHeight="1">
      <c r="A8" s="3282" t="s">
        <v>2762</v>
      </c>
      <c r="B8" s="3840" t="s">
        <v>2763</v>
      </c>
      <c r="C8" s="3841"/>
      <c r="D8" s="3283" t="s">
        <v>2764</v>
      </c>
      <c r="E8" s="3284" t="s">
        <v>2765</v>
      </c>
      <c r="F8" s="3285" t="s">
        <v>2766</v>
      </c>
      <c r="G8" s="3286"/>
      <c r="H8" s="3242"/>
      <c r="I8" s="3243"/>
      <c r="J8" s="3836"/>
      <c r="K8" s="3838"/>
      <c r="L8" s="3277"/>
      <c r="M8" s="3278"/>
      <c r="N8" s="3254"/>
      <c r="O8" s="3279"/>
      <c r="P8" s="3279"/>
      <c r="Q8" s="3280">
        <v>365</v>
      </c>
      <c r="R8" s="3281">
        <f t="shared" ref="R8:R13" si="0">ROUND(M8*N8*O8*P8*Q8/10000,0)</f>
        <v>0</v>
      </c>
      <c r="S8" s="3234"/>
      <c r="T8" s="3234"/>
      <c r="U8" s="3234" t="s">
        <v>2767</v>
      </c>
      <c r="V8" s="3234"/>
      <c r="W8" s="3243"/>
    </row>
    <row r="9" spans="1:23" s="3247" customFormat="1" ht="13.15" customHeight="1">
      <c r="A9" s="3282">
        <v>1</v>
      </c>
      <c r="B9" s="3840" t="s">
        <v>2768</v>
      </c>
      <c r="C9" s="3841"/>
      <c r="D9" s="3283">
        <f>ROUND(D6*E9,0)</f>
        <v>3223</v>
      </c>
      <c r="E9" s="3287">
        <v>0.25</v>
      </c>
      <c r="F9" s="3288" t="s">
        <v>2769</v>
      </c>
      <c r="G9" s="3267">
        <f>P60</f>
        <v>3846.7799999999997</v>
      </c>
      <c r="H9" s="3242"/>
      <c r="I9" s="3243"/>
      <c r="J9" s="3836"/>
      <c r="K9" s="3838"/>
      <c r="L9" s="3277"/>
      <c r="M9" s="3278"/>
      <c r="N9" s="3254"/>
      <c r="O9" s="3279"/>
      <c r="P9" s="3279"/>
      <c r="Q9" s="3280">
        <v>365</v>
      </c>
      <c r="R9" s="3281">
        <f t="shared" si="0"/>
        <v>0</v>
      </c>
      <c r="S9" s="3234"/>
      <c r="T9" s="3234"/>
      <c r="U9" s="3234"/>
      <c r="V9" s="3234"/>
      <c r="W9" s="3243"/>
    </row>
    <row r="10" spans="1:23" s="3247" customFormat="1" ht="13.15" customHeight="1">
      <c r="A10" s="3282">
        <v>2</v>
      </c>
      <c r="B10" s="3840" t="s">
        <v>2770</v>
      </c>
      <c r="C10" s="3841"/>
      <c r="D10" s="3283">
        <f>ROUND(D6*E10,0)</f>
        <v>2579</v>
      </c>
      <c r="E10" s="3287">
        <v>0.2</v>
      </c>
      <c r="F10" s="3288" t="s">
        <v>2771</v>
      </c>
      <c r="G10" s="3267">
        <f>Q49+R49</f>
        <v>10677.41</v>
      </c>
      <c r="H10" s="3242"/>
      <c r="I10" s="3243"/>
      <c r="J10" s="3836"/>
      <c r="K10" s="3838"/>
      <c r="L10" s="3277" t="str">
        <f>H51</f>
        <v>D03地块民宿</v>
      </c>
      <c r="M10" s="3278">
        <f>J51</f>
        <v>38</v>
      </c>
      <c r="N10" s="3254">
        <f>K51</f>
        <v>2000</v>
      </c>
      <c r="O10" s="3279">
        <v>1</v>
      </c>
      <c r="P10" s="3279">
        <v>0.4</v>
      </c>
      <c r="Q10" s="3280">
        <v>365</v>
      </c>
      <c r="R10" s="3281">
        <f t="shared" si="0"/>
        <v>1110</v>
      </c>
      <c r="S10" s="3234"/>
      <c r="T10" s="3234"/>
      <c r="U10" s="3234"/>
      <c r="V10" s="3515" t="s">
        <v>3583</v>
      </c>
      <c r="W10" s="3243"/>
    </row>
    <row r="11" spans="1:23" s="3247" customFormat="1" ht="13.15" customHeight="1">
      <c r="A11" s="3282">
        <v>3</v>
      </c>
      <c r="B11" s="3840" t="s">
        <v>2772</v>
      </c>
      <c r="C11" s="3841"/>
      <c r="D11" s="3283">
        <f ca="1">D12+D14+D15+D16</f>
        <v>1110</v>
      </c>
      <c r="E11" s="3289">
        <f ca="1">D11/D6</f>
        <v>8.6093228883890482E-2</v>
      </c>
      <c r="F11" s="3285"/>
      <c r="G11" s="3286"/>
      <c r="H11" s="3242"/>
      <c r="I11" s="3243"/>
      <c r="J11" s="3836"/>
      <c r="K11" s="3838"/>
      <c r="L11" s="3277" t="str">
        <f>H52</f>
        <v>D04地块民宿</v>
      </c>
      <c r="M11" s="3278">
        <v>63</v>
      </c>
      <c r="N11" s="3254">
        <v>1200</v>
      </c>
      <c r="O11" s="3279">
        <v>1</v>
      </c>
      <c r="P11" s="3279">
        <f>P10</f>
        <v>0.4</v>
      </c>
      <c r="Q11" s="3280">
        <v>365</v>
      </c>
      <c r="R11" s="3281">
        <f t="shared" si="0"/>
        <v>1104</v>
      </c>
      <c r="S11" s="3234"/>
      <c r="T11" s="3515" t="s">
        <v>3581</v>
      </c>
      <c r="U11" s="3234">
        <v>120</v>
      </c>
      <c r="V11" s="3507">
        <v>0.8</v>
      </c>
      <c r="W11" s="3243">
        <f>U11*V11</f>
        <v>96</v>
      </c>
    </row>
    <row r="12" spans="1:23" s="3247" customFormat="1" ht="13.15" customHeight="1">
      <c r="A12" s="3290" t="s">
        <v>2773</v>
      </c>
      <c r="B12" s="3842" t="s">
        <v>2774</v>
      </c>
      <c r="C12" s="3843"/>
      <c r="D12" s="3291">
        <f ca="1">ROUND(D13*1.2%*(1-30%),0)</f>
        <v>396</v>
      </c>
      <c r="E12" s="3292">
        <v>1.2E-2</v>
      </c>
      <c r="F12" s="3285" t="s">
        <v>2775</v>
      </c>
      <c r="G12" s="3286"/>
      <c r="H12" s="3242"/>
      <c r="I12" s="3243"/>
      <c r="J12" s="3836"/>
      <c r="K12" s="3838"/>
      <c r="L12" s="3277" t="str">
        <f>H53</f>
        <v>D05地块民宿</v>
      </c>
      <c r="M12" s="3278">
        <v>111</v>
      </c>
      <c r="N12" s="3254">
        <v>1200</v>
      </c>
      <c r="O12" s="3279">
        <v>1</v>
      </c>
      <c r="P12" s="3279">
        <f>P11</f>
        <v>0.4</v>
      </c>
      <c r="Q12" s="3280">
        <v>365</v>
      </c>
      <c r="R12" s="3281">
        <f t="shared" si="0"/>
        <v>1945</v>
      </c>
      <c r="S12" s="3234"/>
      <c r="T12" s="3515" t="s">
        <v>3582</v>
      </c>
      <c r="U12" s="3234">
        <f>365-U11</f>
        <v>245</v>
      </c>
      <c r="V12" s="3507">
        <v>0.2</v>
      </c>
      <c r="W12" s="3243">
        <f>U12*V12</f>
        <v>49</v>
      </c>
    </row>
    <row r="13" spans="1:23" s="3247" customFormat="1" ht="13.15" customHeight="1">
      <c r="A13" s="3290"/>
      <c r="B13" s="3293"/>
      <c r="C13" s="3294" t="s">
        <v>2776</v>
      </c>
      <c r="D13" s="3295">
        <f ca="1">不动产收益法!C29</f>
        <v>47164</v>
      </c>
      <c r="E13" s="3296"/>
      <c r="F13" s="3285"/>
      <c r="G13" s="3286"/>
      <c r="H13" s="3242"/>
      <c r="I13" s="3243"/>
      <c r="J13" s="3836"/>
      <c r="K13" s="3838"/>
      <c r="L13" s="3277"/>
      <c r="M13" s="3278"/>
      <c r="N13" s="3254"/>
      <c r="O13" s="3279"/>
      <c r="P13" s="3279"/>
      <c r="Q13" s="3280">
        <v>365</v>
      </c>
      <c r="R13" s="3281">
        <f t="shared" si="0"/>
        <v>0</v>
      </c>
      <c r="S13" s="3234"/>
      <c r="T13" s="3234"/>
      <c r="U13" s="3234">
        <f>365</f>
        <v>365</v>
      </c>
      <c r="V13" s="3234">
        <f>W13/U13</f>
        <v>0.39726027397260272</v>
      </c>
      <c r="W13" s="3243">
        <f>W11+W12</f>
        <v>145</v>
      </c>
    </row>
    <row r="14" spans="1:23" s="3247" customFormat="1" ht="13.15" customHeight="1">
      <c r="A14" s="3290" t="s">
        <v>2777</v>
      </c>
      <c r="B14" s="3842" t="s">
        <v>2778</v>
      </c>
      <c r="C14" s="3843"/>
      <c r="D14" s="3291">
        <f>ROUND(E14*B5/10000,0)</f>
        <v>5</v>
      </c>
      <c r="E14" s="3503">
        <f>不动产收益法!F34</f>
        <v>1.5</v>
      </c>
      <c r="F14" s="3285" t="s">
        <v>2779</v>
      </c>
      <c r="G14" s="3286"/>
      <c r="H14" s="3242"/>
      <c r="I14" s="3243"/>
      <c r="J14" s="3836"/>
      <c r="K14" s="3839"/>
      <c r="L14" s="3297" t="s">
        <v>2780</v>
      </c>
      <c r="M14" s="3298">
        <f>SUM(M7:M13)</f>
        <v>212</v>
      </c>
      <c r="N14" s="3298">
        <f>ROUND((N7*M7+N8*M8+N9*M9+N10*M10+N11*M11+N12*M12+N13*M13)/M14,0)</f>
        <v>1343</v>
      </c>
      <c r="O14" s="3299"/>
      <c r="P14" s="3299"/>
      <c r="Q14" s="3300"/>
      <c r="R14" s="3246">
        <f>SUM(R7:R13)</f>
        <v>4159</v>
      </c>
      <c r="S14" s="3234">
        <v>6226</v>
      </c>
      <c r="T14" s="3234"/>
      <c r="U14" s="3234"/>
      <c r="V14" s="3234"/>
      <c r="W14" s="3243"/>
    </row>
    <row r="15" spans="1:23" s="3247" customFormat="1" ht="13.15" customHeight="1">
      <c r="A15" s="3290" t="s">
        <v>2781</v>
      </c>
      <c r="B15" s="3842" t="s">
        <v>2782</v>
      </c>
      <c r="C15" s="3843"/>
      <c r="D15" s="3291">
        <f>ROUND(D6*E15,0)</f>
        <v>709</v>
      </c>
      <c r="E15" s="3292">
        <v>5.5E-2</v>
      </c>
      <c r="F15" s="3285" t="s">
        <v>2783</v>
      </c>
      <c r="G15" s="3267"/>
      <c r="H15" s="3242"/>
      <c r="I15" s="3243"/>
      <c r="J15" s="3836">
        <v>2</v>
      </c>
      <c r="K15" s="3837" t="s">
        <v>2784</v>
      </c>
      <c r="L15" s="3277" t="s">
        <v>2785</v>
      </c>
      <c r="M15" s="3278" t="s">
        <v>2786</v>
      </c>
      <c r="N15" s="3278" t="s">
        <v>2787</v>
      </c>
      <c r="O15" s="3279" t="s">
        <v>2788</v>
      </c>
      <c r="P15" s="3279" t="s">
        <v>2789</v>
      </c>
      <c r="Q15" s="3254" t="s">
        <v>2790</v>
      </c>
      <c r="R15" s="3301" t="s">
        <v>2791</v>
      </c>
      <c r="S15" s="3234"/>
      <c r="T15" s="3234"/>
      <c r="U15" s="3234"/>
      <c r="V15" s="3234"/>
      <c r="W15" s="3243"/>
    </row>
    <row r="16" spans="1:23" s="3247" customFormat="1" ht="13.15" customHeight="1">
      <c r="A16" s="3290" t="s">
        <v>2792</v>
      </c>
      <c r="B16" s="3842" t="s">
        <v>2793</v>
      </c>
      <c r="C16" s="3843"/>
      <c r="D16" s="3302">
        <f>D6*E16</f>
        <v>0</v>
      </c>
      <c r="E16" s="3303"/>
      <c r="F16" s="3288" t="s">
        <v>2794</v>
      </c>
      <c r="G16" s="3267"/>
      <c r="H16" s="3242"/>
      <c r="I16" s="3243"/>
      <c r="J16" s="3836"/>
      <c r="K16" s="3838"/>
      <c r="L16" s="3277" t="s">
        <v>2795</v>
      </c>
      <c r="M16" s="3278"/>
      <c r="N16" s="3278"/>
      <c r="O16" s="3279"/>
      <c r="P16" s="3280">
        <v>365</v>
      </c>
      <c r="Q16" s="3254"/>
      <c r="R16" s="3301">
        <f>ROUND(M16*N16*O16*P16/10000,0)</f>
        <v>0</v>
      </c>
      <c r="S16" s="3234"/>
      <c r="T16" s="3234"/>
      <c r="U16" s="3234"/>
      <c r="V16" s="3234"/>
      <c r="W16" s="3243"/>
    </row>
    <row r="17" spans="1:23" s="3247" customFormat="1" ht="13.15" customHeight="1" thickBot="1">
      <c r="A17" s="3304">
        <v>4</v>
      </c>
      <c r="B17" s="3844" t="s">
        <v>2796</v>
      </c>
      <c r="C17" s="3845"/>
      <c r="D17" s="3305">
        <f>ROUND(D6*E17,0)</f>
        <v>1289</v>
      </c>
      <c r="E17" s="3306">
        <v>0.1</v>
      </c>
      <c r="F17" s="3307" t="s">
        <v>2797</v>
      </c>
      <c r="G17" s="3267"/>
      <c r="H17" s="3242"/>
      <c r="I17" s="3243"/>
      <c r="J17" s="3836"/>
      <c r="K17" s="3838"/>
      <c r="L17" s="3277" t="s">
        <v>2798</v>
      </c>
      <c r="M17" s="3278"/>
      <c r="N17" s="3278"/>
      <c r="O17" s="3279"/>
      <c r="P17" s="3280">
        <v>365</v>
      </c>
      <c r="Q17" s="3254"/>
      <c r="R17" s="3301">
        <f>ROUND(M17*N17*O17*P17/10000,0)</f>
        <v>0</v>
      </c>
      <c r="S17" s="3234"/>
      <c r="T17" s="3234"/>
      <c r="U17" s="3234"/>
      <c r="V17" s="3234"/>
      <c r="W17" s="3243"/>
    </row>
    <row r="18" spans="1:23" s="3247" customFormat="1" ht="13.15" customHeight="1" thickBot="1">
      <c r="A18" s="3270" t="s">
        <v>2799</v>
      </c>
      <c r="B18" s="3271"/>
      <c r="C18" s="3271"/>
      <c r="D18" s="3308">
        <f>ROUND(D6*E18,0)</f>
        <v>645</v>
      </c>
      <c r="E18" s="3309">
        <v>0.05</v>
      </c>
      <c r="F18" s="3310" t="s">
        <v>2800</v>
      </c>
      <c r="G18" s="3267"/>
      <c r="H18" s="3242"/>
      <c r="I18" s="3243"/>
      <c r="J18" s="3836"/>
      <c r="K18" s="3838"/>
      <c r="L18" s="3277" t="s">
        <v>2801</v>
      </c>
      <c r="M18" s="3278"/>
      <c r="N18" s="3278"/>
      <c r="O18" s="3279"/>
      <c r="P18" s="3280">
        <v>365</v>
      </c>
      <c r="Q18" s="3254"/>
      <c r="R18" s="3301">
        <f>ROUND(M18*N18*O18*P18/10000,0)</f>
        <v>0</v>
      </c>
      <c r="S18" s="3234"/>
      <c r="T18" s="3234"/>
      <c r="U18" s="3234"/>
      <c r="V18" s="3234"/>
      <c r="W18" s="3243"/>
    </row>
    <row r="19" spans="1:23" s="3247" customFormat="1" ht="13.15" customHeight="1" thickBot="1">
      <c r="A19" s="3311" t="s">
        <v>2802</v>
      </c>
      <c r="B19" s="3265"/>
      <c r="C19" s="3265"/>
      <c r="D19" s="3265"/>
      <c r="E19" s="3265"/>
      <c r="F19" s="3266"/>
      <c r="G19" s="3286"/>
      <c r="H19" s="3242"/>
      <c r="I19" s="3243"/>
      <c r="J19" s="3836"/>
      <c r="K19" s="3839"/>
      <c r="L19" s="3297" t="s">
        <v>2780</v>
      </c>
      <c r="M19" s="3298"/>
      <c r="N19" s="3298">
        <f>SUM(N16:N18)</f>
        <v>0</v>
      </c>
      <c r="O19" s="3299"/>
      <c r="P19" s="3312" t="s">
        <v>3570</v>
      </c>
      <c r="Q19" s="3516">
        <v>0.6</v>
      </c>
      <c r="R19" s="3313">
        <f>ROUND(IF(P19="按比例",R14*Q19,SUM(R16:R18)),0)</f>
        <v>2495</v>
      </c>
      <c r="S19" s="3234">
        <v>3684</v>
      </c>
      <c r="T19" s="3234">
        <f>S19/S14</f>
        <v>0.59171217475104398</v>
      </c>
      <c r="U19" s="3234"/>
      <c r="V19" s="3234"/>
      <c r="W19" s="3243"/>
    </row>
    <row r="20" spans="1:23" s="3247" customFormat="1" ht="13.15" customHeight="1">
      <c r="A20" s="3270"/>
      <c r="B20" s="3271"/>
      <c r="C20" s="3271"/>
      <c r="D20" s="3271"/>
      <c r="E20" s="3271"/>
      <c r="F20" s="3314"/>
      <c r="G20" s="3286"/>
      <c r="H20" s="3242"/>
      <c r="I20" s="3243"/>
      <c r="J20" s="3836">
        <v>3</v>
      </c>
      <c r="K20" s="3837" t="s">
        <v>2803</v>
      </c>
      <c r="L20" s="3277" t="s">
        <v>2804</v>
      </c>
      <c r="M20" s="3278" t="s">
        <v>2805</v>
      </c>
      <c r="N20" s="3315" t="s">
        <v>2806</v>
      </c>
      <c r="O20" s="3279" t="s">
        <v>2807</v>
      </c>
      <c r="P20" s="3280" t="s">
        <v>2808</v>
      </c>
      <c r="Q20" s="3254" t="s">
        <v>2809</v>
      </c>
      <c r="R20" s="3301" t="s">
        <v>2758</v>
      </c>
      <c r="S20" s="3316"/>
      <c r="T20" s="3316"/>
      <c r="U20" s="3316"/>
      <c r="V20" s="3316"/>
      <c r="W20" s="3243"/>
    </row>
    <row r="21" spans="1:23" s="3247" customFormat="1" ht="13.15" customHeight="1">
      <c r="A21" s="3270"/>
      <c r="B21" s="3271"/>
      <c r="C21" s="3317" t="s">
        <v>2810</v>
      </c>
      <c r="D21" s="3318" t="s">
        <v>2811</v>
      </c>
      <c r="E21" s="3319" t="s">
        <v>2812</v>
      </c>
      <c r="F21" s="3314"/>
      <c r="G21" s="3286"/>
      <c r="H21" s="3242"/>
      <c r="I21" s="3243"/>
      <c r="J21" s="3836"/>
      <c r="K21" s="3838"/>
      <c r="L21" s="3277" t="s">
        <v>2813</v>
      </c>
      <c r="M21" s="3278"/>
      <c r="N21" s="3278"/>
      <c r="O21" s="3279"/>
      <c r="P21" s="3280">
        <v>365</v>
      </c>
      <c r="Q21" s="3254"/>
      <c r="R21" s="3320">
        <f>ROUND(M21*N21*O21*P21/10000,0)</f>
        <v>0</v>
      </c>
      <c r="S21" s="3316"/>
      <c r="T21" s="3316"/>
      <c r="U21" s="3316"/>
      <c r="V21" s="3316"/>
      <c r="W21" s="3243"/>
    </row>
    <row r="22" spans="1:23" s="3247" customFormat="1" ht="13.15" customHeight="1">
      <c r="A22" s="3270"/>
      <c r="B22" s="3271"/>
      <c r="C22" s="3321" t="s">
        <v>2814</v>
      </c>
      <c r="D22" s="3322" t="s">
        <v>2815</v>
      </c>
      <c r="E22" s="3323" t="s">
        <v>2816</v>
      </c>
      <c r="F22" s="3314"/>
      <c r="G22" s="3826" t="s">
        <v>3572</v>
      </c>
      <c r="H22" s="3827"/>
      <c r="I22" s="3828"/>
      <c r="J22" s="3836"/>
      <c r="K22" s="3838"/>
      <c r="L22" s="3277" t="s">
        <v>2817</v>
      </c>
      <c r="M22" s="3278"/>
      <c r="N22" s="3278"/>
      <c r="O22" s="3279"/>
      <c r="P22" s="3280">
        <v>365</v>
      </c>
      <c r="Q22" s="3254"/>
      <c r="R22" s="3320">
        <f>ROUND(M22*N22*O22*P22/10000,0)</f>
        <v>0</v>
      </c>
      <c r="S22" s="3316"/>
      <c r="T22" s="3316"/>
      <c r="U22" s="3316"/>
      <c r="V22" s="3316"/>
      <c r="W22" s="3243"/>
    </row>
    <row r="23" spans="1:23" s="3247" customFormat="1" ht="13.15" customHeight="1">
      <c r="A23" s="3325">
        <v>1</v>
      </c>
      <c r="B23" s="3326" t="s">
        <v>2818</v>
      </c>
      <c r="C23" s="3327">
        <f>D6</f>
        <v>12893</v>
      </c>
      <c r="D23" s="3328">
        <f>C23*(1+D24)</f>
        <v>16760.900000000001</v>
      </c>
      <c r="E23" s="3329">
        <f>D23*(1+E24)</f>
        <v>18436.990000000002</v>
      </c>
      <c r="F23" s="3330"/>
      <c r="G23" s="3509">
        <f>C23*10000/365/$B$4</f>
        <v>13.217260641386408</v>
      </c>
      <c r="H23" s="3509">
        <f t="shared" ref="H23:I23" si="1">D23*10000/365/$B$4</f>
        <v>17.182438833802333</v>
      </c>
      <c r="I23" s="3509">
        <f t="shared" si="1"/>
        <v>18.900682717182566</v>
      </c>
      <c r="J23" s="3836"/>
      <c r="K23" s="3838"/>
      <c r="L23" s="3277" t="s">
        <v>2819</v>
      </c>
      <c r="M23" s="3278"/>
      <c r="N23" s="3278"/>
      <c r="O23" s="3279"/>
      <c r="P23" s="3280">
        <v>365</v>
      </c>
      <c r="Q23" s="3254"/>
      <c r="R23" s="3320">
        <f>ROUND(M23*N23*O23*P23/10000,0)</f>
        <v>0</v>
      </c>
      <c r="S23" s="3234"/>
      <c r="T23" s="3234"/>
      <c r="U23" s="3234"/>
      <c r="V23" s="3234"/>
      <c r="W23" s="3243"/>
    </row>
    <row r="24" spans="1:23" s="3247" customFormat="1" ht="13.15" customHeight="1">
      <c r="A24" s="3331"/>
      <c r="B24" s="3332" t="s">
        <v>2820</v>
      </c>
      <c r="C24" s="3333"/>
      <c r="D24" s="3334">
        <v>0.3</v>
      </c>
      <c r="E24" s="3335">
        <v>0.1</v>
      </c>
      <c r="F24" s="3336"/>
      <c r="G24" s="3509"/>
      <c r="H24" s="3509"/>
      <c r="I24" s="3509"/>
      <c r="J24" s="3836"/>
      <c r="K24" s="3839"/>
      <c r="L24" s="3297" t="s">
        <v>2780</v>
      </c>
      <c r="M24" s="3298">
        <f>SUM(M21:M23)</f>
        <v>0</v>
      </c>
      <c r="N24" s="3298"/>
      <c r="O24" s="3299"/>
      <c r="P24" s="3312" t="s">
        <v>2868</v>
      </c>
      <c r="Q24" s="3279"/>
      <c r="R24" s="3313">
        <f>ROUND(IF(P24="按比例",R14*Q24,SUM(R21:R23)),0)</f>
        <v>0</v>
      </c>
      <c r="S24" s="3234"/>
      <c r="T24" s="3234"/>
      <c r="U24" s="3234"/>
      <c r="V24" s="3234"/>
      <c r="W24" s="3243"/>
    </row>
    <row r="25" spans="1:23" s="3343" customFormat="1" ht="13.15" customHeight="1">
      <c r="A25" s="3331"/>
      <c r="B25" s="3332"/>
      <c r="C25" s="3333"/>
      <c r="D25" s="3334"/>
      <c r="E25" s="3335"/>
      <c r="F25" s="3336"/>
      <c r="G25" s="3509"/>
      <c r="H25" s="3509"/>
      <c r="I25" s="3509"/>
      <c r="J25" s="3337">
        <v>4</v>
      </c>
      <c r="K25" s="3338" t="s">
        <v>2821</v>
      </c>
      <c r="L25" s="3339"/>
      <c r="M25" s="3339"/>
      <c r="N25" s="3339"/>
      <c r="O25" s="3339"/>
      <c r="P25" s="3340"/>
      <c r="Q25" s="3517">
        <v>1.5</v>
      </c>
      <c r="R25" s="3313">
        <f>ROUND(R14*Q25,0)</f>
        <v>6239</v>
      </c>
      <c r="S25" s="3234">
        <f>M54+M57+M59</f>
        <v>15675.63</v>
      </c>
      <c r="T25" s="3234"/>
      <c r="U25" s="3234"/>
      <c r="V25" s="3234"/>
      <c r="W25" s="3342"/>
    </row>
    <row r="26" spans="1:23" s="3343" customFormat="1" ht="13.15" customHeight="1">
      <c r="A26" s="3325">
        <v>2</v>
      </c>
      <c r="B26" s="3326" t="s">
        <v>2822</v>
      </c>
      <c r="C26" s="3327">
        <f ca="1">D7</f>
        <v>8201</v>
      </c>
      <c r="D26" s="3328">
        <f ca="1">D23*D27</f>
        <v>10661.494999999999</v>
      </c>
      <c r="E26" s="3329">
        <f ca="1">E23*E27</f>
        <v>11727.6445</v>
      </c>
      <c r="F26" s="3330"/>
      <c r="G26" s="3509"/>
      <c r="H26" s="3509"/>
      <c r="I26" s="3509"/>
      <c r="J26" s="3846">
        <v>5</v>
      </c>
      <c r="K26" s="3344" t="s">
        <v>2823</v>
      </c>
      <c r="L26" s="3345"/>
      <c r="M26" s="3346"/>
      <c r="N26" s="3347" t="s">
        <v>2824</v>
      </c>
      <c r="O26" s="3347" t="s">
        <v>2825</v>
      </c>
      <c r="P26" s="3348" t="s">
        <v>2826</v>
      </c>
      <c r="Q26" s="3348" t="s">
        <v>2827</v>
      </c>
      <c r="R26" s="3252" t="s">
        <v>2828</v>
      </c>
      <c r="S26" s="3349"/>
      <c r="T26" s="3349"/>
      <c r="U26" s="3349"/>
      <c r="V26" s="3349"/>
      <c r="W26" s="3342"/>
    </row>
    <row r="27" spans="1:23" s="3247" customFormat="1" ht="13.15" customHeight="1">
      <c r="A27" s="3331"/>
      <c r="B27" s="3332" t="s">
        <v>2829</v>
      </c>
      <c r="C27" s="3350">
        <f ca="1">E7</f>
        <v>0.63609322888389042</v>
      </c>
      <c r="D27" s="3334">
        <f ca="1">C27</f>
        <v>0.63609322888389042</v>
      </c>
      <c r="E27" s="3335">
        <f ca="1">D27</f>
        <v>0.63609322888389042</v>
      </c>
      <c r="F27" s="3336"/>
      <c r="G27" s="3509"/>
      <c r="H27" s="3509"/>
      <c r="I27" s="3509"/>
      <c r="J27" s="3847"/>
      <c r="K27" s="3352"/>
      <c r="L27" s="3353"/>
      <c r="M27" s="3354"/>
      <c r="N27" s="3355"/>
      <c r="O27" s="3355"/>
      <c r="P27" s="3355"/>
      <c r="Q27" s="3356"/>
      <c r="R27" s="3313">
        <f>ROUND(O27*N27*P27*(1-Q27)/10000,0)</f>
        <v>0</v>
      </c>
      <c r="S27" s="3234"/>
      <c r="T27" s="3234"/>
      <c r="U27" s="3234"/>
      <c r="V27" s="3234"/>
      <c r="W27" s="3243"/>
    </row>
    <row r="28" spans="1:23" s="3343" customFormat="1" ht="13.15" customHeight="1" thickBot="1">
      <c r="A28" s="3331"/>
      <c r="B28" s="3332"/>
      <c r="C28" s="3350"/>
      <c r="D28" s="3334"/>
      <c r="E28" s="3335" t="s">
        <v>2830</v>
      </c>
      <c r="F28" s="3336"/>
      <c r="G28" s="3509"/>
      <c r="H28" s="3509"/>
      <c r="I28" s="3509"/>
      <c r="J28" s="3357">
        <v>6</v>
      </c>
      <c r="K28" s="3358" t="s">
        <v>2831</v>
      </c>
      <c r="L28" s="3359" t="s">
        <v>2832</v>
      </c>
      <c r="M28" s="3360"/>
      <c r="N28" s="3359" t="s">
        <v>2833</v>
      </c>
      <c r="O28" s="3361"/>
      <c r="P28" s="3359" t="s">
        <v>2834</v>
      </c>
      <c r="Q28" s="3362">
        <v>1.4999999999999999E-2</v>
      </c>
      <c r="R28" s="3363"/>
      <c r="S28" s="3316"/>
      <c r="T28" s="3316"/>
      <c r="U28" s="3316"/>
      <c r="V28" s="3316"/>
      <c r="W28" s="3342"/>
    </row>
    <row r="29" spans="1:23" s="3343" customFormat="1" ht="13.15" customHeight="1">
      <c r="A29" s="3325">
        <v>3</v>
      </c>
      <c r="B29" s="3326" t="s">
        <v>2835</v>
      </c>
      <c r="C29" s="3327">
        <f>C23*C30</f>
        <v>644.65000000000009</v>
      </c>
      <c r="D29" s="3328">
        <f>D23*C30</f>
        <v>838.04500000000007</v>
      </c>
      <c r="E29" s="3329">
        <f>E23*C30</f>
        <v>921.84950000000015</v>
      </c>
      <c r="F29" s="3330"/>
      <c r="G29" s="3509"/>
      <c r="H29" s="3509"/>
      <c r="I29" s="3509"/>
      <c r="J29" s="3316"/>
      <c r="K29" s="3316"/>
      <c r="L29" s="3316"/>
      <c r="M29" s="3316"/>
      <c r="N29" s="3316"/>
      <c r="O29" s="3316"/>
      <c r="P29" s="3316"/>
      <c r="Q29" s="3316"/>
      <c r="R29" s="3316"/>
      <c r="S29" s="3316"/>
      <c r="T29" s="3316"/>
      <c r="U29" s="3316"/>
      <c r="V29" s="3316"/>
      <c r="W29" s="3342"/>
    </row>
    <row r="30" spans="1:23" s="3247" customFormat="1" ht="13.15" customHeight="1" thickBot="1">
      <c r="A30" s="3331"/>
      <c r="B30" s="3332" t="s">
        <v>2836</v>
      </c>
      <c r="C30" s="3350">
        <f>E18</f>
        <v>0.05</v>
      </c>
      <c r="D30" s="3364"/>
      <c r="E30" s="3296"/>
      <c r="F30" s="3336"/>
      <c r="G30" s="3509"/>
      <c r="H30" s="3509"/>
      <c r="I30" s="3509"/>
      <c r="J30" s="3316"/>
      <c r="K30" s="3316"/>
      <c r="L30" s="3316"/>
      <c r="M30" s="3316"/>
      <c r="N30" s="3316"/>
      <c r="O30" s="3316"/>
      <c r="P30" s="3316"/>
      <c r="Q30" s="3316"/>
      <c r="R30" s="3316"/>
      <c r="S30" s="3316"/>
      <c r="T30" s="3316"/>
      <c r="U30" s="3316"/>
      <c r="V30" s="3234"/>
      <c r="W30" s="3243"/>
    </row>
    <row r="31" spans="1:23" s="3343" customFormat="1" ht="13.15" customHeight="1">
      <c r="A31" s="3331"/>
      <c r="B31" s="3332"/>
      <c r="C31" s="3365"/>
      <c r="D31" s="3364"/>
      <c r="E31" s="3296"/>
      <c r="F31" s="3336"/>
      <c r="G31" s="3826" t="s">
        <v>3573</v>
      </c>
      <c r="H31" s="3827"/>
      <c r="I31" s="3828"/>
      <c r="J31" s="3231" t="s">
        <v>2837</v>
      </c>
      <c r="K31" s="3232"/>
      <c r="L31" s="3232"/>
      <c r="M31" s="3232"/>
      <c r="N31" s="3232"/>
      <c r="O31" s="3232"/>
      <c r="P31" s="3232"/>
      <c r="Q31" s="3232"/>
      <c r="R31" s="3233"/>
      <c r="S31" s="3316"/>
      <c r="T31" s="3316"/>
      <c r="U31" s="3234"/>
      <c r="V31" s="3234"/>
      <c r="W31" s="3342"/>
    </row>
    <row r="32" spans="1:23" s="3343" customFormat="1" ht="13.15" customHeight="1">
      <c r="A32" s="3325">
        <v>4</v>
      </c>
      <c r="B32" s="3326" t="s">
        <v>2838</v>
      </c>
      <c r="C32" s="3327">
        <f ca="1">C23-C26-C29</f>
        <v>4047.35</v>
      </c>
      <c r="D32" s="3328">
        <f ca="1">D23-D26-D29</f>
        <v>5261.3600000000024</v>
      </c>
      <c r="E32" s="3329">
        <f ca="1">E23-E26-E29</f>
        <v>5787.496000000001</v>
      </c>
      <c r="F32" s="3330"/>
      <c r="G32" s="3509">
        <f ca="1">C32*10000/365/$B$4</f>
        <v>4.1491413834573239</v>
      </c>
      <c r="H32" s="3509">
        <f t="shared" ref="H32:I32" ca="1" si="2">D32*10000/365/$B$4</f>
        <v>5.3936838942189427</v>
      </c>
      <c r="I32" s="3509">
        <f t="shared" ca="1" si="2"/>
        <v>5.9330522836408344</v>
      </c>
      <c r="J32" s="3829" t="s">
        <v>2839</v>
      </c>
      <c r="K32" s="3830"/>
      <c r="L32" s="3244" t="s">
        <v>2840</v>
      </c>
      <c r="M32" s="3244" t="s">
        <v>2736</v>
      </c>
      <c r="N32" s="3244" t="s">
        <v>2737</v>
      </c>
      <c r="O32" s="3244" t="s">
        <v>2738</v>
      </c>
      <c r="P32" s="3244" t="s">
        <v>2739</v>
      </c>
      <c r="Q32" s="3245" t="s">
        <v>2841</v>
      </c>
      <c r="R32" s="3366" t="s">
        <v>2842</v>
      </c>
      <c r="S32" s="3316"/>
      <c r="T32" s="3316"/>
      <c r="U32" s="3234"/>
      <c r="V32" s="3234"/>
      <c r="W32" s="3342"/>
    </row>
    <row r="33" spans="1:24" s="3247" customFormat="1" ht="13.15" customHeight="1">
      <c r="A33" s="3325"/>
      <c r="B33" s="3326"/>
      <c r="C33" s="3327"/>
      <c r="D33" s="3367"/>
      <c r="E33" s="3368"/>
      <c r="F33" s="3330"/>
      <c r="G33" s="3508"/>
      <c r="H33" s="3351"/>
      <c r="I33" s="3342"/>
      <c r="J33" s="3831" t="s">
        <v>2843</v>
      </c>
      <c r="K33" s="3832"/>
      <c r="L33" s="3250"/>
      <c r="M33" s="3250"/>
      <c r="N33" s="3250"/>
      <c r="O33" s="3250"/>
      <c r="P33" s="3250"/>
      <c r="Q33" s="3251"/>
      <c r="R33" s="3369">
        <f>SUM(L33:Q33)</f>
        <v>0</v>
      </c>
      <c r="S33" s="3316"/>
      <c r="T33" s="3316"/>
      <c r="U33" s="3234"/>
      <c r="V33" s="3234"/>
      <c r="W33" s="3243"/>
    </row>
    <row r="34" spans="1:24" s="3247" customFormat="1" ht="13.15" customHeight="1">
      <c r="A34" s="3325">
        <v>5</v>
      </c>
      <c r="B34" s="3326" t="s">
        <v>2844</v>
      </c>
      <c r="C34" s="3370">
        <v>0.06</v>
      </c>
      <c r="D34" s="3371">
        <f>C34</f>
        <v>0.06</v>
      </c>
      <c r="E34" s="3372">
        <f>D34</f>
        <v>0.06</v>
      </c>
      <c r="F34" s="3330"/>
      <c r="G34" s="3324"/>
      <c r="H34" s="3351"/>
      <c r="I34" s="3342"/>
      <c r="J34" s="3831" t="s">
        <v>2845</v>
      </c>
      <c r="K34" s="3832"/>
      <c r="L34" s="3255"/>
      <c r="M34" s="3255"/>
      <c r="N34" s="3255"/>
      <c r="O34" s="3255"/>
      <c r="P34" s="3255"/>
      <c r="Q34" s="3256"/>
      <c r="R34" s="3373">
        <f>SUM(L34:Q34)</f>
        <v>0</v>
      </c>
      <c r="S34" s="3316"/>
      <c r="T34" s="3316"/>
      <c r="U34" s="3234"/>
      <c r="V34" s="3234" t="e">
        <f>ROUND(R35*10000/365/R33,1)</f>
        <v>#DIV/0!</v>
      </c>
      <c r="W34" s="3243"/>
    </row>
    <row r="35" spans="1:24" s="3247" customFormat="1" ht="13.15" customHeight="1">
      <c r="A35" s="3325">
        <v>6</v>
      </c>
      <c r="B35" s="3326" t="s">
        <v>2846</v>
      </c>
      <c r="C35" s="3374">
        <v>0</v>
      </c>
      <c r="D35" s="3375">
        <v>0.03</v>
      </c>
      <c r="E35" s="3376">
        <v>0.02</v>
      </c>
      <c r="F35" s="3330"/>
      <c r="G35" s="3377"/>
      <c r="H35" s="3242"/>
      <c r="I35" s="3342"/>
      <c r="J35" s="3261" t="s">
        <v>2847</v>
      </c>
      <c r="K35" s="3262"/>
      <c r="L35" s="3262"/>
      <c r="M35" s="3263"/>
      <c r="N35" s="3263"/>
      <c r="O35" s="3263"/>
      <c r="P35" s="3263"/>
      <c r="Q35" s="3263"/>
      <c r="R35" s="3378">
        <f>R40+R41+R43</f>
        <v>0</v>
      </c>
      <c r="S35" s="3316"/>
      <c r="T35" s="3316"/>
      <c r="U35" s="3234" t="s">
        <v>2848</v>
      </c>
      <c r="V35" s="3234"/>
      <c r="W35" s="3243"/>
    </row>
    <row r="36" spans="1:24" s="3247" customFormat="1" ht="13.15" customHeight="1" thickBot="1">
      <c r="A36" s="3325">
        <v>7</v>
      </c>
      <c r="B36" s="3379" t="s">
        <v>2849</v>
      </c>
      <c r="C36" s="3380">
        <v>3</v>
      </c>
      <c r="D36" s="3381">
        <f>C36</f>
        <v>3</v>
      </c>
      <c r="E36" s="3382">
        <f ca="1">不动产收益法!F41-'不动产收益法-酒店模型'!D36-'不动产收益法-酒店模型'!C36</f>
        <v>26.880000000000003</v>
      </c>
      <c r="F36" s="3383">
        <f ca="1">C36+D36+E36</f>
        <v>32.880000000000003</v>
      </c>
      <c r="G36" s="3324"/>
      <c r="H36" s="3242"/>
      <c r="I36" s="3243"/>
      <c r="J36" s="3836">
        <v>1</v>
      </c>
      <c r="K36" s="3837" t="s">
        <v>2850</v>
      </c>
      <c r="L36" s="3268"/>
      <c r="M36" s="3269"/>
      <c r="N36" s="3269"/>
      <c r="O36" s="3269"/>
      <c r="P36" s="3269"/>
      <c r="Q36" s="3269"/>
      <c r="R36" s="3252" t="s">
        <v>2758</v>
      </c>
      <c r="S36" s="3316"/>
      <c r="T36" s="3316"/>
      <c r="U36" s="3234" t="s">
        <v>2759</v>
      </c>
      <c r="V36" s="3234"/>
      <c r="W36" s="3243"/>
    </row>
    <row r="37" spans="1:24" s="3247" customFormat="1" ht="13.15" customHeight="1">
      <c r="A37" s="3325"/>
      <c r="B37" s="3326"/>
      <c r="C37" s="3326"/>
      <c r="D37" s="3326"/>
      <c r="E37" s="3326"/>
      <c r="F37" s="3330"/>
      <c r="G37" s="3324"/>
      <c r="H37" s="3242"/>
      <c r="I37" s="3243"/>
      <c r="J37" s="3836"/>
      <c r="K37" s="3838"/>
      <c r="L37" s="3277"/>
      <c r="M37" s="3278"/>
      <c r="N37" s="3254"/>
      <c r="O37" s="3279"/>
      <c r="P37" s="3279"/>
      <c r="Q37" s="3280"/>
      <c r="R37" s="3281"/>
      <c r="S37" s="3316"/>
      <c r="T37" s="3316"/>
      <c r="U37" s="3234" t="s">
        <v>2761</v>
      </c>
      <c r="V37" s="3234"/>
      <c r="W37" s="3243"/>
    </row>
    <row r="38" spans="1:24" s="3247" customFormat="1" ht="13.15" customHeight="1">
      <c r="A38" s="3325">
        <v>8</v>
      </c>
      <c r="B38" s="3326"/>
      <c r="C38" s="3283">
        <f ca="1">ROUND(C32*(1-((1+C35)/(1+C34))^C36)/(C34-C35),0)</f>
        <v>10819</v>
      </c>
      <c r="D38" s="3283">
        <f ca="1">IF(D23=0,0,ROUND(D32*(1-((1+D35)/(1+D34))^D36)/(D34-D35),0))</f>
        <v>14473</v>
      </c>
      <c r="E38" s="3283">
        <f ca="1">IF(E23=0,0,ROUND(E32*(1-((1+E35)/(1+E34))^E36)/(E34-E35),0))</f>
        <v>93238</v>
      </c>
      <c r="F38" s="3330"/>
      <c r="G38" s="3324"/>
      <c r="H38" s="3242"/>
      <c r="I38" s="3243"/>
      <c r="J38" s="3836"/>
      <c r="K38" s="3838"/>
      <c r="L38" s="3277"/>
      <c r="M38" s="3278"/>
      <c r="N38" s="3254"/>
      <c r="O38" s="3279"/>
      <c r="P38" s="3279"/>
      <c r="Q38" s="3280"/>
      <c r="R38" s="3281"/>
      <c r="S38" s="3316"/>
      <c r="T38" s="3316"/>
      <c r="U38" s="3234" t="s">
        <v>2767</v>
      </c>
      <c r="V38" s="3234"/>
      <c r="W38" s="3243"/>
    </row>
    <row r="39" spans="1:24" s="3247" customFormat="1" ht="13.15" customHeight="1">
      <c r="A39" s="3325">
        <v>9</v>
      </c>
      <c r="B39" s="3326" t="s">
        <v>2851</v>
      </c>
      <c r="C39" s="3291">
        <f ca="1">C38</f>
        <v>10819</v>
      </c>
      <c r="D39" s="3326">
        <f ca="1">ROUND(D38/(1+D34)^C36,0)</f>
        <v>12152</v>
      </c>
      <c r="E39" s="3326">
        <f ca="1">ROUND(E38/(1+E34)^(C36+D36),0)</f>
        <v>65729</v>
      </c>
      <c r="F39" s="3330"/>
      <c r="G39" s="3384"/>
      <c r="H39" s="3242"/>
      <c r="I39" s="3243"/>
      <c r="J39" s="3836"/>
      <c r="K39" s="3838"/>
      <c r="L39" s="3277"/>
      <c r="M39" s="3278"/>
      <c r="N39" s="3254"/>
      <c r="O39" s="3279"/>
      <c r="P39" s="3279"/>
      <c r="Q39" s="3280"/>
      <c r="R39" s="3281"/>
      <c r="S39" s="3316"/>
      <c r="T39" s="3316"/>
      <c r="U39" s="3234"/>
      <c r="V39" s="3234"/>
      <c r="W39" s="3243"/>
    </row>
    <row r="40" spans="1:24" s="3247" customFormat="1" ht="13.15" customHeight="1">
      <c r="A40" s="3385">
        <v>10</v>
      </c>
      <c r="B40" s="3326" t="s">
        <v>2852</v>
      </c>
      <c r="C40" s="3386">
        <f ca="1">C39+D39+E39</f>
        <v>88700</v>
      </c>
      <c r="D40" s="3387"/>
      <c r="E40" s="3387"/>
      <c r="F40" s="3388"/>
      <c r="G40" s="3324"/>
      <c r="H40" s="3242"/>
      <c r="I40" s="3243"/>
      <c r="J40" s="3836"/>
      <c r="K40" s="3839"/>
      <c r="L40" s="3297" t="s">
        <v>2853</v>
      </c>
      <c r="M40" s="3298"/>
      <c r="N40" s="3298"/>
      <c r="O40" s="3299"/>
      <c r="P40" s="3299"/>
      <c r="Q40" s="3300"/>
      <c r="R40" s="3246">
        <f>SUM(R37:R39)</f>
        <v>0</v>
      </c>
      <c r="S40" s="3316"/>
      <c r="T40" s="3316"/>
      <c r="U40" s="3234"/>
      <c r="V40" s="3234"/>
      <c r="W40" s="3243"/>
    </row>
    <row r="41" spans="1:24" s="3247" customFormat="1" ht="13.15" customHeight="1" thickBot="1">
      <c r="A41" s="3389">
        <v>11</v>
      </c>
      <c r="B41" s="3390" t="s">
        <v>2854</v>
      </c>
      <c r="C41" s="3510">
        <f ca="1">ROUND(C40*10000/B4,0)</f>
        <v>33190</v>
      </c>
      <c r="D41" s="3391"/>
      <c r="E41" s="3391"/>
      <c r="F41" s="3392"/>
      <c r="G41" s="3393"/>
      <c r="H41" s="3242"/>
      <c r="I41" s="3243"/>
      <c r="J41" s="3337">
        <v>2</v>
      </c>
      <c r="K41" s="3338" t="s">
        <v>2855</v>
      </c>
      <c r="L41" s="3339"/>
      <c r="M41" s="3339"/>
      <c r="N41" s="3339"/>
      <c r="O41" s="3339"/>
      <c r="P41" s="3340"/>
      <c r="Q41" s="3341"/>
      <c r="R41" s="3313">
        <f>ROUND(R40*Q41,0)</f>
        <v>0</v>
      </c>
      <c r="S41" s="3316"/>
      <c r="T41" s="3316"/>
      <c r="U41" s="3234"/>
      <c r="V41" s="3349"/>
      <c r="W41" s="3243"/>
    </row>
    <row r="42" spans="1:24" s="3247" customFormat="1" ht="13.15" customHeight="1">
      <c r="G42" s="3393"/>
      <c r="H42" s="3242"/>
      <c r="I42" s="3243"/>
      <c r="J42" s="3846">
        <v>3</v>
      </c>
      <c r="K42" s="3344" t="s">
        <v>2856</v>
      </c>
      <c r="L42" s="3345"/>
      <c r="M42" s="3346"/>
      <c r="N42" s="3347" t="s">
        <v>2857</v>
      </c>
      <c r="O42" s="3347" t="s">
        <v>2858</v>
      </c>
      <c r="P42" s="3348" t="s">
        <v>2859</v>
      </c>
      <c r="Q42" s="3348" t="s">
        <v>2860</v>
      </c>
      <c r="R42" s="3252" t="s">
        <v>2861</v>
      </c>
      <c r="S42" s="3349"/>
      <c r="T42" s="3349"/>
      <c r="U42" s="3349"/>
      <c r="V42" s="3234"/>
      <c r="W42" s="3243"/>
    </row>
    <row r="43" spans="1:24" ht="13.15" customHeight="1">
      <c r="A43" s="3247" t="s">
        <v>3571</v>
      </c>
      <c r="C43" s="3511">
        <f ca="1">C40*10000/'数据-汇总表'!F31</f>
        <v>51103.978447602865</v>
      </c>
      <c r="D43" s="3247"/>
      <c r="E43" s="3247"/>
      <c r="F43" s="3247"/>
      <c r="I43" s="3229"/>
      <c r="J43" s="3847"/>
      <c r="K43" s="3352"/>
      <c r="L43" s="3353"/>
      <c r="M43" s="3354"/>
      <c r="N43" s="3278"/>
      <c r="O43" s="3278"/>
      <c r="P43" s="3278"/>
      <c r="Q43" s="3341"/>
      <c r="R43" s="3313">
        <f>ROUND(O43*N43*P43*(1-Q43)/10000,0)</f>
        <v>0</v>
      </c>
      <c r="S43" s="3316"/>
      <c r="T43" s="3316"/>
      <c r="U43" s="3234"/>
      <c r="W43" s="3395"/>
      <c r="X43" s="3396"/>
    </row>
    <row r="44" spans="1:24" ht="13.15" customHeight="1" thickBot="1">
      <c r="J44" s="3357">
        <v>6</v>
      </c>
      <c r="K44" s="3358" t="s">
        <v>2862</v>
      </c>
      <c r="L44" s="3397" t="s">
        <v>2863</v>
      </c>
      <c r="M44" s="3360"/>
      <c r="N44" s="3397" t="s">
        <v>2864</v>
      </c>
      <c r="O44" s="3360"/>
      <c r="P44" s="3397" t="s">
        <v>2865</v>
      </c>
      <c r="Q44" s="3362">
        <v>1.4999999999999999E-2</v>
      </c>
      <c r="R44" s="3363"/>
    </row>
    <row r="46" spans="1:24" ht="13.15" customHeight="1">
      <c r="G46" s="3394" t="s">
        <v>3422</v>
      </c>
    </row>
    <row r="48" spans="1:24" ht="13.15" customHeight="1">
      <c r="G48" s="3477" t="s">
        <v>3556</v>
      </c>
      <c r="H48" s="3478"/>
      <c r="I48" s="3479"/>
      <c r="J48" s="3480"/>
      <c r="K48" s="3480"/>
      <c r="L48" s="3480"/>
      <c r="M48" s="3480"/>
      <c r="N48" s="3481"/>
      <c r="O48" s="3476" t="s">
        <v>3553</v>
      </c>
      <c r="P48" s="3395" t="str">
        <f>B9</f>
        <v>经营成本</v>
      </c>
      <c r="Q48" s="3395" t="str">
        <f>B10</f>
        <v>经营费用</v>
      </c>
      <c r="R48" s="3395" t="str">
        <f>B17</f>
        <v>管理以及财务费用</v>
      </c>
      <c r="S48" s="3476" t="s">
        <v>3554</v>
      </c>
      <c r="T48" s="3476"/>
      <c r="U48" s="3476" t="s">
        <v>3555</v>
      </c>
    </row>
    <row r="49" spans="7:21" ht="13.15" customHeight="1">
      <c r="G49" s="3482" t="s">
        <v>2159</v>
      </c>
      <c r="H49" s="3483" t="s">
        <v>3496</v>
      </c>
      <c r="I49" s="3483" t="s">
        <v>3382</v>
      </c>
      <c r="J49" s="3484" t="s">
        <v>3436</v>
      </c>
      <c r="K49" s="3484" t="s">
        <v>3497</v>
      </c>
      <c r="L49" s="3484" t="s">
        <v>3498</v>
      </c>
      <c r="M49" s="3484" t="s">
        <v>3499</v>
      </c>
      <c r="N49" s="3485" t="s">
        <v>3384</v>
      </c>
      <c r="P49" s="3395">
        <f>L66+L70</f>
        <v>2378</v>
      </c>
      <c r="Q49" s="3395">
        <f>L64+L67+L68+L69</f>
        <v>6377.41</v>
      </c>
      <c r="R49" s="3395">
        <f>L72</f>
        <v>4300</v>
      </c>
      <c r="S49" s="3395">
        <f>M54+M57+M59</f>
        <v>15675.63</v>
      </c>
    </row>
    <row r="50" spans="7:21" ht="13.15" customHeight="1">
      <c r="G50" s="3482">
        <v>1</v>
      </c>
      <c r="H50" s="3483" t="s">
        <v>3500</v>
      </c>
      <c r="I50" s="3483" t="s">
        <v>3501</v>
      </c>
      <c r="J50" s="3486"/>
      <c r="K50" s="3486"/>
      <c r="L50" s="3486"/>
      <c r="M50" s="3486">
        <v>6237.12</v>
      </c>
      <c r="N50" s="3485" t="s">
        <v>3413</v>
      </c>
    </row>
    <row r="51" spans="7:21" ht="13.15" customHeight="1">
      <c r="G51" s="3495">
        <v>1.1000000000000001</v>
      </c>
      <c r="H51" s="3496" t="s">
        <v>3502</v>
      </c>
      <c r="I51" s="3496" t="s">
        <v>3501</v>
      </c>
      <c r="J51" s="3497">
        <v>38</v>
      </c>
      <c r="K51" s="3497">
        <v>2000</v>
      </c>
      <c r="L51" s="3498">
        <v>0.6</v>
      </c>
      <c r="M51" s="3497">
        <v>1664.4</v>
      </c>
      <c r="N51" s="3501" t="s">
        <v>3503</v>
      </c>
      <c r="O51" s="3395">
        <f>[2]指标!D50</f>
        <v>2600</v>
      </c>
      <c r="P51" s="3395">
        <f>ROUND(O51/$O$60*$P$49,2)</f>
        <v>356.22</v>
      </c>
      <c r="Q51" s="3395">
        <f>ROUND(O51/$O$60*$Q$49,2)</f>
        <v>955.32</v>
      </c>
      <c r="R51" s="3395">
        <f>ROUND(O51/$O$60*$R$49,2)</f>
        <v>644.13</v>
      </c>
      <c r="S51" s="3395">
        <f>ROUND(O51/$O$60*$S$49,2)</f>
        <v>2348.17</v>
      </c>
      <c r="U51" s="3395">
        <f>M51+S51-R51-Q51-P51</f>
        <v>2056.8999999999996</v>
      </c>
    </row>
    <row r="52" spans="7:21" ht="13.15" customHeight="1">
      <c r="G52" s="3482">
        <v>1.2</v>
      </c>
      <c r="H52" s="3483" t="s">
        <v>3504</v>
      </c>
      <c r="I52" s="3483" t="s">
        <v>3501</v>
      </c>
      <c r="J52" s="3486">
        <v>63</v>
      </c>
      <c r="K52" s="3486">
        <v>1200</v>
      </c>
      <c r="L52" s="3487">
        <v>0.6</v>
      </c>
      <c r="M52" s="3486">
        <v>1655.64</v>
      </c>
      <c r="N52" s="3488"/>
      <c r="O52" s="3395">
        <f>[2]指标!D51</f>
        <v>5149.7700000000004</v>
      </c>
      <c r="P52" s="3395">
        <f>ROUND(O52/$O$60*$P$49,2)</f>
        <v>705.55</v>
      </c>
      <c r="Q52" s="3395">
        <f>ROUND(O52/$O$60*$Q$49,2)</f>
        <v>1892.18</v>
      </c>
      <c r="R52" s="3395">
        <f>ROUND(O52/$O$60*$R$49,2)</f>
        <v>1275.81</v>
      </c>
      <c r="S52" s="3395">
        <f>ROUND(O52/$O$60*$S$49,2)</f>
        <v>4650.97</v>
      </c>
      <c r="U52" s="3395">
        <f>M52+S52-R52-Q52-P52</f>
        <v>2433.0700000000006</v>
      </c>
    </row>
    <row r="53" spans="7:21" ht="13.15" customHeight="1">
      <c r="G53" s="3482">
        <v>1.3</v>
      </c>
      <c r="H53" s="3483" t="s">
        <v>3505</v>
      </c>
      <c r="I53" s="3483" t="s">
        <v>3501</v>
      </c>
      <c r="J53" s="3486">
        <v>111</v>
      </c>
      <c r="K53" s="3486">
        <v>1200</v>
      </c>
      <c r="L53" s="3487">
        <v>0.6</v>
      </c>
      <c r="M53" s="3486">
        <v>2917.08</v>
      </c>
      <c r="N53" s="3488"/>
      <c r="O53" s="3395">
        <f>[2]指标!D52</f>
        <v>7607</v>
      </c>
      <c r="P53" s="3395">
        <f>ROUND(O53/$O$60*$P$49,2)</f>
        <v>1042.21</v>
      </c>
      <c r="Q53" s="3395">
        <f>ROUND(O53/$O$60*$Q$49,2)</f>
        <v>2795.05</v>
      </c>
      <c r="R53" s="3395">
        <f>ROUND(O53/$O$60*$R$49,2)</f>
        <v>1884.57</v>
      </c>
      <c r="S53" s="3395">
        <f>ROUND(O53/$O$60*$S$49,2)</f>
        <v>6870.2</v>
      </c>
      <c r="U53" s="3395">
        <f>M53+S53-R53-Q53-P53</f>
        <v>4065.4499999999989</v>
      </c>
    </row>
    <row r="54" spans="7:21" ht="13.15" customHeight="1">
      <c r="G54" s="3482">
        <v>2</v>
      </c>
      <c r="H54" s="3483" t="s">
        <v>3506</v>
      </c>
      <c r="I54" s="3483" t="s">
        <v>3507</v>
      </c>
      <c r="J54" s="3486">
        <v>10</v>
      </c>
      <c r="K54" s="3486">
        <v>500</v>
      </c>
      <c r="L54" s="3484" t="s">
        <v>3413</v>
      </c>
      <c r="M54" s="3486">
        <v>5000</v>
      </c>
      <c r="N54" s="3485" t="s">
        <v>3508</v>
      </c>
    </row>
    <row r="55" spans="7:21" ht="13.15" customHeight="1">
      <c r="G55" s="3482" t="s">
        <v>3509</v>
      </c>
      <c r="H55" s="3483"/>
      <c r="I55" s="3489"/>
      <c r="J55" s="3486"/>
      <c r="K55" s="3486"/>
      <c r="L55" s="3486"/>
      <c r="M55" s="3486"/>
      <c r="N55" s="3488"/>
    </row>
    <row r="56" spans="7:21" ht="13.15" customHeight="1">
      <c r="G56" s="3482"/>
      <c r="H56" s="3483"/>
      <c r="I56" s="3489"/>
      <c r="J56" s="3486"/>
      <c r="K56" s="3486"/>
      <c r="L56" s="3486"/>
      <c r="M56" s="3486"/>
      <c r="N56" s="3488"/>
    </row>
    <row r="57" spans="7:21" ht="13.15" customHeight="1">
      <c r="G57" s="3482">
        <v>3</v>
      </c>
      <c r="H57" s="3483" t="s">
        <v>3510</v>
      </c>
      <c r="I57" s="3483" t="s">
        <v>3507</v>
      </c>
      <c r="J57" s="3486">
        <v>30</v>
      </c>
      <c r="K57" s="3486">
        <v>352</v>
      </c>
      <c r="L57" s="3484" t="s">
        <v>3413</v>
      </c>
      <c r="M57" s="3486">
        <v>10560</v>
      </c>
      <c r="N57" s="3485" t="s">
        <v>3511</v>
      </c>
    </row>
    <row r="58" spans="7:21" ht="13.15" customHeight="1">
      <c r="G58" s="3482">
        <v>4</v>
      </c>
      <c r="H58" s="3483" t="s">
        <v>3512</v>
      </c>
      <c r="I58" s="3483" t="s">
        <v>2635</v>
      </c>
      <c r="J58" s="3486">
        <v>6237.12</v>
      </c>
      <c r="K58" s="3484" t="s">
        <v>3413</v>
      </c>
      <c r="L58" s="3484" t="s">
        <v>3413</v>
      </c>
      <c r="M58" s="3486">
        <v>3684.04</v>
      </c>
      <c r="N58" s="3485" t="s">
        <v>3513</v>
      </c>
      <c r="O58" s="3502">
        <f>[2]指标!D49</f>
        <v>2000</v>
      </c>
      <c r="P58" s="3502">
        <f>ROUND(O58/$O$60*$P$49,2)+L65</f>
        <v>1742.8</v>
      </c>
      <c r="Q58" s="3502">
        <f>ROUND(O58/$O$60*$Q$49,2)</f>
        <v>734.86</v>
      </c>
      <c r="R58" s="3502">
        <f>ROUND(O58/$O$60*$R$49,2)</f>
        <v>495.48</v>
      </c>
      <c r="S58" s="3502">
        <f>ROUND(O58/$O$60*$S$49,2)</f>
        <v>1806.28</v>
      </c>
      <c r="T58" s="3502"/>
      <c r="U58" s="3395">
        <f>M58+S58-R58-Q58-P58</f>
        <v>2517.1800000000003</v>
      </c>
    </row>
    <row r="59" spans="7:21" ht="13.15" customHeight="1">
      <c r="G59" s="3482">
        <v>5</v>
      </c>
      <c r="H59" s="3483" t="s">
        <v>3514</v>
      </c>
      <c r="I59" s="3483" t="s">
        <v>3515</v>
      </c>
      <c r="J59" s="3486">
        <v>198</v>
      </c>
      <c r="K59" s="3486">
        <v>2</v>
      </c>
      <c r="L59" s="3487">
        <v>0.8</v>
      </c>
      <c r="M59" s="3486">
        <v>115.63</v>
      </c>
      <c r="N59" s="3485" t="s">
        <v>3516</v>
      </c>
    </row>
    <row r="60" spans="7:21" ht="13.15" customHeight="1">
      <c r="G60" s="3490">
        <v>6</v>
      </c>
      <c r="H60" s="3491" t="s">
        <v>24</v>
      </c>
      <c r="I60" s="3491" t="s">
        <v>3413</v>
      </c>
      <c r="J60" s="3492" t="s">
        <v>3413</v>
      </c>
      <c r="K60" s="3492" t="s">
        <v>3413</v>
      </c>
      <c r="L60" s="3492" t="s">
        <v>3413</v>
      </c>
      <c r="M60" s="3493">
        <v>25596.79</v>
      </c>
      <c r="N60" s="3494" t="s">
        <v>3413</v>
      </c>
      <c r="O60" s="3395">
        <f t="shared" ref="O60:U60" si="3">SUM(O50:O59)</f>
        <v>17356.77</v>
      </c>
      <c r="P60" s="3395">
        <f t="shared" si="3"/>
        <v>3846.7799999999997</v>
      </c>
      <c r="Q60" s="3395">
        <f t="shared" si="3"/>
        <v>6377.41</v>
      </c>
      <c r="R60" s="3395">
        <f t="shared" si="3"/>
        <v>4299.99</v>
      </c>
      <c r="S60" s="3395">
        <f t="shared" si="3"/>
        <v>15675.62</v>
      </c>
      <c r="U60" s="3395">
        <f t="shared" si="3"/>
        <v>11072.599999999999</v>
      </c>
    </row>
    <row r="62" spans="7:21" ht="13.15" customHeight="1">
      <c r="G62" s="3394" t="s">
        <v>3517</v>
      </c>
    </row>
    <row r="63" spans="7:21" ht="13.15" customHeight="1">
      <c r="G63" s="3394" t="s">
        <v>2159</v>
      </c>
      <c r="H63" s="3229" t="s">
        <v>3496</v>
      </c>
      <c r="I63" s="3229" t="s">
        <v>3382</v>
      </c>
      <c r="J63" s="3476" t="s">
        <v>3436</v>
      </c>
      <c r="K63" s="3476" t="s">
        <v>3497</v>
      </c>
      <c r="L63" s="3476" t="s">
        <v>3438</v>
      </c>
      <c r="M63" s="3476" t="s">
        <v>3384</v>
      </c>
    </row>
    <row r="64" spans="7:21" ht="13.15" customHeight="1">
      <c r="G64" s="3394">
        <v>1</v>
      </c>
      <c r="H64" s="3229" t="s">
        <v>3518</v>
      </c>
      <c r="I64" s="3229" t="s">
        <v>3519</v>
      </c>
      <c r="J64" s="3395">
        <v>144</v>
      </c>
      <c r="K64" s="3395">
        <v>4000</v>
      </c>
      <c r="L64" s="3395">
        <v>691.2</v>
      </c>
      <c r="M64" s="3476" t="s">
        <v>3520</v>
      </c>
    </row>
    <row r="65" spans="7:16" ht="13.15" customHeight="1">
      <c r="G65" s="3394">
        <v>2</v>
      </c>
      <c r="H65" s="3229" t="s">
        <v>3521</v>
      </c>
      <c r="I65" s="3229" t="s">
        <v>2635</v>
      </c>
      <c r="J65" s="3395">
        <v>3684.04</v>
      </c>
      <c r="L65" s="3395">
        <v>1468.79</v>
      </c>
      <c r="M65" s="3476" t="s">
        <v>3522</v>
      </c>
    </row>
    <row r="66" spans="7:16" ht="13.15" customHeight="1">
      <c r="G66" s="3394">
        <v>3</v>
      </c>
      <c r="H66" s="3229" t="s">
        <v>3523</v>
      </c>
      <c r="I66" s="3229" t="s">
        <v>3403</v>
      </c>
      <c r="J66" s="3395">
        <v>212</v>
      </c>
      <c r="K66" s="3395">
        <v>58.59</v>
      </c>
      <c r="L66" s="3395">
        <v>272</v>
      </c>
      <c r="M66" s="3476" t="s">
        <v>3524</v>
      </c>
    </row>
    <row r="67" spans="7:16" ht="13.15" customHeight="1">
      <c r="G67" s="3394">
        <v>4</v>
      </c>
      <c r="H67" s="3229" t="s">
        <v>3525</v>
      </c>
      <c r="I67" s="3229" t="s">
        <v>3526</v>
      </c>
      <c r="J67" s="3395">
        <v>813.6</v>
      </c>
      <c r="K67" s="3395">
        <v>0.91600000000000004</v>
      </c>
      <c r="L67" s="3395">
        <v>745.26</v>
      </c>
      <c r="M67" s="3476" t="s">
        <v>3413</v>
      </c>
    </row>
    <row r="68" spans="7:16" ht="13.15" customHeight="1">
      <c r="G68" s="3394">
        <v>5</v>
      </c>
      <c r="H68" s="3229" t="s">
        <v>3527</v>
      </c>
      <c r="I68" s="3229" t="s">
        <v>3528</v>
      </c>
      <c r="J68" s="3395">
        <v>1077.43</v>
      </c>
      <c r="K68" s="3395">
        <v>4.2</v>
      </c>
      <c r="L68" s="3395">
        <v>4525.21</v>
      </c>
      <c r="M68" s="3476" t="s">
        <v>3529</v>
      </c>
    </row>
    <row r="69" spans="7:16" ht="13.15" customHeight="1">
      <c r="G69" s="3394">
        <v>6</v>
      </c>
      <c r="H69" s="3229" t="s">
        <v>3530</v>
      </c>
      <c r="I69" s="3229" t="s">
        <v>3531</v>
      </c>
      <c r="J69" s="3395">
        <v>221.14</v>
      </c>
      <c r="K69" s="3395">
        <v>1.88</v>
      </c>
      <c r="L69" s="3395">
        <v>415.74</v>
      </c>
      <c r="M69" s="3476" t="s">
        <v>3413</v>
      </c>
    </row>
    <row r="70" spans="7:16" ht="13.15" customHeight="1">
      <c r="G70" s="3394">
        <v>7</v>
      </c>
      <c r="H70" s="3229" t="s">
        <v>3532</v>
      </c>
      <c r="I70" s="3229" t="s">
        <v>2635</v>
      </c>
      <c r="J70" s="3395">
        <v>7560</v>
      </c>
      <c r="K70" s="3476" t="s">
        <v>3413</v>
      </c>
      <c r="L70" s="3395">
        <v>2106</v>
      </c>
      <c r="M70" s="3476" t="s">
        <v>3533</v>
      </c>
    </row>
    <row r="71" spans="7:16" ht="13.15" customHeight="1">
      <c r="G71" s="3394" t="s">
        <v>3534</v>
      </c>
    </row>
    <row r="72" spans="7:16" ht="13.15" customHeight="1">
      <c r="G72" s="3394">
        <v>8</v>
      </c>
      <c r="H72" s="3229" t="s">
        <v>3535</v>
      </c>
      <c r="I72" s="3229" t="s">
        <v>3413</v>
      </c>
      <c r="J72" s="3476" t="s">
        <v>3413</v>
      </c>
      <c r="K72" s="3476" t="s">
        <v>3413</v>
      </c>
      <c r="L72" s="3395">
        <v>4300</v>
      </c>
      <c r="M72" s="3476" t="s">
        <v>3536</v>
      </c>
    </row>
    <row r="73" spans="7:16" ht="13.15" customHeight="1">
      <c r="G73" s="3394" t="s">
        <v>3537</v>
      </c>
    </row>
    <row r="74" spans="7:16" ht="13.15" customHeight="1">
      <c r="G74" s="3394">
        <v>9</v>
      </c>
      <c r="H74" s="3229" t="s">
        <v>24</v>
      </c>
      <c r="I74" s="3229" t="s">
        <v>3413</v>
      </c>
      <c r="J74" s="3476" t="s">
        <v>3413</v>
      </c>
      <c r="K74" s="3476" t="s">
        <v>3413</v>
      </c>
      <c r="L74" s="3395">
        <v>14524.2</v>
      </c>
      <c r="M74" s="3476" t="s">
        <v>3413</v>
      </c>
    </row>
    <row r="75" spans="7:16" ht="13.15" customHeight="1">
      <c r="P75" s="3395" t="s">
        <v>3557</v>
      </c>
    </row>
  </sheetData>
  <mergeCells count="28">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A6:C6"/>
    <mergeCell ref="J6:J14"/>
    <mergeCell ref="K6:K14"/>
    <mergeCell ref="B8:C8"/>
    <mergeCell ref="B9:C9"/>
    <mergeCell ref="B10:C10"/>
    <mergeCell ref="B11:C11"/>
    <mergeCell ref="B12:C12"/>
    <mergeCell ref="B14:C14"/>
    <mergeCell ref="G22:I22"/>
    <mergeCell ref="G31:I31"/>
    <mergeCell ref="J2:K2"/>
    <mergeCell ref="J3:K3"/>
    <mergeCell ref="J4:K4"/>
  </mergeCells>
  <phoneticPr fontId="225" type="noConversion"/>
  <dataValidations count="2">
    <dataValidation type="list" allowBlank="1" showInputMessage="1" showErrorMessage="1" sqref="WVM98304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D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D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D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D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D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D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D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D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D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D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D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D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D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D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D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formula1>"在建（套用方法）,土地（套用方法）,——"</formula1>
    </dataValidation>
    <dataValidation type="list" allowBlank="1" showInputMessage="1" showErrorMessage="1" sqref="P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P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P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P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P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P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P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P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P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P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P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P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P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P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P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P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P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P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P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P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P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P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P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P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P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P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P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P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P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P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P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P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7"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2716</v>
      </c>
    </row>
    <row r="7" spans="1:25" s="2018" customFormat="1" ht="13.5" customHeight="1">
      <c r="A7" s="2277">
        <v>1</v>
      </c>
      <c r="B7" s="722" t="s">
        <v>591</v>
      </c>
      <c r="C7" s="723">
        <f>C8+C9</f>
        <v>0</v>
      </c>
      <c r="D7" s="723"/>
      <c r="E7" s="724"/>
      <c r="F7" s="724"/>
      <c r="G7" s="2286"/>
    </row>
    <row r="8" spans="1:25" s="2018" customFormat="1" ht="13.5" customHeight="1">
      <c r="A8" s="2277" t="s">
        <v>2218</v>
      </c>
      <c r="B8" s="2280" t="s">
        <v>2220</v>
      </c>
      <c r="C8" s="3179">
        <f t="shared" ref="C8:C9" si="0">ROUND(D8*E8/10000,0)</f>
        <v>0</v>
      </c>
      <c r="D8" s="3179">
        <v>0</v>
      </c>
      <c r="E8" s="3180">
        <v>0</v>
      </c>
      <c r="F8" s="724"/>
      <c r="G8" s="725"/>
    </row>
    <row r="9" spans="1:25" s="2018" customFormat="1" ht="13.5" customHeight="1">
      <c r="A9" s="2277" t="s">
        <v>2219</v>
      </c>
      <c r="B9" s="2280" t="s">
        <v>2221</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2218</v>
      </c>
      <c r="B11" s="726" t="s">
        <v>592</v>
      </c>
      <c r="C11" s="727">
        <f>'数据-取费表'!B29</f>
        <v>0</v>
      </c>
      <c r="D11" s="728"/>
      <c r="E11" s="727"/>
      <c r="F11" s="729"/>
      <c r="G11" s="2285" t="s">
        <v>2229</v>
      </c>
    </row>
    <row r="12" spans="1:25" s="2018" customFormat="1" ht="13.5" customHeight="1">
      <c r="A12" s="2283" t="s">
        <v>2226</v>
      </c>
      <c r="B12" s="730" t="s">
        <v>593</v>
      </c>
      <c r="C12" s="731">
        <f>ROUND(D12*E12/10000,0)</f>
        <v>0</v>
      </c>
      <c r="D12" s="3179">
        <f>'数据-汇总表'!E5</f>
        <v>0</v>
      </c>
      <c r="E12" s="3179">
        <f>'数据-取费表'!B27</f>
        <v>0</v>
      </c>
      <c r="F12" s="729"/>
      <c r="G12" s="732"/>
    </row>
    <row r="13" spans="1:25" s="2018" customFormat="1" ht="13.5" customHeight="1">
      <c r="A13" s="2283" t="s">
        <v>2225</v>
      </c>
      <c r="B13" s="730" t="s">
        <v>594</v>
      </c>
      <c r="C13" s="731">
        <f>ROUND(D13*E13/10000,0)</f>
        <v>401</v>
      </c>
      <c r="D13" s="3179">
        <f>'数据-汇总表'!E6</f>
        <v>26725.120000000003</v>
      </c>
      <c r="E13" s="3179">
        <f>'数据-取费表'!B28</f>
        <v>150</v>
      </c>
      <c r="F13" s="729"/>
      <c r="G13" s="732"/>
    </row>
    <row r="14" spans="1:25" s="2018" customFormat="1" ht="13.5" customHeight="1">
      <c r="A14" s="2277" t="s">
        <v>2219</v>
      </c>
      <c r="B14" s="2282" t="s">
        <v>2222</v>
      </c>
      <c r="C14" s="3181">
        <f t="shared" ref="C14:C15" si="1">ROUND(D14*E14/10000,0)</f>
        <v>0</v>
      </c>
      <c r="D14" s="3179">
        <v>0</v>
      </c>
      <c r="E14" s="3180">
        <v>0</v>
      </c>
      <c r="F14" s="2281"/>
      <c r="G14" s="2284" t="s">
        <v>2227</v>
      </c>
    </row>
    <row r="15" spans="1:25" s="2018" customFormat="1" ht="13.5" customHeight="1">
      <c r="A15" s="2277" t="s">
        <v>2224</v>
      </c>
      <c r="B15" s="2282" t="s">
        <v>2223</v>
      </c>
      <c r="C15" s="3181">
        <f t="shared" si="1"/>
        <v>0</v>
      </c>
      <c r="D15" s="3179">
        <v>0</v>
      </c>
      <c r="E15" s="3180">
        <v>0</v>
      </c>
      <c r="F15" s="2281"/>
      <c r="G15" s="2284" t="s">
        <v>2228</v>
      </c>
    </row>
    <row r="16" spans="1:25" s="2019" customFormat="1" ht="48">
      <c r="A16" s="2277">
        <v>3</v>
      </c>
      <c r="B16" s="722" t="s">
        <v>597</v>
      </c>
      <c r="C16" s="3181">
        <f t="shared" ref="C16" si="2">ROUND(D16*E16/10000,0)</f>
        <v>0</v>
      </c>
      <c r="D16" s="3179">
        <v>0</v>
      </c>
      <c r="E16" s="3180">
        <v>0</v>
      </c>
      <c r="F16" s="734"/>
      <c r="G16" s="732" t="s">
        <v>2230</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8">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8">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0.85399999999999998</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89" t="s">
        <v>701</v>
      </c>
      <c r="C1" s="2390" t="s">
        <v>702</v>
      </c>
      <c r="D1" s="2391"/>
      <c r="E1" s="1963"/>
      <c r="F1" s="2446"/>
      <c r="G1" s="1488" t="s">
        <v>703</v>
      </c>
      <c r="H1" s="483"/>
      <c r="I1" s="483"/>
      <c r="J1" s="483"/>
      <c r="K1" s="484"/>
      <c r="L1" s="3118"/>
      <c r="M1" s="3119"/>
      <c r="N1" s="3119"/>
      <c r="O1" s="3119"/>
      <c r="P1" s="1456"/>
      <c r="Q1" s="1456"/>
      <c r="R1" s="1456"/>
      <c r="S1" s="1456"/>
      <c r="T1" s="1456"/>
      <c r="U1" s="1456"/>
      <c r="V1" s="1456"/>
      <c r="W1" s="1456"/>
      <c r="X1" s="1456"/>
      <c r="Y1" s="1456"/>
      <c r="Z1" s="1456"/>
      <c r="AA1" s="1456"/>
      <c r="AB1" s="1456"/>
      <c r="AC1" s="1457"/>
    </row>
    <row r="2" spans="1:29" s="1271" customFormat="1" ht="28.5" customHeight="1">
      <c r="A2" s="417" t="s">
        <v>461</v>
      </c>
      <c r="B2" s="2388" t="e">
        <f>ROUND(B3*D3/10000,0)</f>
        <v>#DIV/0!</v>
      </c>
      <c r="C2" s="1963"/>
      <c r="D2" s="1963"/>
      <c r="E2" s="1963"/>
      <c r="F2" s="2036"/>
      <c r="G2" s="1963"/>
      <c r="H2" s="1963"/>
      <c r="I2" s="1963"/>
      <c r="J2" s="1963"/>
      <c r="K2" s="2037"/>
      <c r="L2" s="2038"/>
      <c r="M2" s="2039"/>
      <c r="N2" s="2039"/>
      <c r="O2" s="2039"/>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3"/>
      <c r="F3" s="2036"/>
      <c r="G3" s="1963"/>
      <c r="H3" s="1963"/>
      <c r="I3" s="1963"/>
      <c r="J3" s="1963"/>
      <c r="K3" s="2037"/>
      <c r="L3" s="2038"/>
      <c r="M3" s="2039"/>
      <c r="N3" s="2039"/>
      <c r="O3" s="2039"/>
      <c r="P3" s="1489"/>
      <c r="Q3" s="1489"/>
      <c r="R3" s="1489"/>
      <c r="S3" s="1489"/>
      <c r="T3" s="1489"/>
      <c r="U3" s="1489"/>
      <c r="V3" s="1489"/>
      <c r="W3" s="1489"/>
      <c r="X3" s="1489"/>
      <c r="Y3" s="1489"/>
      <c r="Z3" s="1489"/>
      <c r="AA3" s="1489"/>
      <c r="AB3" s="1489"/>
      <c r="AC3" s="1491"/>
    </row>
    <row r="4" spans="1:29" ht="15">
      <c r="A4" s="489" t="s">
        <v>504</v>
      </c>
      <c r="B4" s="490"/>
      <c r="C4" s="3726" t="s">
        <v>505</v>
      </c>
      <c r="D4" s="3727"/>
      <c r="E4" s="3761" t="s">
        <v>506</v>
      </c>
      <c r="F4" s="3762"/>
      <c r="G4" s="3726" t="s">
        <v>507</v>
      </c>
      <c r="H4" s="3727"/>
      <c r="I4" s="3726" t="s">
        <v>508</v>
      </c>
      <c r="J4" s="3727"/>
      <c r="K4" s="825" t="s">
        <v>509</v>
      </c>
      <c r="L4" s="1969"/>
      <c r="M4" s="1970"/>
      <c r="N4" s="1970"/>
      <c r="O4" s="1970"/>
      <c r="P4" s="3728" t="s">
        <v>510</v>
      </c>
      <c r="Q4" s="3729"/>
      <c r="R4" s="3734" t="s">
        <v>506</v>
      </c>
      <c r="S4" s="3735"/>
      <c r="T4" s="3734" t="s">
        <v>507</v>
      </c>
      <c r="U4" s="3735"/>
      <c r="V4" s="3721" t="s">
        <v>508</v>
      </c>
      <c r="W4" s="3721"/>
      <c r="X4" s="1458"/>
      <c r="Y4" s="3734" t="s">
        <v>510</v>
      </c>
      <c r="Z4" s="3735"/>
      <c r="AA4" s="3723" t="s">
        <v>506</v>
      </c>
      <c r="AB4" s="3723" t="s">
        <v>507</v>
      </c>
      <c r="AC4" s="3723" t="s">
        <v>508</v>
      </c>
    </row>
    <row r="5" spans="1:29" ht="15">
      <c r="A5" s="492"/>
      <c r="B5" s="493"/>
      <c r="C5" s="3742" t="s">
        <v>2620</v>
      </c>
      <c r="D5" s="3743"/>
      <c r="E5" s="3763" t="s">
        <v>2621</v>
      </c>
      <c r="F5" s="3764"/>
      <c r="G5" s="3742" t="s">
        <v>2622</v>
      </c>
      <c r="H5" s="3743"/>
      <c r="I5" s="3742" t="s">
        <v>2623</v>
      </c>
      <c r="J5" s="3743"/>
      <c r="K5" s="826"/>
      <c r="L5" s="1969"/>
      <c r="M5" s="1970"/>
      <c r="N5" s="1970"/>
      <c r="O5" s="1970"/>
      <c r="P5" s="3730"/>
      <c r="Q5" s="3731"/>
      <c r="R5" s="3736"/>
      <c r="S5" s="3737"/>
      <c r="T5" s="3736"/>
      <c r="U5" s="3737"/>
      <c r="V5" s="3721"/>
      <c r="W5" s="3721"/>
      <c r="X5" s="1458"/>
      <c r="Y5" s="3736"/>
      <c r="Z5" s="3737"/>
      <c r="AA5" s="3724"/>
      <c r="AB5" s="3724"/>
      <c r="AC5" s="3724"/>
    </row>
    <row r="6" spans="1:29" ht="15.75" thickBot="1">
      <c r="A6" s="494"/>
      <c r="B6" s="495"/>
      <c r="C6" s="3740" t="s">
        <v>2624</v>
      </c>
      <c r="D6" s="3741"/>
      <c r="E6" s="3759" t="s">
        <v>2624</v>
      </c>
      <c r="F6" s="3760"/>
      <c r="G6" s="3740" t="s">
        <v>2624</v>
      </c>
      <c r="H6" s="3741"/>
      <c r="I6" s="3740" t="s">
        <v>2624</v>
      </c>
      <c r="J6" s="3741"/>
      <c r="K6" s="826" t="s">
        <v>511</v>
      </c>
      <c r="L6" s="1969"/>
      <c r="M6" s="1970"/>
      <c r="N6" s="1970"/>
      <c r="O6" s="1970"/>
      <c r="P6" s="3732"/>
      <c r="Q6" s="3733"/>
      <c r="R6" s="3736"/>
      <c r="S6" s="3737"/>
      <c r="T6" s="3738"/>
      <c r="U6" s="3739"/>
      <c r="V6" s="3721"/>
      <c r="W6" s="3721"/>
      <c r="X6" s="1458"/>
      <c r="Y6" s="3738"/>
      <c r="Z6" s="3739"/>
      <c r="AA6" s="3725"/>
      <c r="AB6" s="3725"/>
      <c r="AC6" s="3725"/>
    </row>
    <row r="7" spans="1:29" s="1167" customFormat="1" ht="15.75" thickBot="1">
      <c r="A7" s="2551"/>
      <c r="B7" s="2558" t="s">
        <v>512</v>
      </c>
      <c r="C7" s="496">
        <f>'数据-取费表'!B2</f>
        <v>44705</v>
      </c>
      <c r="D7" s="497">
        <v>100</v>
      </c>
      <c r="E7" s="498"/>
      <c r="F7" s="499">
        <f>SUMIF(58:58,YEAR(E7)&amp;"-"&amp;MONTH(E7),59:59)</f>
        <v>0</v>
      </c>
      <c r="G7" s="500"/>
      <c r="H7" s="497">
        <f>SUMIF(58:58,YEAR(G7)&amp;"-"&amp;MONTH(G7),59:59)</f>
        <v>0</v>
      </c>
      <c r="I7" s="500"/>
      <c r="J7" s="497">
        <f>SUMIF(58:58,YEAR(I7)&amp;"-"&amp;MONTH(I7),59:59)</f>
        <v>0</v>
      </c>
      <c r="K7" s="827"/>
      <c r="L7" s="1971"/>
      <c r="M7" s="1972"/>
      <c r="N7" s="1972"/>
      <c r="O7" s="1972"/>
      <c r="P7" s="3750" t="s">
        <v>513</v>
      </c>
      <c r="Q7" s="3752"/>
      <c r="R7" s="1459" t="s">
        <v>13</v>
      </c>
      <c r="S7" s="1460">
        <f t="shared" ref="S7:S15" si="0">F7</f>
        <v>0</v>
      </c>
      <c r="T7" s="1459" t="s">
        <v>13</v>
      </c>
      <c r="U7" s="1460">
        <f t="shared" ref="U7:U15" si="1">H7</f>
        <v>0</v>
      </c>
      <c r="V7" s="1459" t="s">
        <v>13</v>
      </c>
      <c r="W7" s="1460">
        <f t="shared" ref="W7:W15" si="2">J7</f>
        <v>0</v>
      </c>
      <c r="X7" s="1461"/>
      <c r="Y7" s="3750" t="s">
        <v>513</v>
      </c>
      <c r="Z7" s="3751"/>
      <c r="AA7" s="1462" t="e">
        <f>D7/F7</f>
        <v>#DIV/0!</v>
      </c>
      <c r="AB7" s="1462" t="e">
        <f>D7/H7</f>
        <v>#DIV/0!</v>
      </c>
      <c r="AC7" s="1462" t="e">
        <f>D7/J7</f>
        <v>#DIV/0!</v>
      </c>
    </row>
    <row r="8" spans="1:29" s="1167" customFormat="1" ht="15.75" thickBot="1">
      <c r="A8" s="2552"/>
      <c r="B8" s="2559" t="s">
        <v>514</v>
      </c>
      <c r="C8" s="502" t="s">
        <v>558</v>
      </c>
      <c r="D8" s="497">
        <v>100</v>
      </c>
      <c r="E8" s="828"/>
      <c r="F8" s="499">
        <f>SUMIF(61:61,E8,62:62)-SUMIF(61:61,C8,62:62)+100</f>
        <v>0</v>
      </c>
      <c r="G8" s="502"/>
      <c r="H8" s="497">
        <f>SUMIF(61:61,G8,62:62)-SUMIF(61:61,C8,62:62)+100</f>
        <v>0</v>
      </c>
      <c r="I8" s="828"/>
      <c r="J8" s="497">
        <f>SUMIF(61:61,I8,62:62)-SUMIF(61:61,C8,62:62)+100</f>
        <v>0</v>
      </c>
      <c r="K8" s="827"/>
      <c r="L8" s="1971"/>
      <c r="M8" s="1972"/>
      <c r="N8" s="1972"/>
      <c r="O8" s="1972"/>
      <c r="P8" s="3750" t="s">
        <v>516</v>
      </c>
      <c r="Q8" s="3751"/>
      <c r="R8" s="1459" t="s">
        <v>13</v>
      </c>
      <c r="S8" s="1460">
        <f t="shared" si="0"/>
        <v>0</v>
      </c>
      <c r="T8" s="1459" t="s">
        <v>13</v>
      </c>
      <c r="U8" s="1460">
        <f t="shared" si="1"/>
        <v>0</v>
      </c>
      <c r="V8" s="1459" t="s">
        <v>13</v>
      </c>
      <c r="W8" s="1460">
        <f t="shared" si="2"/>
        <v>0</v>
      </c>
      <c r="X8" s="1461"/>
      <c r="Y8" s="3750" t="s">
        <v>516</v>
      </c>
      <c r="Z8" s="3751"/>
      <c r="AA8" s="1462" t="e">
        <f t="shared" ref="AA8:AA46" si="3">D8/F8</f>
        <v>#DIV/0!</v>
      </c>
      <c r="AB8" s="1462" t="e">
        <f t="shared" ref="AB8:AB46" si="4">D8/H8</f>
        <v>#DIV/0!</v>
      </c>
      <c r="AC8" s="1462" t="e">
        <f t="shared" ref="AC8:AC46" si="5">D8/J8</f>
        <v>#DIV/0!</v>
      </c>
    </row>
    <row r="9" spans="1:29" s="1167" customFormat="1" ht="15">
      <c r="A9" s="2553"/>
      <c r="B9" s="2560" t="s">
        <v>2470</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720" t="s">
        <v>518</v>
      </c>
      <c r="Q9" s="1098" t="str">
        <f t="shared" ref="Q9:Q15" si="6">B9</f>
        <v>用途</v>
      </c>
      <c r="R9" s="1459" t="s">
        <v>8</v>
      </c>
      <c r="S9" s="1460">
        <f t="shared" si="0"/>
        <v>100</v>
      </c>
      <c r="T9" s="1459" t="s">
        <v>8</v>
      </c>
      <c r="U9" s="1460">
        <f t="shared" si="1"/>
        <v>100</v>
      </c>
      <c r="V9" s="1459" t="s">
        <v>8</v>
      </c>
      <c r="W9" s="1460">
        <f t="shared" si="2"/>
        <v>100</v>
      </c>
      <c r="X9" s="1461"/>
      <c r="Y9" s="3651"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720"/>
      <c r="Q10" s="1098" t="str">
        <f t="shared" si="6"/>
        <v>土地使用年限（年）</v>
      </c>
      <c r="R10" s="1459" t="s">
        <v>8</v>
      </c>
      <c r="S10" s="1460">
        <f t="shared" si="0"/>
        <v>100</v>
      </c>
      <c r="T10" s="1459" t="s">
        <v>8</v>
      </c>
      <c r="U10" s="1460">
        <f t="shared" si="1"/>
        <v>100</v>
      </c>
      <c r="V10" s="1459" t="s">
        <v>8</v>
      </c>
      <c r="W10" s="1460">
        <f t="shared" si="2"/>
        <v>100</v>
      </c>
      <c r="X10" s="1461"/>
      <c r="Y10" s="3651"/>
      <c r="Z10" s="1097" t="str">
        <f t="shared" si="7"/>
        <v>土地使用年限（年）</v>
      </c>
      <c r="AA10" s="1462">
        <f t="shared" si="3"/>
        <v>1</v>
      </c>
      <c r="AB10" s="1462">
        <f t="shared" si="4"/>
        <v>1</v>
      </c>
      <c r="AC10" s="1462">
        <f t="shared" si="5"/>
        <v>1</v>
      </c>
    </row>
    <row r="11" spans="1:29" ht="15">
      <c r="A11" s="2555"/>
      <c r="B11" s="2559" t="s">
        <v>2472</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6"/>
      <c r="M11" s="1970"/>
      <c r="N11" s="1970"/>
      <c r="O11" s="1977"/>
      <c r="P11" s="3720"/>
      <c r="Q11" s="1098" t="str">
        <f t="shared" si="6"/>
        <v>容积率</v>
      </c>
      <c r="R11" s="1459" t="s">
        <v>11</v>
      </c>
      <c r="S11" s="1460" t="e">
        <f t="shared" si="0"/>
        <v>#N/A</v>
      </c>
      <c r="T11" s="1459" t="s">
        <v>11</v>
      </c>
      <c r="U11" s="1460" t="e">
        <f t="shared" si="1"/>
        <v>#N/A</v>
      </c>
      <c r="V11" s="1459" t="s">
        <v>11</v>
      </c>
      <c r="W11" s="1460" t="e">
        <f t="shared" si="2"/>
        <v>#N/A</v>
      </c>
      <c r="X11" s="1461"/>
      <c r="Y11" s="3651"/>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720"/>
      <c r="Q12" s="1098">
        <f t="shared" si="6"/>
        <v>111</v>
      </c>
      <c r="R12" s="1459" t="s">
        <v>11</v>
      </c>
      <c r="S12" s="1460">
        <f t="shared" si="0"/>
        <v>100</v>
      </c>
      <c r="T12" s="1459" t="s">
        <v>11</v>
      </c>
      <c r="U12" s="1460">
        <f t="shared" si="1"/>
        <v>100</v>
      </c>
      <c r="V12" s="1459" t="s">
        <v>11</v>
      </c>
      <c r="W12" s="1460">
        <f t="shared" si="2"/>
        <v>100</v>
      </c>
      <c r="X12" s="1461"/>
      <c r="Y12" s="3651"/>
      <c r="Z12" s="1097">
        <f t="shared" si="7"/>
        <v>111</v>
      </c>
      <c r="AA12" s="1462">
        <f>D12/F12</f>
        <v>1</v>
      </c>
      <c r="AB12" s="1462">
        <f>D12/H12</f>
        <v>1</v>
      </c>
      <c r="AC12" s="1462">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720"/>
      <c r="Q13" s="1098">
        <f t="shared" si="6"/>
        <v>111</v>
      </c>
      <c r="R13" s="1459" t="s">
        <v>11</v>
      </c>
      <c r="S13" s="1460">
        <f t="shared" si="0"/>
        <v>100</v>
      </c>
      <c r="T13" s="1459" t="s">
        <v>11</v>
      </c>
      <c r="U13" s="1460">
        <f t="shared" si="1"/>
        <v>100</v>
      </c>
      <c r="V13" s="1459" t="s">
        <v>11</v>
      </c>
      <c r="W13" s="1460">
        <f t="shared" si="2"/>
        <v>100</v>
      </c>
      <c r="X13" s="1461"/>
      <c r="Y13" s="3651"/>
      <c r="Z13" s="1097">
        <f t="shared" si="7"/>
        <v>111</v>
      </c>
      <c r="AA13" s="1462">
        <f t="shared" si="3"/>
        <v>1</v>
      </c>
      <c r="AB13" s="1462">
        <f t="shared" si="4"/>
        <v>1</v>
      </c>
      <c r="AC13" s="1462">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720"/>
      <c r="Q14" s="1098">
        <f t="shared" si="6"/>
        <v>111</v>
      </c>
      <c r="R14" s="1459" t="s">
        <v>11</v>
      </c>
      <c r="S14" s="1460">
        <f t="shared" si="0"/>
        <v>100</v>
      </c>
      <c r="T14" s="1459" t="s">
        <v>11</v>
      </c>
      <c r="U14" s="1460">
        <f t="shared" si="1"/>
        <v>100</v>
      </c>
      <c r="V14" s="1459" t="s">
        <v>11</v>
      </c>
      <c r="W14" s="1460">
        <f t="shared" si="2"/>
        <v>100</v>
      </c>
      <c r="X14" s="1461"/>
      <c r="Y14" s="3651"/>
      <c r="Z14" s="1097">
        <f t="shared" si="7"/>
        <v>111</v>
      </c>
      <c r="AA14" s="1462">
        <f t="shared" si="3"/>
        <v>1</v>
      </c>
      <c r="AB14" s="1462">
        <f t="shared" si="4"/>
        <v>1</v>
      </c>
      <c r="AC14" s="1462">
        <f t="shared" si="5"/>
        <v>1</v>
      </c>
    </row>
    <row r="15" spans="1:29" ht="15">
      <c r="A15" s="2549" t="s">
        <v>2468</v>
      </c>
      <c r="B15" s="164" t="s">
        <v>295</v>
      </c>
      <c r="C15" s="839">
        <f>估价对象房地状况!C3</f>
        <v>0</v>
      </c>
      <c r="D15" s="526">
        <v>100</v>
      </c>
      <c r="E15" s="527"/>
      <c r="F15" s="528">
        <f>SUMIF(76:76,E16,77:77)-SUMIF(76:76,C16,77:77)+100</f>
        <v>100</v>
      </c>
      <c r="G15" s="529"/>
      <c r="H15" s="526">
        <f>SUMIF(76:76,G16,77:77)-SUMIF(76:76,C16,77:77)+100</f>
        <v>100</v>
      </c>
      <c r="I15" s="527"/>
      <c r="J15" s="526">
        <f>SUMIF(76:76,I16,77:77)-SUMIF(76:76,C16,77:77)+100</f>
        <v>100</v>
      </c>
      <c r="K15" s="840"/>
      <c r="L15" s="1978"/>
      <c r="M15" s="1970"/>
      <c r="N15" s="1970"/>
      <c r="O15" s="1977"/>
      <c r="P15" s="3753" t="s">
        <v>523</v>
      </c>
      <c r="Q15" s="1463" t="str">
        <f t="shared" si="6"/>
        <v>居住社区成熟度</v>
      </c>
      <c r="R15" s="1464" t="s">
        <v>11</v>
      </c>
      <c r="S15" s="1465">
        <f t="shared" si="0"/>
        <v>100</v>
      </c>
      <c r="T15" s="1464" t="s">
        <v>11</v>
      </c>
      <c r="U15" s="1465">
        <f t="shared" si="1"/>
        <v>100</v>
      </c>
      <c r="V15" s="1464" t="s">
        <v>11</v>
      </c>
      <c r="W15" s="1465">
        <f t="shared" si="2"/>
        <v>100</v>
      </c>
      <c r="X15" s="1458"/>
      <c r="Y15" s="3753"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8"/>
      <c r="M16" s="1970"/>
      <c r="N16" s="1970"/>
      <c r="O16" s="1977"/>
      <c r="P16" s="3754"/>
      <c r="Q16" s="1463"/>
      <c r="R16" s="1464"/>
      <c r="S16" s="1465"/>
      <c r="T16" s="1464"/>
      <c r="U16" s="1465"/>
      <c r="V16" s="1464"/>
      <c r="W16" s="1465"/>
      <c r="X16" s="1458"/>
      <c r="Y16" s="3754"/>
      <c r="Z16" s="1466"/>
      <c r="AA16" s="1467">
        <v>1</v>
      </c>
      <c r="AB16" s="1467">
        <v>1</v>
      </c>
      <c r="AC16" s="1467">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754"/>
      <c r="Q17" s="1463" t="str">
        <f>B17</f>
        <v>交通便捷度</v>
      </c>
      <c r="R17" s="1464" t="s">
        <v>11</v>
      </c>
      <c r="S17" s="1465">
        <f>F17</f>
        <v>100</v>
      </c>
      <c r="T17" s="1464" t="s">
        <v>11</v>
      </c>
      <c r="U17" s="1465">
        <f>H17</f>
        <v>100</v>
      </c>
      <c r="V17" s="1464" t="s">
        <v>11</v>
      </c>
      <c r="W17" s="1465">
        <f>J17</f>
        <v>100</v>
      </c>
      <c r="X17" s="1458"/>
      <c r="Y17" s="3754"/>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8"/>
      <c r="M18" s="1970"/>
      <c r="N18" s="1970"/>
      <c r="O18" s="1977"/>
      <c r="P18" s="3754"/>
      <c r="Q18" s="1463"/>
      <c r="R18" s="1464"/>
      <c r="S18" s="1465"/>
      <c r="T18" s="1464"/>
      <c r="U18" s="1465"/>
      <c r="V18" s="1464"/>
      <c r="W18" s="1465"/>
      <c r="X18" s="1458"/>
      <c r="Y18" s="3754"/>
      <c r="Z18" s="1466"/>
      <c r="AA18" s="1467">
        <v>1</v>
      </c>
      <c r="AB18" s="1467">
        <v>1</v>
      </c>
      <c r="AC18" s="1467">
        <v>1</v>
      </c>
    </row>
    <row r="19" spans="1:29" ht="15">
      <c r="A19" s="509"/>
      <c r="B19" s="2366" t="s">
        <v>2261</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40"/>
      <c r="L19" s="1978"/>
      <c r="M19" s="1970"/>
      <c r="N19" s="1970"/>
      <c r="O19" s="1977"/>
      <c r="P19" s="3754"/>
      <c r="Q19" s="1463" t="str">
        <f>B19</f>
        <v>公共配套设施</v>
      </c>
      <c r="R19" s="1464" t="s">
        <v>11</v>
      </c>
      <c r="S19" s="1465">
        <f>F19</f>
        <v>100</v>
      </c>
      <c r="T19" s="1464" t="s">
        <v>11</v>
      </c>
      <c r="U19" s="1465">
        <f>H19</f>
        <v>100</v>
      </c>
      <c r="V19" s="1464" t="s">
        <v>11</v>
      </c>
      <c r="W19" s="1465">
        <f>J19</f>
        <v>100</v>
      </c>
      <c r="X19" s="1458"/>
      <c r="Y19" s="3754"/>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8"/>
      <c r="M20" s="1970"/>
      <c r="N20" s="1970"/>
      <c r="O20" s="1977"/>
      <c r="P20" s="3754"/>
      <c r="Q20" s="1463"/>
      <c r="R20" s="1464"/>
      <c r="S20" s="1465"/>
      <c r="T20" s="1464"/>
      <c r="U20" s="1465"/>
      <c r="V20" s="1464"/>
      <c r="W20" s="1465"/>
      <c r="X20" s="1458"/>
      <c r="Y20" s="3754"/>
      <c r="Z20" s="1466"/>
      <c r="AA20" s="1467">
        <v>1</v>
      </c>
      <c r="AB20" s="1467">
        <v>1</v>
      </c>
      <c r="AC20" s="1467">
        <v>1</v>
      </c>
    </row>
    <row r="21" spans="1:29" ht="15">
      <c r="A21" s="509"/>
      <c r="B21" s="2359" t="s">
        <v>2273</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754"/>
      <c r="Q21" s="2351" t="str">
        <f>B21</f>
        <v>基础设施水平</v>
      </c>
      <c r="R21" s="1464" t="s">
        <v>11</v>
      </c>
      <c r="S21" s="1465">
        <f>F21</f>
        <v>100</v>
      </c>
      <c r="T21" s="1464" t="s">
        <v>11</v>
      </c>
      <c r="U21" s="1465">
        <f>H21</f>
        <v>100</v>
      </c>
      <c r="V21" s="1464" t="s">
        <v>11</v>
      </c>
      <c r="W21" s="1465">
        <f>J21</f>
        <v>100</v>
      </c>
      <c r="X21" s="2353"/>
      <c r="Y21" s="3754"/>
      <c r="Z21" s="2352"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5"/>
      <c r="L22" s="1978"/>
      <c r="M22" s="1970"/>
      <c r="N22" s="1970"/>
      <c r="O22" s="1977"/>
      <c r="P22" s="3754"/>
      <c r="Q22" s="2351"/>
      <c r="R22" s="1464"/>
      <c r="S22" s="1465"/>
      <c r="T22" s="1464"/>
      <c r="U22" s="1465"/>
      <c r="V22" s="1464"/>
      <c r="W22" s="1465"/>
      <c r="X22" s="2353"/>
      <c r="Y22" s="3754"/>
      <c r="Z22" s="2352"/>
      <c r="AA22" s="1467">
        <v>1</v>
      </c>
      <c r="AB22" s="1467">
        <v>1</v>
      </c>
      <c r="AC22" s="1467">
        <v>1</v>
      </c>
    </row>
    <row r="23" spans="1:29" ht="15">
      <c r="A23" s="509"/>
      <c r="B23" s="843" t="s">
        <v>297</v>
      </c>
      <c r="C23" s="844" t="str">
        <f>估价对象房地状况!C9</f>
        <v>较好</v>
      </c>
      <c r="D23" s="536">
        <v>100</v>
      </c>
      <c r="E23" s="539"/>
      <c r="F23" s="540">
        <f>SUMIF(84:84,E24,85:85)-SUMIF(84:84,C24,85:85)+100</f>
        <v>100</v>
      </c>
      <c r="G23" s="541"/>
      <c r="H23" s="536">
        <f>SUMIF(84:84,G24,85:85)-SUMIF(84:84,C24,85:85)+100</f>
        <v>100</v>
      </c>
      <c r="I23" s="539"/>
      <c r="J23" s="536">
        <f>SUMIF(84:84,I24,85:85)-SUMIF(84:84,C24,85:85)+100</f>
        <v>100</v>
      </c>
      <c r="K23" s="840"/>
      <c r="L23" s="1978"/>
      <c r="M23" s="1970"/>
      <c r="N23" s="1970"/>
      <c r="O23" s="1977"/>
      <c r="P23" s="3754"/>
      <c r="Q23" s="1463" t="str">
        <f>B23</f>
        <v>自然及人文环境</v>
      </c>
      <c r="R23" s="1464" t="s">
        <v>11</v>
      </c>
      <c r="S23" s="1465">
        <f>F23</f>
        <v>100</v>
      </c>
      <c r="T23" s="1464" t="s">
        <v>11</v>
      </c>
      <c r="U23" s="1465">
        <f>H23</f>
        <v>100</v>
      </c>
      <c r="V23" s="1464" t="s">
        <v>11</v>
      </c>
      <c r="W23" s="1465">
        <f>J23</f>
        <v>100</v>
      </c>
      <c r="X23" s="1458"/>
      <c r="Y23" s="3754"/>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8"/>
      <c r="M24" s="1970"/>
      <c r="N24" s="1970"/>
      <c r="O24" s="1977"/>
      <c r="P24" s="3754"/>
      <c r="Q24" s="1463"/>
      <c r="R24" s="1464"/>
      <c r="S24" s="1465"/>
      <c r="T24" s="1464"/>
      <c r="U24" s="1465"/>
      <c r="V24" s="1464"/>
      <c r="W24" s="1465"/>
      <c r="X24" s="1458"/>
      <c r="Y24" s="3754"/>
      <c r="Z24" s="1466"/>
      <c r="AA24" s="1467">
        <v>1</v>
      </c>
      <c r="AB24" s="1467">
        <v>1</v>
      </c>
      <c r="AC24" s="1467">
        <v>1</v>
      </c>
    </row>
    <row r="25" spans="1:29" ht="15">
      <c r="A25" s="509"/>
      <c r="B25" s="1764" t="s">
        <v>2045</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754"/>
      <c r="Q25" s="1463" t="str">
        <f t="shared" ref="Q25:Q46" si="11">B25</f>
        <v>楼层-1</v>
      </c>
      <c r="R25" s="1464" t="s">
        <v>11</v>
      </c>
      <c r="S25" s="1465">
        <f>F25</f>
        <v>100</v>
      </c>
      <c r="T25" s="1464" t="s">
        <v>11</v>
      </c>
      <c r="U25" s="1465">
        <f>H25</f>
        <v>100</v>
      </c>
      <c r="V25" s="1464" t="s">
        <v>11</v>
      </c>
      <c r="W25" s="1465">
        <f>J25</f>
        <v>100</v>
      </c>
      <c r="X25" s="1458"/>
      <c r="Y25" s="3754"/>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754"/>
      <c r="Q26" s="1463" t="str">
        <f t="shared" si="11"/>
        <v>朝向</v>
      </c>
      <c r="R26" s="1464" t="s">
        <v>11</v>
      </c>
      <c r="S26" s="1465">
        <f>F26</f>
        <v>100</v>
      </c>
      <c r="T26" s="1464" t="s">
        <v>11</v>
      </c>
      <c r="U26" s="1465">
        <f>H26</f>
        <v>100</v>
      </c>
      <c r="V26" s="1464" t="s">
        <v>11</v>
      </c>
      <c r="W26" s="1465">
        <f>J26</f>
        <v>100</v>
      </c>
      <c r="X26" s="1458"/>
      <c r="Y26" s="3754"/>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754"/>
      <c r="Q27" s="1098" t="str">
        <f t="shared" si="11"/>
        <v>道路级别</v>
      </c>
      <c r="R27" s="1459" t="s">
        <v>11</v>
      </c>
      <c r="S27" s="1460">
        <f>F27</f>
        <v>100</v>
      </c>
      <c r="T27" s="1459" t="s">
        <v>11</v>
      </c>
      <c r="U27" s="1460">
        <f>H27</f>
        <v>100</v>
      </c>
      <c r="V27" s="1459" t="s">
        <v>11</v>
      </c>
      <c r="W27" s="1460">
        <f>J27</f>
        <v>100</v>
      </c>
      <c r="X27" s="1461"/>
      <c r="Y27" s="3754"/>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754"/>
      <c r="Q28" s="1463">
        <f t="shared" si="11"/>
        <v>111</v>
      </c>
      <c r="R28" s="1464" t="s">
        <v>11</v>
      </c>
      <c r="S28" s="1465">
        <f t="shared" ref="S28:S46" si="12">F28</f>
        <v>100</v>
      </c>
      <c r="T28" s="1464" t="s">
        <v>11</v>
      </c>
      <c r="U28" s="1465">
        <f t="shared" ref="U28:U46" si="13">H28</f>
        <v>100</v>
      </c>
      <c r="V28" s="1464" t="s">
        <v>11</v>
      </c>
      <c r="W28" s="1465">
        <f t="shared" ref="W28:W46" si="14">J28</f>
        <v>100</v>
      </c>
      <c r="X28" s="1458"/>
      <c r="Y28" s="3754"/>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754"/>
      <c r="Q29" s="1463">
        <f t="shared" si="11"/>
        <v>111</v>
      </c>
      <c r="R29" s="1464" t="s">
        <v>11</v>
      </c>
      <c r="S29" s="1465">
        <f t="shared" si="12"/>
        <v>100</v>
      </c>
      <c r="T29" s="1464" t="s">
        <v>11</v>
      </c>
      <c r="U29" s="1465">
        <f t="shared" si="13"/>
        <v>100</v>
      </c>
      <c r="V29" s="1464" t="s">
        <v>11</v>
      </c>
      <c r="W29" s="1465">
        <f t="shared" si="14"/>
        <v>100</v>
      </c>
      <c r="X29" s="1458"/>
      <c r="Y29" s="3754"/>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754"/>
      <c r="Q30" s="1463">
        <f t="shared" si="11"/>
        <v>111</v>
      </c>
      <c r="R30" s="1464" t="s">
        <v>11</v>
      </c>
      <c r="S30" s="1465">
        <f t="shared" si="12"/>
        <v>100</v>
      </c>
      <c r="T30" s="1464" t="s">
        <v>11</v>
      </c>
      <c r="U30" s="1465">
        <f t="shared" si="13"/>
        <v>100</v>
      </c>
      <c r="V30" s="1464" t="s">
        <v>11</v>
      </c>
      <c r="W30" s="1465">
        <f t="shared" si="14"/>
        <v>100</v>
      </c>
      <c r="X30" s="1458"/>
      <c r="Y30" s="3754"/>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754"/>
      <c r="Q31" s="1463">
        <f t="shared" si="11"/>
        <v>111</v>
      </c>
      <c r="R31" s="1464" t="s">
        <v>11</v>
      </c>
      <c r="S31" s="1465">
        <f t="shared" si="12"/>
        <v>100</v>
      </c>
      <c r="T31" s="1464" t="s">
        <v>11</v>
      </c>
      <c r="U31" s="1465">
        <f t="shared" si="13"/>
        <v>100</v>
      </c>
      <c r="V31" s="1464" t="s">
        <v>11</v>
      </c>
      <c r="W31" s="1465">
        <f t="shared" si="14"/>
        <v>100</v>
      </c>
      <c r="X31" s="1458"/>
      <c r="Y31" s="3754"/>
      <c r="Z31" s="1466">
        <f t="shared" si="15"/>
        <v>111</v>
      </c>
      <c r="AA31" s="1467">
        <f t="shared" si="3"/>
        <v>1</v>
      </c>
      <c r="AB31" s="1467">
        <f t="shared" si="4"/>
        <v>1</v>
      </c>
      <c r="AC31" s="1467">
        <f t="shared" si="5"/>
        <v>1</v>
      </c>
    </row>
    <row r="32" spans="1:29" ht="15">
      <c r="A32" s="2546" t="s">
        <v>2469</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8"/>
      <c r="M32" s="1970"/>
      <c r="N32" s="1970"/>
      <c r="O32" s="1977"/>
      <c r="P32" s="3755" t="s">
        <v>533</v>
      </c>
      <c r="Q32" s="1463" t="str">
        <f t="shared" si="11"/>
        <v>建筑类型</v>
      </c>
      <c r="R32" s="1464" t="s">
        <v>11</v>
      </c>
      <c r="S32" s="1465">
        <f t="shared" si="12"/>
        <v>100</v>
      </c>
      <c r="T32" s="1464" t="s">
        <v>11</v>
      </c>
      <c r="U32" s="1465">
        <f t="shared" si="13"/>
        <v>100</v>
      </c>
      <c r="V32" s="1464" t="s">
        <v>11</v>
      </c>
      <c r="W32" s="1465">
        <f t="shared" si="14"/>
        <v>100</v>
      </c>
      <c r="X32" s="1458"/>
      <c r="Y32" s="3756"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6"/>
      <c r="M33" s="2006"/>
      <c r="N33" s="2006"/>
      <c r="O33" s="1979"/>
      <c r="P33" s="3756"/>
      <c r="Q33" s="1492" t="str">
        <f t="shared" si="11"/>
        <v>项目建筑规模</v>
      </c>
      <c r="R33" s="1468" t="s">
        <v>11</v>
      </c>
      <c r="S33" s="1469" t="e">
        <f t="shared" si="12"/>
        <v>#N/A</v>
      </c>
      <c r="T33" s="1468" t="s">
        <v>11</v>
      </c>
      <c r="U33" s="1469" t="e">
        <f t="shared" si="13"/>
        <v>#N/A</v>
      </c>
      <c r="V33" s="1468" t="s">
        <v>11</v>
      </c>
      <c r="W33" s="1469" t="e">
        <f t="shared" si="14"/>
        <v>#N/A</v>
      </c>
      <c r="X33" s="1470"/>
      <c r="Y33" s="3756"/>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8"/>
      <c r="M34" s="1970"/>
      <c r="N34" s="1970"/>
      <c r="O34" s="1977"/>
      <c r="P34" s="3756"/>
      <c r="Q34" s="1463" t="str">
        <f t="shared" si="11"/>
        <v>建筑结构</v>
      </c>
      <c r="R34" s="1464" t="s">
        <v>11</v>
      </c>
      <c r="S34" s="1465">
        <f t="shared" si="12"/>
        <v>100</v>
      </c>
      <c r="T34" s="1464" t="s">
        <v>11</v>
      </c>
      <c r="U34" s="1465">
        <f t="shared" si="13"/>
        <v>100</v>
      </c>
      <c r="V34" s="1464" t="s">
        <v>11</v>
      </c>
      <c r="W34" s="1465">
        <f t="shared" si="14"/>
        <v>100</v>
      </c>
      <c r="X34" s="1458"/>
      <c r="Y34" s="3756"/>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756"/>
      <c r="Q35" s="1463" t="str">
        <f t="shared" si="11"/>
        <v>建筑品质</v>
      </c>
      <c r="R35" s="1464" t="s">
        <v>11</v>
      </c>
      <c r="S35" s="1465">
        <f t="shared" si="12"/>
        <v>100</v>
      </c>
      <c r="T35" s="1464" t="s">
        <v>11</v>
      </c>
      <c r="U35" s="1465">
        <f t="shared" si="13"/>
        <v>100</v>
      </c>
      <c r="V35" s="1464" t="s">
        <v>11</v>
      </c>
      <c r="W35" s="1465">
        <f t="shared" si="14"/>
        <v>100</v>
      </c>
      <c r="X35" s="1458"/>
      <c r="Y35" s="3756"/>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8"/>
      <c r="M36" s="1970"/>
      <c r="N36" s="1970"/>
      <c r="O36" s="1977"/>
      <c r="P36" s="3756"/>
      <c r="Q36" s="1463" t="str">
        <f t="shared" si="11"/>
        <v>公共部分装修</v>
      </c>
      <c r="R36" s="1464" t="s">
        <v>11</v>
      </c>
      <c r="S36" s="1465">
        <f t="shared" si="12"/>
        <v>100</v>
      </c>
      <c r="T36" s="1464" t="s">
        <v>11</v>
      </c>
      <c r="U36" s="1465">
        <f t="shared" si="13"/>
        <v>100</v>
      </c>
      <c r="V36" s="1464" t="s">
        <v>11</v>
      </c>
      <c r="W36" s="1465">
        <f t="shared" si="14"/>
        <v>100</v>
      </c>
      <c r="X36" s="1458"/>
      <c r="Y36" s="3756"/>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1"/>
      <c r="M37" s="1972"/>
      <c r="N37" s="1972"/>
      <c r="O37" s="1973"/>
      <c r="P37" s="3756"/>
      <c r="Q37" s="1098" t="str">
        <f t="shared" si="11"/>
        <v>成新度</v>
      </c>
      <c r="R37" s="1459" t="s">
        <v>11</v>
      </c>
      <c r="S37" s="1460" t="e">
        <f t="shared" si="12"/>
        <v>#N/A</v>
      </c>
      <c r="T37" s="1459" t="s">
        <v>11</v>
      </c>
      <c r="U37" s="1460" t="e">
        <f t="shared" si="13"/>
        <v>#N/A</v>
      </c>
      <c r="V37" s="1459" t="s">
        <v>11</v>
      </c>
      <c r="W37" s="1460" t="e">
        <f t="shared" si="14"/>
        <v>#N/A</v>
      </c>
      <c r="X37" s="1461"/>
      <c r="Y37" s="3756"/>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756" t="s">
        <v>533</v>
      </c>
      <c r="Q38" s="1463" t="str">
        <f t="shared" si="11"/>
        <v>物业管理</v>
      </c>
      <c r="R38" s="1464" t="s">
        <v>11</v>
      </c>
      <c r="S38" s="1465">
        <f t="shared" si="12"/>
        <v>100</v>
      </c>
      <c r="T38" s="1464" t="s">
        <v>11</v>
      </c>
      <c r="U38" s="1465">
        <f t="shared" si="13"/>
        <v>100</v>
      </c>
      <c r="V38" s="1464" t="s">
        <v>11</v>
      </c>
      <c r="W38" s="1465">
        <f t="shared" si="14"/>
        <v>100</v>
      </c>
      <c r="X38" s="1458"/>
      <c r="Y38" s="3756" t="s">
        <v>533</v>
      </c>
      <c r="Z38" s="1466" t="str">
        <f t="shared" si="15"/>
        <v>物业管理</v>
      </c>
      <c r="AA38" s="1467">
        <f t="shared" si="3"/>
        <v>1</v>
      </c>
      <c r="AB38" s="1467">
        <f t="shared" si="4"/>
        <v>1</v>
      </c>
      <c r="AC38" s="1467">
        <f t="shared" si="5"/>
        <v>1</v>
      </c>
    </row>
    <row r="39" spans="1:29" ht="15">
      <c r="A39" s="571"/>
      <c r="B39" s="1764" t="s">
        <v>2279</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756"/>
      <c r="Q39" s="1463" t="str">
        <f t="shared" si="11"/>
        <v>市政基础设施</v>
      </c>
      <c r="R39" s="1464" t="s">
        <v>11</v>
      </c>
      <c r="S39" s="1465">
        <f t="shared" si="12"/>
        <v>100</v>
      </c>
      <c r="T39" s="1464" t="s">
        <v>11</v>
      </c>
      <c r="U39" s="1465">
        <f t="shared" si="13"/>
        <v>100</v>
      </c>
      <c r="V39" s="1464" t="s">
        <v>11</v>
      </c>
      <c r="W39" s="1465">
        <f t="shared" si="14"/>
        <v>100</v>
      </c>
      <c r="X39" s="1458"/>
      <c r="Y39" s="3756"/>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756"/>
      <c r="Q40" s="1463" t="str">
        <f t="shared" si="11"/>
        <v>房型</v>
      </c>
      <c r="R40" s="1464" t="s">
        <v>11</v>
      </c>
      <c r="S40" s="1465">
        <f t="shared" si="12"/>
        <v>100</v>
      </c>
      <c r="T40" s="1464" t="s">
        <v>11</v>
      </c>
      <c r="U40" s="1465">
        <f t="shared" si="13"/>
        <v>100</v>
      </c>
      <c r="V40" s="1464" t="s">
        <v>11</v>
      </c>
      <c r="W40" s="1465">
        <f t="shared" si="14"/>
        <v>100</v>
      </c>
      <c r="X40" s="1458"/>
      <c r="Y40" s="3756"/>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756"/>
      <c r="Q41" s="1492" t="str">
        <f t="shared" si="11"/>
        <v>单套/主力户型建筑面积</v>
      </c>
      <c r="R41" s="1468" t="s">
        <v>11</v>
      </c>
      <c r="S41" s="1469">
        <f t="shared" si="12"/>
        <v>100</v>
      </c>
      <c r="T41" s="1468" t="s">
        <v>11</v>
      </c>
      <c r="U41" s="1469">
        <f t="shared" si="13"/>
        <v>100</v>
      </c>
      <c r="V41" s="1468" t="s">
        <v>11</v>
      </c>
      <c r="W41" s="1469">
        <f t="shared" si="14"/>
        <v>100</v>
      </c>
      <c r="X41" s="1470"/>
      <c r="Y41" s="3756"/>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8"/>
      <c r="M42" s="1970"/>
      <c r="N42" s="1970"/>
      <c r="O42" s="1977"/>
      <c r="P42" s="3756"/>
      <c r="Q42" s="1463" t="str">
        <f t="shared" si="11"/>
        <v>内部装修</v>
      </c>
      <c r="R42" s="1464" t="s">
        <v>11</v>
      </c>
      <c r="S42" s="1465">
        <f t="shared" si="12"/>
        <v>100</v>
      </c>
      <c r="T42" s="1464" t="s">
        <v>11</v>
      </c>
      <c r="U42" s="1465">
        <f t="shared" si="13"/>
        <v>100</v>
      </c>
      <c r="V42" s="1464" t="s">
        <v>11</v>
      </c>
      <c r="W42" s="1465">
        <f t="shared" si="14"/>
        <v>100</v>
      </c>
      <c r="X42" s="1458"/>
      <c r="Y42" s="3756"/>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756"/>
      <c r="Q43" s="1463" t="str">
        <f t="shared" si="11"/>
        <v>内部装修维护情况</v>
      </c>
      <c r="R43" s="1464" t="s">
        <v>11</v>
      </c>
      <c r="S43" s="1465">
        <f t="shared" si="12"/>
        <v>100</v>
      </c>
      <c r="T43" s="1464" t="s">
        <v>11</v>
      </c>
      <c r="U43" s="1465">
        <f t="shared" si="13"/>
        <v>100</v>
      </c>
      <c r="V43" s="1464" t="s">
        <v>11</v>
      </c>
      <c r="W43" s="1465">
        <f t="shared" si="14"/>
        <v>100</v>
      </c>
      <c r="X43" s="1458"/>
      <c r="Y43" s="3756"/>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1"/>
      <c r="M44" s="1972"/>
      <c r="N44" s="1972"/>
      <c r="O44" s="1973"/>
      <c r="P44" s="3756"/>
      <c r="Q44" s="1098">
        <f t="shared" si="11"/>
        <v>111</v>
      </c>
      <c r="R44" s="1459" t="s">
        <v>11</v>
      </c>
      <c r="S44" s="1460">
        <f t="shared" si="12"/>
        <v>100</v>
      </c>
      <c r="T44" s="1459" t="s">
        <v>11</v>
      </c>
      <c r="U44" s="1460">
        <f t="shared" si="13"/>
        <v>100</v>
      </c>
      <c r="V44" s="1459" t="s">
        <v>11</v>
      </c>
      <c r="W44" s="1460">
        <f t="shared" si="14"/>
        <v>100</v>
      </c>
      <c r="X44" s="1461"/>
      <c r="Y44" s="3756"/>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756"/>
      <c r="Q45" s="1463">
        <f t="shared" si="11"/>
        <v>111</v>
      </c>
      <c r="R45" s="1464" t="s">
        <v>11</v>
      </c>
      <c r="S45" s="1465">
        <f t="shared" si="12"/>
        <v>100</v>
      </c>
      <c r="T45" s="1464" t="s">
        <v>11</v>
      </c>
      <c r="U45" s="1465">
        <f t="shared" si="13"/>
        <v>100</v>
      </c>
      <c r="V45" s="1464" t="s">
        <v>11</v>
      </c>
      <c r="W45" s="1465">
        <f t="shared" si="14"/>
        <v>100</v>
      </c>
      <c r="X45" s="1458"/>
      <c r="Y45" s="3756"/>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850"/>
      <c r="Q46" s="1463">
        <f t="shared" si="11"/>
        <v>111</v>
      </c>
      <c r="R46" s="1464" t="s">
        <v>10</v>
      </c>
      <c r="S46" s="1465">
        <f t="shared" si="12"/>
        <v>100</v>
      </c>
      <c r="T46" s="1464" t="s">
        <v>10</v>
      </c>
      <c r="U46" s="1465">
        <f t="shared" si="13"/>
        <v>100</v>
      </c>
      <c r="V46" s="1464" t="s">
        <v>10</v>
      </c>
      <c r="W46" s="1465">
        <f t="shared" si="14"/>
        <v>100</v>
      </c>
      <c r="X46" s="1458"/>
      <c r="Y46" s="3850"/>
      <c r="Z46" s="1466">
        <f t="shared" si="15"/>
        <v>111</v>
      </c>
      <c r="AA46" s="1467">
        <f t="shared" si="3"/>
        <v>1</v>
      </c>
      <c r="AB46" s="1467">
        <f t="shared" si="4"/>
        <v>1</v>
      </c>
      <c r="AC46" s="1467">
        <f t="shared" si="5"/>
        <v>1</v>
      </c>
    </row>
    <row r="47" spans="1:29" ht="15">
      <c r="A47" s="584" t="s">
        <v>718</v>
      </c>
      <c r="B47" s="859"/>
      <c r="C47" s="2392" t="s">
        <v>9</v>
      </c>
      <c r="D47" s="2393"/>
      <c r="E47" s="2394"/>
      <c r="F47" s="2395"/>
      <c r="G47" s="2396"/>
      <c r="H47" s="2397"/>
      <c r="I47" s="2394"/>
      <c r="J47" s="2397"/>
      <c r="K47" s="1493"/>
      <c r="L47" s="1980"/>
      <c r="M47" s="1981"/>
      <c r="N47" s="1970"/>
      <c r="O47" s="1981"/>
      <c r="P47" s="3720" t="str">
        <f>A47</f>
        <v>成交单价（元/平方米）</v>
      </c>
      <c r="Q47" s="3720"/>
      <c r="R47" s="3849">
        <f>E47</f>
        <v>0</v>
      </c>
      <c r="S47" s="3849"/>
      <c r="T47" s="3849">
        <f>G47</f>
        <v>0</v>
      </c>
      <c r="U47" s="3849"/>
      <c r="V47" s="3849">
        <f>I47</f>
        <v>0</v>
      </c>
      <c r="W47" s="3849"/>
      <c r="X47" s="1453"/>
      <c r="Y47" s="1472"/>
      <c r="Z47" s="1453"/>
      <c r="AA47" s="1453"/>
      <c r="AB47" s="1453"/>
      <c r="AC47" s="1453"/>
    </row>
    <row r="48" spans="1:29" ht="15.75" thickBot="1">
      <c r="A48" s="592" t="s">
        <v>2474</v>
      </c>
      <c r="B48" s="860"/>
      <c r="C48" s="2398" t="e">
        <f>R49</f>
        <v>#DIV/0!</v>
      </c>
      <c r="D48" s="2922" t="s">
        <v>2691</v>
      </c>
      <c r="E48" s="2399" t="e">
        <f>R48</f>
        <v>#DIV/0!</v>
      </c>
      <c r="F48" s="2923"/>
      <c r="G48" s="2398" t="e">
        <f>T48</f>
        <v>#DIV/0!</v>
      </c>
      <c r="H48" s="2923"/>
      <c r="I48" s="2399" t="e">
        <f>V48</f>
        <v>#DIV/0!</v>
      </c>
      <c r="J48" s="2923"/>
      <c r="K48" s="2931">
        <f>F48+H48+J48</f>
        <v>0</v>
      </c>
      <c r="L48" s="1980"/>
      <c r="M48" s="1981"/>
      <c r="N48" s="1981"/>
      <c r="O48" s="1981"/>
      <c r="P48" s="3720" t="str">
        <f>A48</f>
        <v>比较价格（元/平方米）</v>
      </c>
      <c r="Q48" s="3720"/>
      <c r="R48" s="3849" t="e">
        <f>IF(F1="售价",ROUND(PRODUCT(R47,AA7:AA46),0),ROUND(PRODUCT(R47,AA7:AA46),1))</f>
        <v>#DIV/0!</v>
      </c>
      <c r="S48" s="3849"/>
      <c r="T48" s="3849" t="e">
        <f>IF(F1="售价",ROUND(PRODUCT(T47,AB7:AB46),0),ROUND(PRODUCT(T47,AB7:AB46),1))</f>
        <v>#DIV/0!</v>
      </c>
      <c r="U48" s="3849"/>
      <c r="V48" s="3849" t="e">
        <f>IF(F1="售价",ROUND(PRODUCT(V47,AC7:AC46),0),ROUND(PRODUCT(V47,AC7:AC46),1))</f>
        <v>#DIV/0!</v>
      </c>
      <c r="W48" s="3849"/>
      <c r="X48" s="1453"/>
      <c r="Y48" s="1453"/>
      <c r="Z48" s="1453"/>
      <c r="AA48" s="1453"/>
      <c r="AB48" s="1453"/>
      <c r="AC48" s="1453"/>
    </row>
    <row r="49" spans="1:29" ht="15.75" thickBot="1">
      <c r="A49" s="596" t="s">
        <v>2626</v>
      </c>
      <c r="B49" s="597"/>
      <c r="C49" s="2400" t="e">
        <f>R49</f>
        <v>#DIV/0!</v>
      </c>
      <c r="D49" s="2400"/>
      <c r="E49" s="2400"/>
      <c r="F49" s="2400"/>
      <c r="G49" s="2400"/>
      <c r="H49" s="2400"/>
      <c r="I49" s="2400"/>
      <c r="J49" s="2400"/>
      <c r="K49" s="1494"/>
      <c r="L49" s="1980"/>
      <c r="M49" s="1981"/>
      <c r="N49" s="1981"/>
      <c r="O49" s="1981"/>
      <c r="P49" s="3757" t="str">
        <f>A49</f>
        <v>估价对象XX用房的比较价格（楼面单价，元/平方米）</v>
      </c>
      <c r="Q49" s="3758"/>
      <c r="R49" s="3848" t="e">
        <f>IF(F1="售价",ROUND(IF(D48="简单平均",AVERAGE(R48:V48),R48*F48+T48*H48+V48*J48),0),ROUND(IF(D48="简单平均",AVERAGE(R48:V48),R48*F48+T48*H48+V48*J48),1))</f>
        <v>#DIV/0!</v>
      </c>
      <c r="S49" s="3848"/>
      <c r="T49" s="3848"/>
      <c r="U49" s="3848"/>
      <c r="V49" s="3848"/>
      <c r="W49" s="3848"/>
      <c r="X49" s="1453"/>
      <c r="Y49" s="1453"/>
      <c r="Z49" s="1453"/>
      <c r="AA49" s="1453"/>
      <c r="AB49" s="1453"/>
      <c r="AC49" s="1453"/>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4"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4"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5" t="s">
        <v>556</v>
      </c>
      <c r="B57" s="1453"/>
      <c r="C57" s="1474"/>
      <c r="D57" s="1474"/>
      <c r="E57" s="1474"/>
      <c r="F57" s="1476"/>
      <c r="G57" s="1476"/>
      <c r="H57" s="1474"/>
      <c r="I57" s="1474"/>
      <c r="J57" s="1474"/>
      <c r="K57" s="1477"/>
      <c r="L57" s="1473"/>
      <c r="M57" s="1474"/>
      <c r="N57" s="1992"/>
      <c r="O57" s="1992"/>
      <c r="P57" s="1992"/>
      <c r="Q57" s="1993"/>
      <c r="R57" s="1981"/>
      <c r="S57" s="1981"/>
      <c r="T57" s="1981"/>
      <c r="U57" s="1981"/>
      <c r="V57" s="1981"/>
      <c r="W57" s="1981"/>
      <c r="X57" s="1981"/>
      <c r="Y57" s="1981"/>
      <c r="Z57" s="1981"/>
      <c r="AA57" s="1981"/>
      <c r="AB57" s="1981"/>
      <c r="AC57" s="1981"/>
    </row>
    <row r="58" spans="1:29" s="1256" customFormat="1" ht="15">
      <c r="A58" s="620" t="s">
        <v>512</v>
      </c>
      <c r="B58" s="621"/>
      <c r="C58" s="2443" t="str">
        <f>YEAR(C7)&amp;"-"&amp;MONTH(C7)</f>
        <v>2022-5</v>
      </c>
      <c r="D58" s="2443">
        <f>EDATE(C58,-1)</f>
        <v>44652</v>
      </c>
      <c r="E58" s="2443">
        <f t="shared" ref="E58:O58" si="16">EDATE(D58,-1)</f>
        <v>44621</v>
      </c>
      <c r="F58" s="2443">
        <f t="shared" si="16"/>
        <v>44593</v>
      </c>
      <c r="G58" s="2443">
        <f t="shared" si="16"/>
        <v>44562</v>
      </c>
      <c r="H58" s="2443">
        <f t="shared" si="16"/>
        <v>44531</v>
      </c>
      <c r="I58" s="2443">
        <f t="shared" si="16"/>
        <v>44501</v>
      </c>
      <c r="J58" s="2443">
        <f t="shared" si="16"/>
        <v>44470</v>
      </c>
      <c r="K58" s="2443">
        <f t="shared" si="16"/>
        <v>44440</v>
      </c>
      <c r="L58" s="2443">
        <f t="shared" si="16"/>
        <v>44409</v>
      </c>
      <c r="M58" s="2443">
        <f t="shared" si="16"/>
        <v>44378</v>
      </c>
      <c r="N58" s="2443">
        <f t="shared" si="16"/>
        <v>44348</v>
      </c>
      <c r="O58" s="2443">
        <f t="shared" si="16"/>
        <v>44317</v>
      </c>
      <c r="P58" s="1995"/>
      <c r="Q58" s="1996"/>
      <c r="R58" s="1996"/>
      <c r="S58" s="1996"/>
      <c r="T58" s="1996"/>
      <c r="U58" s="1996"/>
      <c r="V58" s="1996"/>
      <c r="W58" s="1996"/>
      <c r="X58" s="1996"/>
      <c r="Y58" s="1996"/>
      <c r="Z58" s="1996"/>
      <c r="AA58" s="1996"/>
      <c r="AB58" s="1996"/>
      <c r="AC58" s="1996"/>
    </row>
    <row r="59" spans="1:29" s="1167"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7"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7"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7" customFormat="1" ht="15.75" thickBot="1">
      <c r="A62" s="634"/>
      <c r="B62" s="623"/>
      <c r="C62" s="861">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5"/>
      <c r="F64" s="1495"/>
      <c r="G64" s="1495"/>
      <c r="H64" s="1495"/>
      <c r="I64" s="1495"/>
      <c r="J64" s="1495"/>
      <c r="K64" s="1495"/>
      <c r="L64" s="1495"/>
      <c r="M64" s="1496"/>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1"/>
      <c r="O69" s="2001"/>
      <c r="P69" s="2000"/>
      <c r="Q69" s="1993"/>
      <c r="R69" s="1981"/>
      <c r="S69" s="1981"/>
      <c r="T69" s="1981"/>
      <c r="U69" s="1981"/>
      <c r="V69" s="1981"/>
      <c r="W69" s="1981"/>
      <c r="X69" s="1981"/>
      <c r="Y69" s="1981"/>
      <c r="Z69" s="1981"/>
      <c r="AA69" s="1981"/>
      <c r="AB69" s="1981"/>
      <c r="AC69" s="1981"/>
    </row>
    <row r="70" spans="1:29" s="1249"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9"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9"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9"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9"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9"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2272</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2273</v>
      </c>
      <c r="C82" s="2364" t="s">
        <v>2274</v>
      </c>
      <c r="D82" s="2364" t="s">
        <v>2275</v>
      </c>
      <c r="E82" s="2364" t="s">
        <v>2276</v>
      </c>
      <c r="F82" s="2364" t="s">
        <v>2277</v>
      </c>
      <c r="G82" s="2364" t="s">
        <v>2278</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7" customFormat="1" ht="15.75" thickTop="1">
      <c r="A86" s="684"/>
      <c r="B86" s="1765" t="s">
        <v>2046</v>
      </c>
      <c r="C86" s="663"/>
      <c r="D86" s="663"/>
      <c r="E86" s="663"/>
      <c r="F86" s="663"/>
      <c r="G86" s="663"/>
      <c r="H86" s="663"/>
      <c r="I86" s="663"/>
      <c r="J86" s="663"/>
      <c r="K86" s="663"/>
      <c r="L86" s="862"/>
      <c r="M86" s="863"/>
      <c r="N86" s="1997"/>
      <c r="O86" s="1997"/>
      <c r="P86" s="2000"/>
      <c r="Q86" s="1993"/>
      <c r="R86" s="1859"/>
      <c r="S86" s="1859"/>
      <c r="T86" s="1859"/>
      <c r="U86" s="1859"/>
      <c r="V86" s="1859"/>
      <c r="W86" s="1859"/>
      <c r="X86" s="1859"/>
      <c r="Y86" s="1859"/>
      <c r="Z86" s="1859"/>
      <c r="AA86" s="1859"/>
      <c r="AB86" s="1859"/>
      <c r="AC86" s="1859"/>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7" customFormat="1" ht="15.75" thickTop="1">
      <c r="A88" s="684"/>
      <c r="B88" s="648" t="s">
        <v>728</v>
      </c>
      <c r="C88" s="663"/>
      <c r="D88" s="663"/>
      <c r="E88" s="663"/>
      <c r="F88" s="864"/>
      <c r="G88" s="663"/>
      <c r="H88" s="663"/>
      <c r="I88" s="663"/>
      <c r="J88" s="663"/>
      <c r="K88" s="663"/>
      <c r="L88" s="663"/>
      <c r="M88" s="863"/>
      <c r="N88" s="1997"/>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9"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9"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5"/>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9"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3"/>
      <c r="C104" s="667"/>
      <c r="D104" s="646"/>
      <c r="E104" s="646"/>
      <c r="F104" s="646"/>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9" customFormat="1">
      <c r="A112" s="703"/>
      <c r="B112" s="656"/>
      <c r="C112" s="866">
        <v>0.5</v>
      </c>
      <c r="D112" s="866">
        <v>0.6</v>
      </c>
      <c r="E112" s="866">
        <v>0.7</v>
      </c>
      <c r="F112" s="866">
        <v>0.8</v>
      </c>
      <c r="G112" s="866">
        <v>0.9</v>
      </c>
      <c r="H112" s="866">
        <v>1.0001</v>
      </c>
      <c r="I112" s="866"/>
      <c r="J112" s="867"/>
      <c r="K112" s="867"/>
      <c r="L112" s="868"/>
      <c r="M112" s="869"/>
      <c r="N112" s="2002"/>
      <c r="O112" s="2002"/>
      <c r="P112" s="2003"/>
      <c r="Q112" s="2004"/>
      <c r="R112" s="2005"/>
      <c r="S112" s="2005"/>
      <c r="T112" s="2005"/>
      <c r="U112" s="2005"/>
      <c r="V112" s="2005"/>
      <c r="W112" s="2005"/>
      <c r="X112" s="2005"/>
      <c r="Y112" s="2005"/>
      <c r="Z112" s="2005"/>
      <c r="AA112" s="2005"/>
      <c r="AB112" s="2005"/>
      <c r="AC112" s="2005"/>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2271</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9" customFormat="1" ht="28.5" thickTop="1">
      <c r="A120" s="703"/>
      <c r="B120" s="648" t="s">
        <v>715</v>
      </c>
      <c r="C120" s="663"/>
      <c r="D120" s="663"/>
      <c r="E120" s="663"/>
      <c r="F120" s="663"/>
      <c r="G120" s="663"/>
      <c r="H120" s="663"/>
      <c r="I120" s="663"/>
      <c r="J120" s="663"/>
      <c r="K120" s="663"/>
      <c r="L120" s="862"/>
      <c r="M120" s="863"/>
      <c r="N120" s="2002"/>
      <c r="O120" s="2002"/>
      <c r="P120" s="2003"/>
      <c r="Q120" s="2004"/>
      <c r="R120" s="2005"/>
      <c r="S120" s="2005"/>
      <c r="T120" s="2005"/>
      <c r="U120" s="2005"/>
      <c r="V120" s="2005"/>
      <c r="W120" s="2005"/>
      <c r="X120" s="2005"/>
      <c r="Y120" s="2005"/>
      <c r="Z120" s="2005"/>
      <c r="AA120" s="2005"/>
      <c r="AB120" s="2005"/>
      <c r="AC120" s="2005"/>
    </row>
    <row r="121" spans="1:29" s="1249"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9"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9"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5"/>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2047</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2048</v>
      </c>
      <c r="C137" s="1788"/>
      <c r="D137" s="1788"/>
      <c r="E137" s="1788"/>
      <c r="F137" s="1788"/>
      <c r="G137" s="1789"/>
      <c r="H137" s="1790"/>
      <c r="I137" s="1791" t="s">
        <v>2049</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2050</v>
      </c>
      <c r="D138" s="1794" t="s">
        <v>2051</v>
      </c>
      <c r="E138" s="1795" t="s">
        <v>2052</v>
      </c>
      <c r="F138" s="1796" t="s">
        <v>2053</v>
      </c>
      <c r="G138" s="1794" t="s">
        <v>2054</v>
      </c>
      <c r="H138" s="1797" t="s">
        <v>2055</v>
      </c>
      <c r="I138" s="1798"/>
      <c r="J138" s="1794" t="s">
        <v>2056</v>
      </c>
      <c r="K138" s="1797" t="s">
        <v>2057</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2058</v>
      </c>
      <c r="E139" s="1768">
        <v>100</v>
      </c>
      <c r="F139" s="1769">
        <v>102.5</v>
      </c>
      <c r="G139" s="1799" t="s">
        <v>2059</v>
      </c>
      <c r="H139" s="1770">
        <v>105</v>
      </c>
      <c r="I139" s="1800" t="s">
        <v>2060</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2061</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2062</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2063</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2064</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2065</v>
      </c>
      <c r="E144" s="1774">
        <v>102</v>
      </c>
      <c r="F144" s="1780">
        <v>100</v>
      </c>
      <c r="G144" s="1803" t="s">
        <v>2065</v>
      </c>
      <c r="H144" s="1776">
        <v>105</v>
      </c>
      <c r="I144" s="1802" t="s">
        <v>2064</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2066</v>
      </c>
      <c r="C145" s="1781">
        <f>ROUND(MAX(C139:C144)/MIN(C139:C144)-1,3)</f>
        <v>7.2999999999999995E-2</v>
      </c>
      <c r="D145" s="1805"/>
      <c r="E145" s="1805"/>
      <c r="F145" s="1806" t="s">
        <v>2067</v>
      </c>
      <c r="G145" s="1807"/>
      <c r="H145" s="1808"/>
      <c r="I145" s="1809" t="s">
        <v>2064</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2075</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2076</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79"/>
      <c r="E1" s="483"/>
      <c r="F1" s="2446"/>
      <c r="G1" s="1488"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726" t="s">
        <v>505</v>
      </c>
      <c r="D4" s="3727"/>
      <c r="E4" s="3761" t="s">
        <v>506</v>
      </c>
      <c r="F4" s="3762"/>
      <c r="G4" s="3726" t="s">
        <v>507</v>
      </c>
      <c r="H4" s="3727"/>
      <c r="I4" s="3726" t="s">
        <v>508</v>
      </c>
      <c r="J4" s="3727"/>
      <c r="K4" s="491" t="s">
        <v>509</v>
      </c>
      <c r="L4" s="1969"/>
      <c r="M4" s="1970"/>
      <c r="N4" s="1970"/>
      <c r="O4" s="1970"/>
      <c r="P4" s="3728" t="s">
        <v>510</v>
      </c>
      <c r="Q4" s="3729"/>
      <c r="R4" s="3734" t="s">
        <v>506</v>
      </c>
      <c r="S4" s="3735"/>
      <c r="T4" s="3734" t="s">
        <v>507</v>
      </c>
      <c r="U4" s="3735"/>
      <c r="V4" s="3721" t="s">
        <v>508</v>
      </c>
      <c r="W4" s="3721"/>
      <c r="X4" s="1458"/>
      <c r="Y4" s="3734" t="s">
        <v>510</v>
      </c>
      <c r="Z4" s="3735"/>
      <c r="AA4" s="3723" t="s">
        <v>506</v>
      </c>
      <c r="AB4" s="3721" t="s">
        <v>507</v>
      </c>
      <c r="AC4" s="3723" t="s">
        <v>508</v>
      </c>
    </row>
    <row r="5" spans="1:29" ht="15">
      <c r="A5" s="492"/>
      <c r="B5" s="493"/>
      <c r="C5" s="3742" t="s">
        <v>2620</v>
      </c>
      <c r="D5" s="3743"/>
      <c r="E5" s="3763" t="s">
        <v>2621</v>
      </c>
      <c r="F5" s="3764"/>
      <c r="G5" s="3742" t="s">
        <v>2622</v>
      </c>
      <c r="H5" s="3743"/>
      <c r="I5" s="3742" t="s">
        <v>2623</v>
      </c>
      <c r="J5" s="3743"/>
      <c r="K5" s="491"/>
      <c r="L5" s="1969"/>
      <c r="M5" s="1970"/>
      <c r="N5" s="1970"/>
      <c r="O5" s="1970"/>
      <c r="P5" s="3730"/>
      <c r="Q5" s="3731"/>
      <c r="R5" s="3736"/>
      <c r="S5" s="3737"/>
      <c r="T5" s="3736"/>
      <c r="U5" s="3737"/>
      <c r="V5" s="3721"/>
      <c r="W5" s="3721"/>
      <c r="X5" s="1458"/>
      <c r="Y5" s="3736"/>
      <c r="Z5" s="3737"/>
      <c r="AA5" s="3724"/>
      <c r="AB5" s="3721"/>
      <c r="AC5" s="3724"/>
    </row>
    <row r="6" spans="1:29" ht="15.75" thickBot="1">
      <c r="A6" s="494"/>
      <c r="B6" s="495"/>
      <c r="C6" s="3740" t="s">
        <v>2624</v>
      </c>
      <c r="D6" s="3741"/>
      <c r="E6" s="3759" t="s">
        <v>2624</v>
      </c>
      <c r="F6" s="3760"/>
      <c r="G6" s="3740" t="s">
        <v>2624</v>
      </c>
      <c r="H6" s="3741"/>
      <c r="I6" s="3740" t="s">
        <v>2624</v>
      </c>
      <c r="J6" s="3741"/>
      <c r="K6" s="491" t="s">
        <v>511</v>
      </c>
      <c r="L6" s="1969"/>
      <c r="M6" s="1970"/>
      <c r="N6" s="1970"/>
      <c r="O6" s="1970"/>
      <c r="P6" s="3732"/>
      <c r="Q6" s="3733"/>
      <c r="R6" s="3736"/>
      <c r="S6" s="3737"/>
      <c r="T6" s="3738"/>
      <c r="U6" s="3739"/>
      <c r="V6" s="3721"/>
      <c r="W6" s="3721"/>
      <c r="X6" s="1458"/>
      <c r="Y6" s="3738"/>
      <c r="Z6" s="3739"/>
      <c r="AA6" s="3725"/>
      <c r="AB6" s="3721"/>
      <c r="AC6" s="3725"/>
    </row>
    <row r="7" spans="1:29" s="1167" customFormat="1" ht="15.75" thickBot="1">
      <c r="A7" s="2551"/>
      <c r="B7" s="2558" t="s">
        <v>512</v>
      </c>
      <c r="C7" s="496">
        <f>'数据-取费表'!B2</f>
        <v>44705</v>
      </c>
      <c r="D7" s="497">
        <v>100</v>
      </c>
      <c r="E7" s="498"/>
      <c r="F7" s="499">
        <f>SUMIF(58:58,YEAR(E7)&amp;"-"&amp;MONTH(E7),59:59)</f>
        <v>0</v>
      </c>
      <c r="G7" s="498"/>
      <c r="H7" s="497">
        <f>SUMIF(58:58,YEAR(G7)&amp;"-"&amp;MONTH(G7),59:59)</f>
        <v>0</v>
      </c>
      <c r="I7" s="498"/>
      <c r="J7" s="497">
        <f>SUMIF(58:58,YEAR(I7)&amp;"-"&amp;MONTH(I7),59:59)</f>
        <v>0</v>
      </c>
      <c r="K7" s="501"/>
      <c r="L7" s="1971"/>
      <c r="M7" s="1972"/>
      <c r="N7" s="1972"/>
      <c r="O7" s="1972"/>
      <c r="P7" s="3750" t="s">
        <v>513</v>
      </c>
      <c r="Q7" s="3752"/>
      <c r="R7" s="1459" t="s">
        <v>8</v>
      </c>
      <c r="S7" s="1460">
        <f t="shared" ref="S7:S15" si="0">F7</f>
        <v>0</v>
      </c>
      <c r="T7" s="1459" t="s">
        <v>8</v>
      </c>
      <c r="U7" s="1460">
        <f t="shared" ref="U7:U15" si="1">H7</f>
        <v>0</v>
      </c>
      <c r="V7" s="1459" t="s">
        <v>8</v>
      </c>
      <c r="W7" s="1460">
        <f t="shared" ref="W7:W15" si="2">J7</f>
        <v>0</v>
      </c>
      <c r="X7" s="1461"/>
      <c r="Y7" s="3750" t="s">
        <v>513</v>
      </c>
      <c r="Z7" s="3751"/>
      <c r="AA7" s="1462" t="e">
        <f>D7/F7</f>
        <v>#DIV/0!</v>
      </c>
      <c r="AB7" s="1462" t="e">
        <f>D7/H7</f>
        <v>#DIV/0!</v>
      </c>
      <c r="AC7" s="1462" t="e">
        <f>D7/J7</f>
        <v>#DIV/0!</v>
      </c>
    </row>
    <row r="8" spans="1:29" s="1167"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750" t="s">
        <v>516</v>
      </c>
      <c r="Q8" s="3751"/>
      <c r="R8" s="1459" t="s">
        <v>8</v>
      </c>
      <c r="S8" s="1460">
        <f t="shared" si="0"/>
        <v>0</v>
      </c>
      <c r="T8" s="1459" t="s">
        <v>8</v>
      </c>
      <c r="U8" s="1460">
        <f t="shared" si="1"/>
        <v>0</v>
      </c>
      <c r="V8" s="1459" t="s">
        <v>8</v>
      </c>
      <c r="W8" s="1460">
        <f t="shared" si="2"/>
        <v>0</v>
      </c>
      <c r="X8" s="1461"/>
      <c r="Y8" s="3750" t="s">
        <v>516</v>
      </c>
      <c r="Z8" s="3751"/>
      <c r="AA8" s="1462" t="e">
        <f t="shared" ref="AA8:AA46" si="3">D8/F8</f>
        <v>#DIV/0!</v>
      </c>
      <c r="AB8" s="1462" t="e">
        <f t="shared" ref="AB8:AB46" si="4">D8/H8</f>
        <v>#DIV/0!</v>
      </c>
      <c r="AC8" s="1462" t="e">
        <f t="shared" ref="AC8:AC46" si="5">D8/J8</f>
        <v>#DIV/0!</v>
      </c>
    </row>
    <row r="9" spans="1:29" s="1167" customFormat="1" ht="15">
      <c r="A9" s="2553"/>
      <c r="B9" s="2560" t="s">
        <v>2470</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720" t="s">
        <v>518</v>
      </c>
      <c r="Q9" s="1098" t="str">
        <f t="shared" ref="Q9:Q15" si="6">B9</f>
        <v>用途</v>
      </c>
      <c r="R9" s="1459" t="s">
        <v>8</v>
      </c>
      <c r="S9" s="1460">
        <f t="shared" si="0"/>
        <v>100</v>
      </c>
      <c r="T9" s="1459" t="s">
        <v>8</v>
      </c>
      <c r="U9" s="1460">
        <f t="shared" si="1"/>
        <v>100</v>
      </c>
      <c r="V9" s="1459" t="s">
        <v>8</v>
      </c>
      <c r="W9" s="1460">
        <f t="shared" si="2"/>
        <v>100</v>
      </c>
      <c r="X9" s="1461"/>
      <c r="Y9" s="3651"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720"/>
      <c r="Q10" s="1098" t="str">
        <f t="shared" si="6"/>
        <v>土地使用年限（年）</v>
      </c>
      <c r="R10" s="1459" t="s">
        <v>8</v>
      </c>
      <c r="S10" s="1460">
        <f t="shared" si="0"/>
        <v>100</v>
      </c>
      <c r="T10" s="1459" t="s">
        <v>8</v>
      </c>
      <c r="U10" s="1460">
        <f t="shared" si="1"/>
        <v>100</v>
      </c>
      <c r="V10" s="1459" t="s">
        <v>8</v>
      </c>
      <c r="W10" s="1460">
        <f t="shared" si="2"/>
        <v>100</v>
      </c>
      <c r="X10" s="1461"/>
      <c r="Y10" s="3651"/>
      <c r="Z10" s="1097" t="str">
        <f t="shared" si="7"/>
        <v>土地使用年限（年）</v>
      </c>
      <c r="AA10" s="1462">
        <f t="shared" si="3"/>
        <v>1</v>
      </c>
      <c r="AB10" s="1462">
        <f t="shared" si="4"/>
        <v>1</v>
      </c>
      <c r="AC10" s="1462">
        <f t="shared" si="5"/>
        <v>1</v>
      </c>
    </row>
    <row r="11" spans="1:29" ht="15">
      <c r="A11" s="2555"/>
      <c r="B11" s="2559" t="s">
        <v>2472</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720"/>
      <c r="Q11" s="1098" t="str">
        <f t="shared" si="6"/>
        <v>容积率</v>
      </c>
      <c r="R11" s="1459" t="s">
        <v>8</v>
      </c>
      <c r="S11" s="1460" t="e">
        <f t="shared" si="0"/>
        <v>#N/A</v>
      </c>
      <c r="T11" s="1459" t="s">
        <v>8</v>
      </c>
      <c r="U11" s="1460" t="e">
        <f t="shared" si="1"/>
        <v>#N/A</v>
      </c>
      <c r="V11" s="1459" t="s">
        <v>8</v>
      </c>
      <c r="W11" s="1460" t="e">
        <f t="shared" si="2"/>
        <v>#N/A</v>
      </c>
      <c r="X11" s="1461"/>
      <c r="Y11" s="3651"/>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16"/>
      <c r="F12" s="253">
        <f>SUMIF(70:70,E12,71:71)-SUMIF(70:70,C12,71:71)+100</f>
        <v>100</v>
      </c>
      <c r="G12" s="884"/>
      <c r="H12" s="253">
        <f>SUMIF(70:70,G12,71:71)-SUMIF(70:70,C12,71:71)+100</f>
        <v>100</v>
      </c>
      <c r="I12" s="516"/>
      <c r="J12" s="253">
        <f>SUMIF(70:70,I12,71:71)-SUMIF(70:70,C12,71:71)+100</f>
        <v>100</v>
      </c>
      <c r="K12" s="558"/>
      <c r="L12" s="1971"/>
      <c r="M12" s="1972"/>
      <c r="N12" s="1972"/>
      <c r="O12" s="1973"/>
      <c r="P12" s="3720"/>
      <c r="Q12" s="1098">
        <f t="shared" si="6"/>
        <v>111</v>
      </c>
      <c r="R12" s="1459" t="s">
        <v>8</v>
      </c>
      <c r="S12" s="1460">
        <f t="shared" si="0"/>
        <v>100</v>
      </c>
      <c r="T12" s="1459" t="s">
        <v>8</v>
      </c>
      <c r="U12" s="1460">
        <f t="shared" si="1"/>
        <v>100</v>
      </c>
      <c r="V12" s="1459" t="s">
        <v>8</v>
      </c>
      <c r="W12" s="1460">
        <f t="shared" si="2"/>
        <v>100</v>
      </c>
      <c r="X12" s="1461"/>
      <c r="Y12" s="3651"/>
      <c r="Z12" s="1097">
        <f t="shared" si="7"/>
        <v>111</v>
      </c>
      <c r="AA12" s="1462">
        <f>D12/F12</f>
        <v>1</v>
      </c>
      <c r="AB12" s="1462">
        <f>D12/H12</f>
        <v>1</v>
      </c>
      <c r="AC12" s="1462">
        <f>D12/J12</f>
        <v>1</v>
      </c>
    </row>
    <row r="13" spans="1:29" ht="15">
      <c r="A13" s="2556"/>
      <c r="B13" s="2562">
        <v>111</v>
      </c>
      <c r="C13" s="516"/>
      <c r="D13" s="517">
        <v>100</v>
      </c>
      <c r="E13" s="516"/>
      <c r="F13" s="253">
        <f>SUMIF(72:72,E13,73:73)-SUMIF(72:72,C13,73:73)+100</f>
        <v>100</v>
      </c>
      <c r="G13" s="884"/>
      <c r="H13" s="517">
        <f>SUMIF(72:72,G13,73:73)-SUMIF(72:72,C13,73:73)+100</f>
        <v>100</v>
      </c>
      <c r="I13" s="516"/>
      <c r="J13" s="517">
        <f>SUMIF(72:72,I13,73:73)-SUMIF(72:72,C13,73:73)+100</f>
        <v>100</v>
      </c>
      <c r="K13" s="558"/>
      <c r="L13" s="1978"/>
      <c r="M13" s="1970"/>
      <c r="N13" s="1970"/>
      <c r="O13" s="1977"/>
      <c r="P13" s="3720"/>
      <c r="Q13" s="1098">
        <f t="shared" si="6"/>
        <v>111</v>
      </c>
      <c r="R13" s="1459" t="s">
        <v>8</v>
      </c>
      <c r="S13" s="1460">
        <f t="shared" si="0"/>
        <v>100</v>
      </c>
      <c r="T13" s="1459" t="s">
        <v>8</v>
      </c>
      <c r="U13" s="1460">
        <f t="shared" si="1"/>
        <v>100</v>
      </c>
      <c r="V13" s="1459" t="s">
        <v>8</v>
      </c>
      <c r="W13" s="1460">
        <f t="shared" si="2"/>
        <v>100</v>
      </c>
      <c r="X13" s="1461"/>
      <c r="Y13" s="3651"/>
      <c r="Z13" s="1097">
        <f t="shared" si="7"/>
        <v>111</v>
      </c>
      <c r="AA13" s="1462">
        <f t="shared" si="3"/>
        <v>1</v>
      </c>
      <c r="AB13" s="1462">
        <f t="shared" si="4"/>
        <v>1</v>
      </c>
      <c r="AC13" s="1462">
        <f t="shared" si="5"/>
        <v>1</v>
      </c>
    </row>
    <row r="14" spans="1:29" ht="15.75" thickBot="1">
      <c r="A14" s="2557"/>
      <c r="B14" s="2563">
        <v>111</v>
      </c>
      <c r="C14" s="522"/>
      <c r="D14" s="523">
        <v>100</v>
      </c>
      <c r="E14" s="522"/>
      <c r="F14" s="523">
        <f>SUMIF(74:74,E14,75:75)-SUMIF(74:74,C14,75:75)+100</f>
        <v>100</v>
      </c>
      <c r="G14" s="884"/>
      <c r="H14" s="523">
        <f>SUMIF(74:74,G14,75:75)-SUMIF(74:74,C14,75:75)+100</f>
        <v>100</v>
      </c>
      <c r="I14" s="516"/>
      <c r="J14" s="523">
        <f>SUMIF(74:74,I14,75:75)-SUMIF(74:74,C14,75:75)+100</f>
        <v>100</v>
      </c>
      <c r="K14" s="558"/>
      <c r="L14" s="1978"/>
      <c r="M14" s="1970"/>
      <c r="N14" s="1970"/>
      <c r="O14" s="1977"/>
      <c r="P14" s="3720"/>
      <c r="Q14" s="1098">
        <f t="shared" si="6"/>
        <v>111</v>
      </c>
      <c r="R14" s="1459" t="s">
        <v>8</v>
      </c>
      <c r="S14" s="1460">
        <f t="shared" si="0"/>
        <v>100</v>
      </c>
      <c r="T14" s="1459" t="s">
        <v>8</v>
      </c>
      <c r="U14" s="1460">
        <f t="shared" si="1"/>
        <v>100</v>
      </c>
      <c r="V14" s="1459" t="s">
        <v>8</v>
      </c>
      <c r="W14" s="1460">
        <f t="shared" si="2"/>
        <v>100</v>
      </c>
      <c r="X14" s="1461"/>
      <c r="Y14" s="3651"/>
      <c r="Z14" s="1097">
        <f t="shared" si="7"/>
        <v>111</v>
      </c>
      <c r="AA14" s="1462">
        <f t="shared" si="3"/>
        <v>1</v>
      </c>
      <c r="AB14" s="1462">
        <f t="shared" si="4"/>
        <v>1</v>
      </c>
      <c r="AC14" s="1462">
        <f t="shared" si="5"/>
        <v>1</v>
      </c>
    </row>
    <row r="15" spans="1:29" ht="15">
      <c r="A15" s="2549" t="s">
        <v>2468</v>
      </c>
      <c r="B15" s="164" t="s">
        <v>524</v>
      </c>
      <c r="C15" s="839" t="str">
        <f>估价对象房地状况!C4</f>
        <v>一般</v>
      </c>
      <c r="D15" s="526">
        <v>100</v>
      </c>
      <c r="E15" s="527"/>
      <c r="F15" s="528">
        <f>SUMIF(76:76,E16,77:77)-SUMIF(76:76,C16,77:77)+100</f>
        <v>100</v>
      </c>
      <c r="G15" s="529"/>
      <c r="H15" s="526">
        <f>SUMIF(76:76,G16,77:77)-SUMIF(76:76,C16,77:77)+100</f>
        <v>100</v>
      </c>
      <c r="I15" s="527"/>
      <c r="J15" s="526">
        <f>SUMIF(76:76,I16,77:77)-SUMIF(76:76,C16,77:77)+100</f>
        <v>100</v>
      </c>
      <c r="K15" s="870"/>
      <c r="L15" s="1978"/>
      <c r="M15" s="1970"/>
      <c r="N15" s="1970"/>
      <c r="O15" s="1977"/>
      <c r="P15" s="3753" t="s">
        <v>523</v>
      </c>
      <c r="Q15" s="1463" t="str">
        <f t="shared" si="6"/>
        <v>商业繁华度</v>
      </c>
      <c r="R15" s="1464" t="s">
        <v>8</v>
      </c>
      <c r="S15" s="1465">
        <f t="shared" si="0"/>
        <v>100</v>
      </c>
      <c r="T15" s="1464" t="s">
        <v>8</v>
      </c>
      <c r="U15" s="1465">
        <f t="shared" si="1"/>
        <v>100</v>
      </c>
      <c r="V15" s="1464" t="s">
        <v>8</v>
      </c>
      <c r="W15" s="1465">
        <f t="shared" si="2"/>
        <v>100</v>
      </c>
      <c r="X15" s="1458"/>
      <c r="Y15" s="3753"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8"/>
      <c r="M16" s="1970"/>
      <c r="N16" s="1970"/>
      <c r="O16" s="1977"/>
      <c r="P16" s="3754"/>
      <c r="Q16" s="1463"/>
      <c r="R16" s="1464"/>
      <c r="S16" s="1465"/>
      <c r="T16" s="1464"/>
      <c r="U16" s="1465"/>
      <c r="V16" s="1464"/>
      <c r="W16" s="1465"/>
      <c r="X16" s="1458"/>
      <c r="Y16" s="3754"/>
      <c r="Z16" s="1466"/>
      <c r="AA16" s="1467">
        <v>1</v>
      </c>
      <c r="AB16" s="1467">
        <v>1</v>
      </c>
      <c r="AC16" s="1467">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70"/>
      <c r="L17" s="1978"/>
      <c r="M17" s="1970"/>
      <c r="N17" s="1970"/>
      <c r="O17" s="1977"/>
      <c r="P17" s="3754"/>
      <c r="Q17" s="1463" t="str">
        <f>B17</f>
        <v>交通便捷度</v>
      </c>
      <c r="R17" s="1464" t="s">
        <v>8</v>
      </c>
      <c r="S17" s="1465">
        <f>F17</f>
        <v>100</v>
      </c>
      <c r="T17" s="1464" t="s">
        <v>8</v>
      </c>
      <c r="U17" s="1465">
        <f>H17</f>
        <v>100</v>
      </c>
      <c r="V17" s="1464" t="s">
        <v>8</v>
      </c>
      <c r="W17" s="1465">
        <f>J17</f>
        <v>100</v>
      </c>
      <c r="X17" s="1458"/>
      <c r="Y17" s="3754"/>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8"/>
      <c r="M18" s="1970"/>
      <c r="N18" s="1970"/>
      <c r="O18" s="1977"/>
      <c r="P18" s="3754"/>
      <c r="Q18" s="1463"/>
      <c r="R18" s="1464"/>
      <c r="S18" s="1465"/>
      <c r="T18" s="1464"/>
      <c r="U18" s="1465"/>
      <c r="V18" s="1464"/>
      <c r="W18" s="1465"/>
      <c r="X18" s="1458"/>
      <c r="Y18" s="3754"/>
      <c r="Z18" s="1466"/>
      <c r="AA18" s="1467">
        <v>1</v>
      </c>
      <c r="AB18" s="1467">
        <v>1</v>
      </c>
      <c r="AC18" s="1467">
        <v>1</v>
      </c>
    </row>
    <row r="19" spans="1:29" ht="15">
      <c r="A19" s="509"/>
      <c r="B19" s="2366" t="s">
        <v>2261</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70"/>
      <c r="L19" s="1978"/>
      <c r="M19" s="1970"/>
      <c r="N19" s="1970"/>
      <c r="O19" s="1977"/>
      <c r="P19" s="3754"/>
      <c r="Q19" s="1463" t="str">
        <f>B19</f>
        <v>公共配套设施</v>
      </c>
      <c r="R19" s="1464" t="s">
        <v>8</v>
      </c>
      <c r="S19" s="1465">
        <f>F19</f>
        <v>100</v>
      </c>
      <c r="T19" s="1464" t="s">
        <v>8</v>
      </c>
      <c r="U19" s="1465">
        <f>H19</f>
        <v>100</v>
      </c>
      <c r="V19" s="1464" t="s">
        <v>8</v>
      </c>
      <c r="W19" s="1465">
        <f>J19</f>
        <v>100</v>
      </c>
      <c r="X19" s="1458"/>
      <c r="Y19" s="3754"/>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8"/>
      <c r="M20" s="1970"/>
      <c r="N20" s="1970"/>
      <c r="O20" s="1977"/>
      <c r="P20" s="3754"/>
      <c r="Q20" s="1463"/>
      <c r="R20" s="1464"/>
      <c r="S20" s="1465"/>
      <c r="T20" s="1464"/>
      <c r="U20" s="1465"/>
      <c r="V20" s="1464"/>
      <c r="W20" s="1465"/>
      <c r="X20" s="1458"/>
      <c r="Y20" s="3754"/>
      <c r="Z20" s="1466"/>
      <c r="AA20" s="1467">
        <v>1</v>
      </c>
      <c r="AB20" s="1467">
        <v>1</v>
      </c>
      <c r="AC20" s="1467">
        <v>1</v>
      </c>
    </row>
    <row r="21" spans="1:29" ht="15">
      <c r="A21" s="509"/>
      <c r="B21" s="2359" t="s">
        <v>2273</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70"/>
      <c r="L21" s="1978"/>
      <c r="M21" s="1970"/>
      <c r="N21" s="1970"/>
      <c r="O21" s="1977"/>
      <c r="P21" s="3754"/>
      <c r="Q21" s="2351" t="str">
        <f>B21</f>
        <v>基础设施水平</v>
      </c>
      <c r="R21" s="1464" t="s">
        <v>8</v>
      </c>
      <c r="S21" s="1465">
        <f>F21</f>
        <v>100</v>
      </c>
      <c r="T21" s="1464" t="s">
        <v>8</v>
      </c>
      <c r="U21" s="1465">
        <f>H21</f>
        <v>100</v>
      </c>
      <c r="V21" s="1464" t="s">
        <v>8</v>
      </c>
      <c r="W21" s="1465">
        <f>J21</f>
        <v>100</v>
      </c>
      <c r="X21" s="2353"/>
      <c r="Y21" s="3754"/>
      <c r="Z21" s="2352"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8"/>
      <c r="L22" s="1978"/>
      <c r="M22" s="1970"/>
      <c r="N22" s="1970"/>
      <c r="O22" s="1977"/>
      <c r="P22" s="3754"/>
      <c r="Q22" s="2351"/>
      <c r="R22" s="1464"/>
      <c r="S22" s="1465"/>
      <c r="T22" s="1464"/>
      <c r="U22" s="1465"/>
      <c r="V22" s="1464"/>
      <c r="W22" s="1465"/>
      <c r="X22" s="2353"/>
      <c r="Y22" s="3754"/>
      <c r="Z22" s="2352"/>
      <c r="AA22" s="1467">
        <v>1</v>
      </c>
      <c r="AB22" s="1467">
        <v>1</v>
      </c>
      <c r="AC22" s="1467">
        <v>1</v>
      </c>
    </row>
    <row r="23" spans="1:29" ht="15">
      <c r="A23" s="509"/>
      <c r="B23" s="843" t="s">
        <v>297</v>
      </c>
      <c r="C23" s="872" t="str">
        <f>估价对象房地状况!C9</f>
        <v>较好</v>
      </c>
      <c r="D23" s="536">
        <v>100</v>
      </c>
      <c r="E23" s="539"/>
      <c r="F23" s="540">
        <f>SUMIF(84:84,E24,85:85)-SUMIF(84:84,C24,85:85)+100</f>
        <v>100</v>
      </c>
      <c r="G23" s="541"/>
      <c r="H23" s="536">
        <f>SUMIF(84:84,G24,85:85)-SUMIF(84:84,C24,85:85)+100</f>
        <v>100</v>
      </c>
      <c r="I23" s="539"/>
      <c r="J23" s="536">
        <f>SUMIF(84:84,I24,85:85)-SUMIF(84:84,C24,85:85)+100</f>
        <v>100</v>
      </c>
      <c r="K23" s="870"/>
      <c r="L23" s="1978"/>
      <c r="M23" s="1970"/>
      <c r="N23" s="1970"/>
      <c r="O23" s="1977"/>
      <c r="P23" s="3754"/>
      <c r="Q23" s="1463" t="str">
        <f>B23</f>
        <v>自然及人文环境</v>
      </c>
      <c r="R23" s="1464" t="s">
        <v>8</v>
      </c>
      <c r="S23" s="1465">
        <f>F23</f>
        <v>100</v>
      </c>
      <c r="T23" s="1464" t="s">
        <v>8</v>
      </c>
      <c r="U23" s="1465">
        <f>H23</f>
        <v>100</v>
      </c>
      <c r="V23" s="1464" t="s">
        <v>8</v>
      </c>
      <c r="W23" s="1465">
        <f>J23</f>
        <v>100</v>
      </c>
      <c r="X23" s="1458"/>
      <c r="Y23" s="3754"/>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8"/>
      <c r="M24" s="1970"/>
      <c r="N24" s="1970"/>
      <c r="O24" s="1977"/>
      <c r="P24" s="3754"/>
      <c r="Q24" s="1463"/>
      <c r="R24" s="1464"/>
      <c r="S24" s="1465"/>
      <c r="T24" s="1464"/>
      <c r="U24" s="1465"/>
      <c r="V24" s="1464"/>
      <c r="W24" s="1465"/>
      <c r="X24" s="1458"/>
      <c r="Y24" s="3754"/>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754"/>
      <c r="Q25" s="1463" t="str">
        <f t="shared" ref="Q25:Q46" si="11">B25</f>
        <v>临街状况</v>
      </c>
      <c r="R25" s="1464" t="s">
        <v>8</v>
      </c>
      <c r="S25" s="1465">
        <f>F25</f>
        <v>100</v>
      </c>
      <c r="T25" s="1464" t="s">
        <v>8</v>
      </c>
      <c r="U25" s="1465">
        <f>H25</f>
        <v>100</v>
      </c>
      <c r="V25" s="1464" t="s">
        <v>8</v>
      </c>
      <c r="W25" s="1465">
        <f>J25</f>
        <v>100</v>
      </c>
      <c r="X25" s="1458"/>
      <c r="Y25" s="3754"/>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754"/>
      <c r="Q26" s="1463" t="str">
        <f t="shared" si="11"/>
        <v>平面位置/可视性</v>
      </c>
      <c r="R26" s="1464" t="s">
        <v>8</v>
      </c>
      <c r="S26" s="1465">
        <f>F26</f>
        <v>100</v>
      </c>
      <c r="T26" s="1464" t="s">
        <v>8</v>
      </c>
      <c r="U26" s="1465">
        <f>H26</f>
        <v>100</v>
      </c>
      <c r="V26" s="1464" t="s">
        <v>8</v>
      </c>
      <c r="W26" s="1465">
        <f>J26</f>
        <v>100</v>
      </c>
      <c r="X26" s="1458"/>
      <c r="Y26" s="3754"/>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1"/>
      <c r="M27" s="1972"/>
      <c r="N27" s="1972"/>
      <c r="O27" s="1973"/>
      <c r="P27" s="3754"/>
      <c r="Q27" s="1098" t="str">
        <f t="shared" si="11"/>
        <v>人流量</v>
      </c>
      <c r="R27" s="1459" t="s">
        <v>8</v>
      </c>
      <c r="S27" s="1460">
        <f>F27</f>
        <v>100</v>
      </c>
      <c r="T27" s="1459" t="s">
        <v>8</v>
      </c>
      <c r="U27" s="1460">
        <f>H27</f>
        <v>100</v>
      </c>
      <c r="V27" s="1459" t="s">
        <v>8</v>
      </c>
      <c r="W27" s="1460">
        <f>J27</f>
        <v>100</v>
      </c>
      <c r="X27" s="1461"/>
      <c r="Y27" s="3754"/>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754"/>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754"/>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754"/>
      <c r="Q29" s="1463">
        <f t="shared" si="11"/>
        <v>111</v>
      </c>
      <c r="R29" s="1464" t="s">
        <v>8</v>
      </c>
      <c r="S29" s="1465">
        <f t="shared" si="12"/>
        <v>100</v>
      </c>
      <c r="T29" s="1464" t="s">
        <v>8</v>
      </c>
      <c r="U29" s="1465">
        <f t="shared" si="13"/>
        <v>100</v>
      </c>
      <c r="V29" s="1464" t="s">
        <v>8</v>
      </c>
      <c r="W29" s="1465">
        <f t="shared" si="14"/>
        <v>100</v>
      </c>
      <c r="X29" s="1458"/>
      <c r="Y29" s="3754"/>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754"/>
      <c r="Q30" s="1463">
        <f t="shared" si="11"/>
        <v>111</v>
      </c>
      <c r="R30" s="1464" t="s">
        <v>8</v>
      </c>
      <c r="S30" s="1465">
        <f t="shared" si="12"/>
        <v>100</v>
      </c>
      <c r="T30" s="1464" t="s">
        <v>8</v>
      </c>
      <c r="U30" s="1465">
        <f t="shared" si="13"/>
        <v>100</v>
      </c>
      <c r="V30" s="1464" t="s">
        <v>8</v>
      </c>
      <c r="W30" s="1465">
        <f t="shared" si="14"/>
        <v>100</v>
      </c>
      <c r="X30" s="1458"/>
      <c r="Y30" s="3754"/>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754"/>
      <c r="Q31" s="1463">
        <f t="shared" si="11"/>
        <v>111</v>
      </c>
      <c r="R31" s="1464" t="s">
        <v>8</v>
      </c>
      <c r="S31" s="1465">
        <f t="shared" si="12"/>
        <v>100</v>
      </c>
      <c r="T31" s="1464" t="s">
        <v>8</v>
      </c>
      <c r="U31" s="1465">
        <f t="shared" si="13"/>
        <v>100</v>
      </c>
      <c r="V31" s="1464" t="s">
        <v>8</v>
      </c>
      <c r="W31" s="1465">
        <f t="shared" si="14"/>
        <v>100</v>
      </c>
      <c r="X31" s="1458"/>
      <c r="Y31" s="3754"/>
      <c r="Z31" s="1466">
        <f t="shared" si="15"/>
        <v>111</v>
      </c>
      <c r="AA31" s="1467">
        <f t="shared" si="3"/>
        <v>1</v>
      </c>
      <c r="AB31" s="1467">
        <f t="shared" si="4"/>
        <v>1</v>
      </c>
      <c r="AC31" s="1467">
        <f t="shared" si="5"/>
        <v>1</v>
      </c>
    </row>
    <row r="32" spans="1:29" ht="15">
      <c r="A32" s="2546" t="s">
        <v>2469</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755" t="s">
        <v>533</v>
      </c>
      <c r="Q32" s="1463" t="str">
        <f t="shared" si="11"/>
        <v>商业类型</v>
      </c>
      <c r="R32" s="1464" t="s">
        <v>8</v>
      </c>
      <c r="S32" s="1465">
        <f t="shared" si="12"/>
        <v>100</v>
      </c>
      <c r="T32" s="1464" t="s">
        <v>8</v>
      </c>
      <c r="U32" s="1465">
        <f t="shared" si="13"/>
        <v>100</v>
      </c>
      <c r="V32" s="1464" t="s">
        <v>8</v>
      </c>
      <c r="W32" s="1465">
        <f t="shared" si="14"/>
        <v>100</v>
      </c>
      <c r="X32" s="1458"/>
      <c r="Y32" s="3756"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756"/>
      <c r="Q33" s="1492" t="str">
        <f t="shared" si="11"/>
        <v>项目建筑规模</v>
      </c>
      <c r="R33" s="1468" t="s">
        <v>8</v>
      </c>
      <c r="S33" s="1469" t="e">
        <f t="shared" si="12"/>
        <v>#N/A</v>
      </c>
      <c r="T33" s="1468" t="s">
        <v>8</v>
      </c>
      <c r="U33" s="1469" t="e">
        <f t="shared" si="13"/>
        <v>#N/A</v>
      </c>
      <c r="V33" s="1468" t="s">
        <v>8</v>
      </c>
      <c r="W33" s="1469" t="e">
        <f t="shared" si="14"/>
        <v>#N/A</v>
      </c>
      <c r="X33" s="1470"/>
      <c r="Y33" s="3756"/>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8"/>
      <c r="M34" s="1970"/>
      <c r="N34" s="1970"/>
      <c r="O34" s="1977"/>
      <c r="P34" s="3756"/>
      <c r="Q34" s="1463" t="str">
        <f t="shared" si="11"/>
        <v>建筑结构</v>
      </c>
      <c r="R34" s="1464" t="s">
        <v>8</v>
      </c>
      <c r="S34" s="1465">
        <f t="shared" si="12"/>
        <v>100</v>
      </c>
      <c r="T34" s="1464" t="s">
        <v>8</v>
      </c>
      <c r="U34" s="1465">
        <f t="shared" si="13"/>
        <v>100</v>
      </c>
      <c r="V34" s="1464" t="s">
        <v>8</v>
      </c>
      <c r="W34" s="1465">
        <f t="shared" si="14"/>
        <v>100</v>
      </c>
      <c r="X34" s="1458"/>
      <c r="Y34" s="3756"/>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756"/>
      <c r="Q35" s="1463" t="str">
        <f t="shared" si="11"/>
        <v>公共部分装修</v>
      </c>
      <c r="R35" s="1464" t="s">
        <v>8</v>
      </c>
      <c r="S35" s="1465">
        <f t="shared" si="12"/>
        <v>100</v>
      </c>
      <c r="T35" s="1464" t="s">
        <v>8</v>
      </c>
      <c r="U35" s="1465">
        <f t="shared" si="13"/>
        <v>100</v>
      </c>
      <c r="V35" s="1464" t="s">
        <v>8</v>
      </c>
      <c r="W35" s="1465">
        <f t="shared" si="14"/>
        <v>100</v>
      </c>
      <c r="X35" s="1458"/>
      <c r="Y35" s="3756"/>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8"/>
      <c r="M36" s="1970"/>
      <c r="N36" s="1970"/>
      <c r="O36" s="1977"/>
      <c r="P36" s="3756"/>
      <c r="Q36" s="1463" t="str">
        <f t="shared" si="11"/>
        <v>成新度</v>
      </c>
      <c r="R36" s="1464" t="s">
        <v>8</v>
      </c>
      <c r="S36" s="1465" t="e">
        <f t="shared" si="12"/>
        <v>#N/A</v>
      </c>
      <c r="T36" s="1464" t="s">
        <v>8</v>
      </c>
      <c r="U36" s="1465" t="e">
        <f t="shared" si="13"/>
        <v>#N/A</v>
      </c>
      <c r="V36" s="1464" t="s">
        <v>8</v>
      </c>
      <c r="W36" s="1465" t="e">
        <f t="shared" si="14"/>
        <v>#N/A</v>
      </c>
      <c r="X36" s="1458"/>
      <c r="Y36" s="3756"/>
      <c r="Z36" s="1466" t="str">
        <f t="shared" si="15"/>
        <v>成新度</v>
      </c>
      <c r="AA36" s="1467" t="e">
        <f t="shared" si="3"/>
        <v>#N/A</v>
      </c>
      <c r="AB36" s="1467" t="e">
        <f t="shared" si="4"/>
        <v>#N/A</v>
      </c>
      <c r="AC36" s="1467" t="e">
        <f t="shared" si="5"/>
        <v>#N/A</v>
      </c>
    </row>
    <row r="37" spans="1:29" s="1167" customFormat="1" ht="15">
      <c r="A37" s="577"/>
      <c r="B37" s="1764" t="s">
        <v>2280</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756"/>
      <c r="Q37" s="1098" t="str">
        <f t="shared" si="11"/>
        <v>市政基础设施</v>
      </c>
      <c r="R37" s="1459" t="s">
        <v>8</v>
      </c>
      <c r="S37" s="1460">
        <f t="shared" si="12"/>
        <v>100</v>
      </c>
      <c r="T37" s="1459" t="s">
        <v>8</v>
      </c>
      <c r="U37" s="1460">
        <f t="shared" si="13"/>
        <v>100</v>
      </c>
      <c r="V37" s="1459" t="s">
        <v>8</v>
      </c>
      <c r="W37" s="1460">
        <f t="shared" si="14"/>
        <v>100</v>
      </c>
      <c r="X37" s="1461"/>
      <c r="Y37" s="3756"/>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756" t="s">
        <v>748</v>
      </c>
      <c r="Q38" s="1463" t="str">
        <f t="shared" si="11"/>
        <v>业态</v>
      </c>
      <c r="R38" s="1464" t="s">
        <v>8</v>
      </c>
      <c r="S38" s="1465">
        <f t="shared" si="12"/>
        <v>100</v>
      </c>
      <c r="T38" s="1464" t="s">
        <v>8</v>
      </c>
      <c r="U38" s="1465">
        <f t="shared" si="13"/>
        <v>100</v>
      </c>
      <c r="V38" s="1464" t="s">
        <v>8</v>
      </c>
      <c r="W38" s="1465">
        <f t="shared" si="14"/>
        <v>100</v>
      </c>
      <c r="X38" s="1458"/>
      <c r="Y38" s="3756"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756"/>
      <c r="Q39" s="1463" t="str">
        <f t="shared" si="11"/>
        <v>层高</v>
      </c>
      <c r="R39" s="1464" t="s">
        <v>8</v>
      </c>
      <c r="S39" s="1465">
        <f t="shared" si="12"/>
        <v>100</v>
      </c>
      <c r="T39" s="1464" t="s">
        <v>8</v>
      </c>
      <c r="U39" s="1465">
        <f t="shared" si="13"/>
        <v>100</v>
      </c>
      <c r="V39" s="1464" t="s">
        <v>8</v>
      </c>
      <c r="W39" s="1465">
        <f t="shared" si="14"/>
        <v>100</v>
      </c>
      <c r="X39" s="1458"/>
      <c r="Y39" s="3756"/>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8"/>
      <c r="M40" s="1970"/>
      <c r="N40" s="1970"/>
      <c r="O40" s="1977"/>
      <c r="P40" s="3756"/>
      <c r="Q40" s="1463" t="str">
        <f t="shared" si="11"/>
        <v>单套建筑面积</v>
      </c>
      <c r="R40" s="1464" t="s">
        <v>8</v>
      </c>
      <c r="S40" s="1465">
        <f t="shared" si="12"/>
        <v>100</v>
      </c>
      <c r="T40" s="1464" t="s">
        <v>8</v>
      </c>
      <c r="U40" s="1465">
        <f t="shared" si="13"/>
        <v>100</v>
      </c>
      <c r="V40" s="1464" t="s">
        <v>8</v>
      </c>
      <c r="W40" s="1465">
        <f t="shared" si="14"/>
        <v>100</v>
      </c>
      <c r="X40" s="1458"/>
      <c r="Y40" s="3756"/>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756"/>
      <c r="Q41" s="1492" t="str">
        <f t="shared" si="11"/>
        <v>进深比</v>
      </c>
      <c r="R41" s="1468" t="s">
        <v>8</v>
      </c>
      <c r="S41" s="1469">
        <f t="shared" si="12"/>
        <v>100</v>
      </c>
      <c r="T41" s="1468" t="s">
        <v>8</v>
      </c>
      <c r="U41" s="1469">
        <f t="shared" si="13"/>
        <v>100</v>
      </c>
      <c r="V41" s="1468" t="s">
        <v>8</v>
      </c>
      <c r="W41" s="1469">
        <f t="shared" si="14"/>
        <v>100</v>
      </c>
      <c r="X41" s="1470"/>
      <c r="Y41" s="3756"/>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756"/>
      <c r="Q42" s="1463" t="str">
        <f t="shared" si="11"/>
        <v>内部装修</v>
      </c>
      <c r="R42" s="1464" t="s">
        <v>8</v>
      </c>
      <c r="S42" s="1465">
        <f t="shared" si="12"/>
        <v>100</v>
      </c>
      <c r="T42" s="1464" t="s">
        <v>8</v>
      </c>
      <c r="U42" s="1465">
        <f t="shared" si="13"/>
        <v>100</v>
      </c>
      <c r="V42" s="1464" t="s">
        <v>8</v>
      </c>
      <c r="W42" s="1465">
        <f t="shared" si="14"/>
        <v>100</v>
      </c>
      <c r="X42" s="1458"/>
      <c r="Y42" s="3756"/>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756"/>
      <c r="Q43" s="1463" t="str">
        <f t="shared" si="11"/>
        <v>内部装修维护情况</v>
      </c>
      <c r="R43" s="1464" t="s">
        <v>8</v>
      </c>
      <c r="S43" s="1465">
        <f t="shared" si="12"/>
        <v>100</v>
      </c>
      <c r="T43" s="1464" t="s">
        <v>8</v>
      </c>
      <c r="U43" s="1465">
        <f t="shared" si="13"/>
        <v>100</v>
      </c>
      <c r="V43" s="1464" t="s">
        <v>8</v>
      </c>
      <c r="W43" s="1465">
        <f t="shared" si="14"/>
        <v>100</v>
      </c>
      <c r="X43" s="1458"/>
      <c r="Y43" s="3756"/>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756"/>
      <c r="Q44" s="1098">
        <f t="shared" si="11"/>
        <v>111</v>
      </c>
      <c r="R44" s="1459" t="s">
        <v>8</v>
      </c>
      <c r="S44" s="1460">
        <f t="shared" si="12"/>
        <v>100</v>
      </c>
      <c r="T44" s="1459" t="s">
        <v>8</v>
      </c>
      <c r="U44" s="1460">
        <f t="shared" si="13"/>
        <v>100</v>
      </c>
      <c r="V44" s="1459" t="s">
        <v>8</v>
      </c>
      <c r="W44" s="1460">
        <f t="shared" si="14"/>
        <v>100</v>
      </c>
      <c r="X44" s="1461"/>
      <c r="Y44" s="3756"/>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756"/>
      <c r="Q45" s="1463">
        <f t="shared" si="11"/>
        <v>111</v>
      </c>
      <c r="R45" s="1464" t="s">
        <v>8</v>
      </c>
      <c r="S45" s="1465">
        <f t="shared" si="12"/>
        <v>100</v>
      </c>
      <c r="T45" s="1464" t="s">
        <v>8</v>
      </c>
      <c r="U45" s="1465">
        <f t="shared" si="13"/>
        <v>100</v>
      </c>
      <c r="V45" s="1464" t="s">
        <v>8</v>
      </c>
      <c r="W45" s="1465">
        <f t="shared" si="14"/>
        <v>100</v>
      </c>
      <c r="X45" s="1458"/>
      <c r="Y45" s="3756"/>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850"/>
      <c r="Q46" s="1463">
        <f t="shared" si="11"/>
        <v>111</v>
      </c>
      <c r="R46" s="1464" t="s">
        <v>8</v>
      </c>
      <c r="S46" s="1465">
        <f t="shared" si="12"/>
        <v>100</v>
      </c>
      <c r="T46" s="1464" t="s">
        <v>8</v>
      </c>
      <c r="U46" s="1465">
        <f t="shared" si="13"/>
        <v>100</v>
      </c>
      <c r="V46" s="1464" t="s">
        <v>8</v>
      </c>
      <c r="W46" s="1465">
        <f t="shared" si="14"/>
        <v>100</v>
      </c>
      <c r="X46" s="1458"/>
      <c r="Y46" s="3850"/>
      <c r="Z46" s="1466">
        <f t="shared" si="15"/>
        <v>111</v>
      </c>
      <c r="AA46" s="1467">
        <f t="shared" si="3"/>
        <v>1</v>
      </c>
      <c r="AB46" s="1467">
        <f t="shared" si="4"/>
        <v>1</v>
      </c>
      <c r="AC46" s="1467">
        <f t="shared" si="5"/>
        <v>1</v>
      </c>
    </row>
    <row r="47" spans="1:29" ht="15">
      <c r="A47" s="584" t="s">
        <v>718</v>
      </c>
      <c r="B47" s="859"/>
      <c r="C47" s="2392" t="s">
        <v>1</v>
      </c>
      <c r="D47" s="2393"/>
      <c r="E47" s="2394"/>
      <c r="F47" s="2395"/>
      <c r="G47" s="2396"/>
      <c r="H47" s="2397"/>
      <c r="I47" s="2394"/>
      <c r="J47" s="2397"/>
      <c r="K47" s="1497"/>
      <c r="L47" s="1980"/>
      <c r="M47" s="1981"/>
      <c r="N47" s="1970"/>
      <c r="O47" s="1981"/>
      <c r="P47" s="3720" t="str">
        <f>A47</f>
        <v>成交单价（元/平方米）</v>
      </c>
      <c r="Q47" s="3720"/>
      <c r="R47" s="3849">
        <f>E47</f>
        <v>0</v>
      </c>
      <c r="S47" s="3849"/>
      <c r="T47" s="3849">
        <f>G47</f>
        <v>0</v>
      </c>
      <c r="U47" s="3849"/>
      <c r="V47" s="3849">
        <f>I47</f>
        <v>0</v>
      </c>
      <c r="W47" s="3849"/>
      <c r="X47" s="1453"/>
      <c r="Y47" s="1472"/>
      <c r="Z47" s="1453"/>
      <c r="AA47" s="1453"/>
      <c r="AB47" s="1453"/>
      <c r="AC47" s="1453"/>
    </row>
    <row r="48" spans="1:29" ht="15.75" thickBot="1">
      <c r="A48" s="592" t="s">
        <v>2474</v>
      </c>
      <c r="B48" s="860"/>
      <c r="C48" s="2398" t="e">
        <f>R49</f>
        <v>#DIV/0!</v>
      </c>
      <c r="D48" s="2922" t="s">
        <v>2691</v>
      </c>
      <c r="E48" s="2399" t="e">
        <f>R48</f>
        <v>#DIV/0!</v>
      </c>
      <c r="F48" s="2923"/>
      <c r="G48" s="2398" t="e">
        <f>T48</f>
        <v>#DIV/0!</v>
      </c>
      <c r="H48" s="2923"/>
      <c r="I48" s="2399" t="e">
        <f>V48</f>
        <v>#DIV/0!</v>
      </c>
      <c r="J48" s="2923"/>
      <c r="K48" s="2931">
        <f>F48+H48+J48</f>
        <v>0</v>
      </c>
      <c r="L48" s="1980"/>
      <c r="M48" s="1981"/>
      <c r="N48" s="1970"/>
      <c r="O48" s="1981"/>
      <c r="P48" s="3720" t="str">
        <f>A48</f>
        <v>比较价格（元/平方米）</v>
      </c>
      <c r="Q48" s="3720"/>
      <c r="R48" s="3849" t="e">
        <f>IF(F1="售价",ROUND(PRODUCT(R47,AA7:AA46),0),ROUND(PRODUCT(R47,AA7:AA46),1))</f>
        <v>#DIV/0!</v>
      </c>
      <c r="S48" s="3849"/>
      <c r="T48" s="3849" t="e">
        <f>IF(F1="售价",ROUND(PRODUCT(T47,AB7:AB46),0),ROUND(PRODUCT(T47,AB7:AB46),1))</f>
        <v>#DIV/0!</v>
      </c>
      <c r="U48" s="3849"/>
      <c r="V48" s="3849" t="e">
        <f>IF(F1="售价",ROUND(PRODUCT(V47,AC7:AC46),0),ROUND(PRODUCT(V47,AC7:AC46),1))</f>
        <v>#DIV/0!</v>
      </c>
      <c r="W48" s="3849"/>
      <c r="X48" s="1453"/>
      <c r="Y48" s="1453"/>
      <c r="Z48" s="1453"/>
      <c r="AA48" s="1453"/>
      <c r="AB48" s="1453"/>
      <c r="AC48" s="1453"/>
    </row>
    <row r="49" spans="1:29" ht="15.75" thickBot="1">
      <c r="A49" s="596" t="s">
        <v>2626</v>
      </c>
      <c r="B49" s="597"/>
      <c r="C49" s="2400" t="e">
        <f>R49</f>
        <v>#DIV/0!</v>
      </c>
      <c r="D49" s="2400"/>
      <c r="E49" s="2400"/>
      <c r="F49" s="2400"/>
      <c r="G49" s="2400"/>
      <c r="H49" s="2400"/>
      <c r="I49" s="2400"/>
      <c r="J49" s="2400"/>
      <c r="K49" s="1498"/>
      <c r="L49" s="1980"/>
      <c r="M49" s="1981"/>
      <c r="N49" s="1970"/>
      <c r="O49" s="1981"/>
      <c r="P49" s="3757" t="str">
        <f>A49</f>
        <v>估价对象XX用房的比较价格（楼面单价，元/平方米）</v>
      </c>
      <c r="Q49" s="3758"/>
      <c r="R49" s="3848" t="e">
        <f>IF(F1="售价",ROUND(IF(D48="简单平均",AVERAGE(R48:V48),R48*F48+T48*H48+V48*J48),0),ROUND(IF(D48="简单平均",AVERAGE(R48:V48),R48*F48+T48*H48+V48*J48),1))</f>
        <v>#DIV/0!</v>
      </c>
      <c r="S49" s="3848"/>
      <c r="T49" s="3848"/>
      <c r="U49" s="3848"/>
      <c r="V49" s="3848"/>
      <c r="W49" s="3848"/>
      <c r="X49" s="1453"/>
      <c r="Y49" s="1453"/>
      <c r="Z49" s="1453"/>
      <c r="AA49" s="1453"/>
      <c r="AB49" s="1453"/>
      <c r="AC49" s="1453"/>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4"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4"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5" t="s">
        <v>556</v>
      </c>
      <c r="B57" s="1453"/>
      <c r="C57" s="1474"/>
      <c r="D57" s="1474"/>
      <c r="E57" s="1474"/>
      <c r="F57" s="1476"/>
      <c r="G57" s="1476"/>
      <c r="H57" s="1474"/>
      <c r="I57" s="1474"/>
      <c r="J57" s="1474"/>
      <c r="K57" s="1477"/>
      <c r="L57" s="1473"/>
      <c r="M57" s="1474"/>
      <c r="N57" s="1992"/>
      <c r="O57" s="1992"/>
      <c r="P57" s="1992"/>
      <c r="Q57" s="1993"/>
      <c r="R57" s="1981"/>
      <c r="S57" s="1981"/>
      <c r="T57" s="1981"/>
      <c r="U57" s="1981"/>
      <c r="V57" s="1981"/>
      <c r="W57" s="1981"/>
      <c r="X57" s="1981"/>
      <c r="Y57" s="1981"/>
      <c r="Z57" s="1981"/>
      <c r="AA57" s="1981"/>
      <c r="AB57" s="1981"/>
      <c r="AC57" s="1981"/>
    </row>
    <row r="58" spans="1:29" s="1256" customFormat="1" ht="15">
      <c r="A58" s="620" t="s">
        <v>512</v>
      </c>
      <c r="B58" s="621"/>
      <c r="C58" s="2441" t="str">
        <f>YEAR(C7)&amp;"-"&amp;MONTH(C7)</f>
        <v>2022-5</v>
      </c>
      <c r="D58" s="2443">
        <f>EDATE(C58,-1)</f>
        <v>44652</v>
      </c>
      <c r="E58" s="2443">
        <f t="shared" ref="E58:O58" si="16">EDATE(D58,-1)</f>
        <v>44621</v>
      </c>
      <c r="F58" s="2443">
        <f t="shared" si="16"/>
        <v>44593</v>
      </c>
      <c r="G58" s="2443">
        <f t="shared" si="16"/>
        <v>44562</v>
      </c>
      <c r="H58" s="2443">
        <f t="shared" si="16"/>
        <v>44531</v>
      </c>
      <c r="I58" s="2443">
        <f t="shared" si="16"/>
        <v>44501</v>
      </c>
      <c r="J58" s="2443">
        <f t="shared" si="16"/>
        <v>44470</v>
      </c>
      <c r="K58" s="2443">
        <f t="shared" si="16"/>
        <v>44440</v>
      </c>
      <c r="L58" s="2443">
        <f t="shared" si="16"/>
        <v>44409</v>
      </c>
      <c r="M58" s="2443">
        <f t="shared" si="16"/>
        <v>44378</v>
      </c>
      <c r="N58" s="2443">
        <f t="shared" si="16"/>
        <v>44348</v>
      </c>
      <c r="O58" s="2443">
        <f t="shared" si="16"/>
        <v>44317</v>
      </c>
      <c r="P58" s="1995"/>
      <c r="Q58" s="1996"/>
      <c r="R58" s="1996"/>
      <c r="S58" s="1996"/>
      <c r="T58" s="1996"/>
      <c r="U58" s="1996"/>
      <c r="V58" s="1996"/>
      <c r="W58" s="1996"/>
      <c r="X58" s="1996"/>
      <c r="Y58" s="1996"/>
      <c r="Z58" s="1996"/>
      <c r="AA58" s="1996"/>
      <c r="AB58" s="1996"/>
      <c r="AC58" s="1996"/>
    </row>
    <row r="59" spans="1:29" s="1167"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7"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7"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7" customFormat="1" ht="15.75" thickBot="1">
      <c r="A62" s="634"/>
      <c r="B62" s="623"/>
      <c r="C62" s="861">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2"/>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9"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9"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9"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9"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9"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9"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2272</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2273</v>
      </c>
      <c r="C82" s="2364" t="s">
        <v>2274</v>
      </c>
      <c r="D82" s="2364" t="s">
        <v>2275</v>
      </c>
      <c r="E82" s="2364" t="s">
        <v>2276</v>
      </c>
      <c r="F82" s="2364" t="s">
        <v>2277</v>
      </c>
      <c r="G82" s="2364" t="s">
        <v>2278</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7" customFormat="1" ht="15.75" thickTop="1">
      <c r="A86" s="684"/>
      <c r="B86" s="648" t="s">
        <v>753</v>
      </c>
      <c r="C86" s="663"/>
      <c r="D86" s="663"/>
      <c r="E86" s="663"/>
      <c r="F86" s="663"/>
      <c r="G86" s="663"/>
      <c r="H86" s="663"/>
      <c r="I86" s="663"/>
      <c r="J86" s="663"/>
      <c r="K86" s="663"/>
      <c r="L86" s="862"/>
      <c r="M86" s="863"/>
      <c r="N86" s="1997"/>
      <c r="O86" s="1997"/>
      <c r="P86" s="2000"/>
      <c r="Q86" s="1993"/>
      <c r="R86" s="1859"/>
      <c r="S86" s="1859"/>
      <c r="T86" s="1859"/>
      <c r="U86" s="1859"/>
      <c r="V86" s="1859"/>
      <c r="W86" s="1859"/>
      <c r="X86" s="1859"/>
      <c r="Y86" s="1859"/>
      <c r="Z86" s="1859"/>
      <c r="AA86" s="1859"/>
      <c r="AB86" s="1859"/>
      <c r="AC86" s="1859"/>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7" customFormat="1" ht="15.75" thickTop="1">
      <c r="A88" s="684"/>
      <c r="B88" s="648" t="str">
        <f>B26</f>
        <v>平面位置/可视性</v>
      </c>
      <c r="C88" s="663"/>
      <c r="D88" s="663"/>
      <c r="E88" s="663"/>
      <c r="F88" s="864"/>
      <c r="G88" s="663"/>
      <c r="H88" s="663"/>
      <c r="I88" s="663"/>
      <c r="J88" s="663"/>
      <c r="K88" s="663"/>
      <c r="L88" s="663"/>
      <c r="M88" s="863"/>
      <c r="N88" s="1997"/>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9"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2"/>
      <c r="M92" s="863"/>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5"/>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9"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6">
        <v>0.5</v>
      </c>
      <c r="D110" s="866">
        <v>0.6</v>
      </c>
      <c r="E110" s="866">
        <v>0.7</v>
      </c>
      <c r="F110" s="866">
        <v>0.8</v>
      </c>
      <c r="G110" s="866">
        <v>0.9</v>
      </c>
      <c r="H110" s="866">
        <v>1.0001</v>
      </c>
      <c r="I110" s="877"/>
      <c r="J110" s="877"/>
      <c r="K110" s="878"/>
      <c r="L110" s="879"/>
      <c r="M110" s="880"/>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9" customFormat="1" ht="15" thickTop="1">
      <c r="A112" s="703"/>
      <c r="B112" s="1765" t="s">
        <v>2271</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1"/>
      <c r="D118" s="881"/>
      <c r="E118" s="881"/>
      <c r="F118" s="881"/>
      <c r="G118" s="881"/>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9"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9"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9"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5"/>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5"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6"/>
      <c r="G1" s="1488"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6"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6"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726" t="s">
        <v>505</v>
      </c>
      <c r="D4" s="3727"/>
      <c r="E4" s="3761" t="s">
        <v>506</v>
      </c>
      <c r="F4" s="3762"/>
      <c r="G4" s="3726" t="s">
        <v>507</v>
      </c>
      <c r="H4" s="3727"/>
      <c r="I4" s="3726" t="s">
        <v>508</v>
      </c>
      <c r="J4" s="3727"/>
      <c r="K4" s="491" t="s">
        <v>509</v>
      </c>
      <c r="L4" s="1969"/>
      <c r="M4" s="1970"/>
      <c r="N4" s="1970"/>
      <c r="O4" s="1970"/>
      <c r="P4" s="3852" t="s">
        <v>510</v>
      </c>
      <c r="Q4" s="3729"/>
      <c r="R4" s="3734" t="s">
        <v>506</v>
      </c>
      <c r="S4" s="3735"/>
      <c r="T4" s="3734" t="s">
        <v>507</v>
      </c>
      <c r="U4" s="3735"/>
      <c r="V4" s="3721" t="s">
        <v>508</v>
      </c>
      <c r="W4" s="3721"/>
      <c r="X4" s="1458"/>
      <c r="Y4" s="3734" t="s">
        <v>510</v>
      </c>
      <c r="Z4" s="3735"/>
      <c r="AA4" s="3723" t="s">
        <v>506</v>
      </c>
      <c r="AB4" s="3723" t="s">
        <v>507</v>
      </c>
      <c r="AC4" s="3723" t="s">
        <v>508</v>
      </c>
    </row>
    <row r="5" spans="1:29" ht="15">
      <c r="A5" s="492"/>
      <c r="B5" s="493"/>
      <c r="C5" s="3742" t="s">
        <v>2620</v>
      </c>
      <c r="D5" s="3743"/>
      <c r="E5" s="3763" t="s">
        <v>2621</v>
      </c>
      <c r="F5" s="3764"/>
      <c r="G5" s="3742" t="s">
        <v>2622</v>
      </c>
      <c r="H5" s="3743"/>
      <c r="I5" s="3742" t="s">
        <v>2623</v>
      </c>
      <c r="J5" s="3743"/>
      <c r="K5" s="491"/>
      <c r="L5" s="1969"/>
      <c r="M5" s="1970"/>
      <c r="N5" s="1970"/>
      <c r="O5" s="1970"/>
      <c r="P5" s="3853"/>
      <c r="Q5" s="3731"/>
      <c r="R5" s="3736"/>
      <c r="S5" s="3737"/>
      <c r="T5" s="3736"/>
      <c r="U5" s="3737"/>
      <c r="V5" s="3721"/>
      <c r="W5" s="3721"/>
      <c r="X5" s="1458"/>
      <c r="Y5" s="3736"/>
      <c r="Z5" s="3737"/>
      <c r="AA5" s="3724"/>
      <c r="AB5" s="3724"/>
      <c r="AC5" s="3724"/>
    </row>
    <row r="6" spans="1:29" ht="15.75" thickBot="1">
      <c r="A6" s="494"/>
      <c r="B6" s="495"/>
      <c r="C6" s="3740" t="s">
        <v>2624</v>
      </c>
      <c r="D6" s="3741"/>
      <c r="E6" s="3759" t="s">
        <v>2624</v>
      </c>
      <c r="F6" s="3760"/>
      <c r="G6" s="3740" t="s">
        <v>2624</v>
      </c>
      <c r="H6" s="3741"/>
      <c r="I6" s="3740" t="s">
        <v>2624</v>
      </c>
      <c r="J6" s="3741"/>
      <c r="K6" s="491" t="s">
        <v>511</v>
      </c>
      <c r="L6" s="1969"/>
      <c r="M6" s="1970"/>
      <c r="N6" s="1970"/>
      <c r="O6" s="1970"/>
      <c r="P6" s="3854"/>
      <c r="Q6" s="3733"/>
      <c r="R6" s="3736"/>
      <c r="S6" s="3737"/>
      <c r="T6" s="3738"/>
      <c r="U6" s="3739"/>
      <c r="V6" s="3721"/>
      <c r="W6" s="3721"/>
      <c r="X6" s="1458"/>
      <c r="Y6" s="3738"/>
      <c r="Z6" s="3739"/>
      <c r="AA6" s="3725"/>
      <c r="AB6" s="3725"/>
      <c r="AC6" s="3725"/>
    </row>
    <row r="7" spans="1:29" s="1167" customFormat="1" ht="15.75" thickBot="1">
      <c r="A7" s="2551"/>
      <c r="B7" s="2558" t="s">
        <v>512</v>
      </c>
      <c r="C7" s="496">
        <f>'数据-取费表'!B2</f>
        <v>44705</v>
      </c>
      <c r="D7" s="497">
        <v>100</v>
      </c>
      <c r="E7" s="498"/>
      <c r="F7" s="499">
        <f>SUMIF(59:59,YEAR(E7)&amp;"-"&amp;MONTH(E7),60:60)</f>
        <v>0</v>
      </c>
      <c r="G7" s="498"/>
      <c r="H7" s="497">
        <f>SUMIF(59:59,YEAR(G7)&amp;"-"&amp;MONTH(G7),60:60)</f>
        <v>0</v>
      </c>
      <c r="I7" s="498"/>
      <c r="J7" s="497">
        <f>SUMIF(59:59,YEAR(I7)&amp;"-"&amp;MONTH(I7),60:60)</f>
        <v>0</v>
      </c>
      <c r="K7" s="501"/>
      <c r="L7" s="1971"/>
      <c r="M7" s="1972"/>
      <c r="N7" s="1972"/>
      <c r="O7" s="1972"/>
      <c r="P7" s="3752" t="s">
        <v>513</v>
      </c>
      <c r="Q7" s="3752"/>
      <c r="R7" s="1459" t="s">
        <v>8</v>
      </c>
      <c r="S7" s="1460">
        <f t="shared" ref="S7:S15" si="0">F7</f>
        <v>0</v>
      </c>
      <c r="T7" s="1459" t="s">
        <v>8</v>
      </c>
      <c r="U7" s="1460">
        <f t="shared" ref="U7:U15" si="1">H7</f>
        <v>0</v>
      </c>
      <c r="V7" s="1459" t="s">
        <v>8</v>
      </c>
      <c r="W7" s="1460">
        <f t="shared" ref="W7:W15" si="2">J7</f>
        <v>0</v>
      </c>
      <c r="X7" s="1461"/>
      <c r="Y7" s="3750" t="s">
        <v>513</v>
      </c>
      <c r="Z7" s="3751"/>
      <c r="AA7" s="1462" t="e">
        <f>D7/F7</f>
        <v>#DIV/0!</v>
      </c>
      <c r="AB7" s="1462" t="e">
        <f>D7/H7</f>
        <v>#DIV/0!</v>
      </c>
      <c r="AC7" s="1462" t="e">
        <f>D7/J7</f>
        <v>#DIV/0!</v>
      </c>
    </row>
    <row r="8" spans="1:29" s="1167"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752" t="s">
        <v>516</v>
      </c>
      <c r="Q8" s="3751"/>
      <c r="R8" s="1459" t="s">
        <v>8</v>
      </c>
      <c r="S8" s="1460">
        <f t="shared" si="0"/>
        <v>0</v>
      </c>
      <c r="T8" s="1459" t="s">
        <v>8</v>
      </c>
      <c r="U8" s="1460">
        <f t="shared" si="1"/>
        <v>0</v>
      </c>
      <c r="V8" s="1459" t="s">
        <v>8</v>
      </c>
      <c r="W8" s="1460">
        <f t="shared" si="2"/>
        <v>0</v>
      </c>
      <c r="X8" s="1461"/>
      <c r="Y8" s="3750" t="s">
        <v>516</v>
      </c>
      <c r="Z8" s="3751"/>
      <c r="AA8" s="1462" t="e">
        <f t="shared" ref="AA8:AA47" si="3">D8/F8</f>
        <v>#DIV/0!</v>
      </c>
      <c r="AB8" s="1462" t="e">
        <f t="shared" ref="AB8:AB47" si="4">D8/H8</f>
        <v>#DIV/0!</v>
      </c>
      <c r="AC8" s="1462" t="e">
        <f t="shared" ref="AC8:AC47" si="5">D8/J8</f>
        <v>#DIV/0!</v>
      </c>
    </row>
    <row r="9" spans="1:29" s="1167" customFormat="1" ht="15">
      <c r="A9" s="2553"/>
      <c r="B9" s="2560" t="s">
        <v>2470</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720" t="s">
        <v>518</v>
      </c>
      <c r="Q9" s="1098" t="str">
        <f t="shared" ref="Q9:Q15" si="6">B9</f>
        <v>用途</v>
      </c>
      <c r="R9" s="1459" t="s">
        <v>8</v>
      </c>
      <c r="S9" s="1460">
        <f t="shared" si="0"/>
        <v>100</v>
      </c>
      <c r="T9" s="1459" t="s">
        <v>8</v>
      </c>
      <c r="U9" s="1460">
        <f t="shared" si="1"/>
        <v>100</v>
      </c>
      <c r="V9" s="1459" t="s">
        <v>8</v>
      </c>
      <c r="W9" s="1460">
        <f t="shared" si="2"/>
        <v>100</v>
      </c>
      <c r="X9" s="1461"/>
      <c r="Y9" s="3651"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720"/>
      <c r="Q10" s="1098" t="str">
        <f t="shared" si="6"/>
        <v>土地使用年限（年）</v>
      </c>
      <c r="R10" s="1459" t="s">
        <v>8</v>
      </c>
      <c r="S10" s="1460">
        <f t="shared" si="0"/>
        <v>100</v>
      </c>
      <c r="T10" s="1459" t="s">
        <v>8</v>
      </c>
      <c r="U10" s="1460">
        <f t="shared" si="1"/>
        <v>100</v>
      </c>
      <c r="V10" s="1459" t="s">
        <v>8</v>
      </c>
      <c r="W10" s="1460">
        <f t="shared" si="2"/>
        <v>100</v>
      </c>
      <c r="X10" s="1461"/>
      <c r="Y10" s="3651"/>
      <c r="Z10" s="1097" t="str">
        <f t="shared" si="7"/>
        <v>土地使用年限（年）</v>
      </c>
      <c r="AA10" s="1462">
        <f t="shared" si="3"/>
        <v>1</v>
      </c>
      <c r="AB10" s="1462">
        <f t="shared" si="4"/>
        <v>1</v>
      </c>
      <c r="AC10" s="1462">
        <f t="shared" si="5"/>
        <v>1</v>
      </c>
    </row>
    <row r="11" spans="1:29" ht="15">
      <c r="A11" s="2555"/>
      <c r="B11" s="2559" t="s">
        <v>2472</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720"/>
      <c r="Q11" s="1098" t="str">
        <f t="shared" si="6"/>
        <v>容积率</v>
      </c>
      <c r="R11" s="1459" t="s">
        <v>8</v>
      </c>
      <c r="S11" s="1460" t="e">
        <f t="shared" si="0"/>
        <v>#N/A</v>
      </c>
      <c r="T11" s="1459" t="s">
        <v>8</v>
      </c>
      <c r="U11" s="1460" t="e">
        <f t="shared" si="1"/>
        <v>#N/A</v>
      </c>
      <c r="V11" s="1459" t="s">
        <v>8</v>
      </c>
      <c r="W11" s="1460" t="e">
        <f t="shared" si="2"/>
        <v>#N/A</v>
      </c>
      <c r="X11" s="1461"/>
      <c r="Y11" s="3651"/>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05"/>
      <c r="F12" s="253">
        <f>SUMIF(71:71,E12,72:72)-SUMIF(71:71,C12,72:72)+100</f>
        <v>100</v>
      </c>
      <c r="G12" s="882"/>
      <c r="H12" s="253">
        <f>SUMIF(71:71,G12,72:72)-SUMIF(71:71,C12,72:72)+100</f>
        <v>100</v>
      </c>
      <c r="I12" s="505"/>
      <c r="J12" s="253">
        <f>SUMIF(71:71,I12,72:72)-SUMIF(71:71,C12,72:72)+100</f>
        <v>100</v>
      </c>
      <c r="K12" s="558"/>
      <c r="L12" s="1971"/>
      <c r="M12" s="1972"/>
      <c r="N12" s="1972"/>
      <c r="O12" s="1972"/>
      <c r="P12" s="3720"/>
      <c r="Q12" s="1098">
        <f t="shared" si="6"/>
        <v>111</v>
      </c>
      <c r="R12" s="1459" t="s">
        <v>8</v>
      </c>
      <c r="S12" s="1460">
        <f t="shared" si="0"/>
        <v>100</v>
      </c>
      <c r="T12" s="1459" t="s">
        <v>8</v>
      </c>
      <c r="U12" s="1460">
        <f t="shared" si="1"/>
        <v>100</v>
      </c>
      <c r="V12" s="1459" t="s">
        <v>8</v>
      </c>
      <c r="W12" s="1460">
        <f t="shared" si="2"/>
        <v>100</v>
      </c>
      <c r="X12" s="1461"/>
      <c r="Y12" s="3651"/>
      <c r="Z12" s="1097">
        <f t="shared" si="7"/>
        <v>111</v>
      </c>
      <c r="AA12" s="1462">
        <f>D12/F12</f>
        <v>1</v>
      </c>
      <c r="AB12" s="1462">
        <f>D12/H12</f>
        <v>1</v>
      </c>
      <c r="AC12" s="1462">
        <f>D12/J12</f>
        <v>1</v>
      </c>
    </row>
    <row r="13" spans="1:29" ht="15">
      <c r="A13" s="2556"/>
      <c r="B13" s="2562">
        <v>111</v>
      </c>
      <c r="C13" s="516"/>
      <c r="D13" s="517">
        <v>100</v>
      </c>
      <c r="E13" s="505"/>
      <c r="F13" s="253">
        <f>SUMIF(73:73,E13,74:74)-SUMIF(73:73,C13,74:74)+100</f>
        <v>100</v>
      </c>
      <c r="G13" s="882"/>
      <c r="H13" s="517">
        <f>SUMIF(73:73,G13,74:74)-SUMIF(73:73,C13,74:74)+100</f>
        <v>100</v>
      </c>
      <c r="I13" s="505"/>
      <c r="J13" s="517">
        <f>SUMIF(73:73,I13,74:74)-SUMIF(73:73,C13,74:74)+100</f>
        <v>100</v>
      </c>
      <c r="K13" s="558"/>
      <c r="L13" s="1978"/>
      <c r="M13" s="1970"/>
      <c r="N13" s="1970"/>
      <c r="O13" s="1970"/>
      <c r="P13" s="3720"/>
      <c r="Q13" s="1098">
        <f t="shared" si="6"/>
        <v>111</v>
      </c>
      <c r="R13" s="1459" t="s">
        <v>8</v>
      </c>
      <c r="S13" s="1460">
        <f t="shared" si="0"/>
        <v>100</v>
      </c>
      <c r="T13" s="1459" t="s">
        <v>8</v>
      </c>
      <c r="U13" s="1460">
        <f t="shared" si="1"/>
        <v>100</v>
      </c>
      <c r="V13" s="1459" t="s">
        <v>8</v>
      </c>
      <c r="W13" s="1460">
        <f t="shared" si="2"/>
        <v>100</v>
      </c>
      <c r="X13" s="1461"/>
      <c r="Y13" s="3651"/>
      <c r="Z13" s="1097">
        <f t="shared" si="7"/>
        <v>111</v>
      </c>
      <c r="AA13" s="1462">
        <f t="shared" si="3"/>
        <v>1</v>
      </c>
      <c r="AB13" s="1462">
        <f t="shared" si="4"/>
        <v>1</v>
      </c>
      <c r="AC13" s="1462">
        <f t="shared" si="5"/>
        <v>1</v>
      </c>
    </row>
    <row r="14" spans="1:29" ht="15.75" thickBot="1">
      <c r="A14" s="2557"/>
      <c r="B14" s="2563">
        <v>111</v>
      </c>
      <c r="C14" s="522"/>
      <c r="D14" s="523">
        <v>100</v>
      </c>
      <c r="E14" s="883"/>
      <c r="F14" s="523">
        <f>SUMIF(75:75,E14,76:76)-SUMIF(75:75,C14,76:76)+100</f>
        <v>100</v>
      </c>
      <c r="G14" s="882"/>
      <c r="H14" s="523">
        <f>SUMIF(75:75,G14,76:76)-SUMIF(75:75,C14,76:76)+100</f>
        <v>100</v>
      </c>
      <c r="I14" s="505"/>
      <c r="J14" s="523">
        <f>SUMIF(75:75,I14,76:76)-SUMIF(75:75,C14,76:76)+100</f>
        <v>100</v>
      </c>
      <c r="K14" s="558"/>
      <c r="L14" s="1978"/>
      <c r="M14" s="1970"/>
      <c r="N14" s="1970"/>
      <c r="O14" s="1970"/>
      <c r="P14" s="3720"/>
      <c r="Q14" s="1098">
        <f t="shared" si="6"/>
        <v>111</v>
      </c>
      <c r="R14" s="1459" t="s">
        <v>8</v>
      </c>
      <c r="S14" s="1460">
        <f t="shared" si="0"/>
        <v>100</v>
      </c>
      <c r="T14" s="1459" t="s">
        <v>8</v>
      </c>
      <c r="U14" s="1460">
        <f t="shared" si="1"/>
        <v>100</v>
      </c>
      <c r="V14" s="1459" t="s">
        <v>8</v>
      </c>
      <c r="W14" s="1460">
        <f t="shared" si="2"/>
        <v>100</v>
      </c>
      <c r="X14" s="1461"/>
      <c r="Y14" s="3651"/>
      <c r="Z14" s="1097">
        <f t="shared" si="7"/>
        <v>111</v>
      </c>
      <c r="AA14" s="1462">
        <f t="shared" si="3"/>
        <v>1</v>
      </c>
      <c r="AB14" s="1462">
        <f t="shared" si="4"/>
        <v>1</v>
      </c>
      <c r="AC14" s="1462">
        <f t="shared" si="5"/>
        <v>1</v>
      </c>
    </row>
    <row r="15" spans="1:29" ht="15">
      <c r="A15" s="2549" t="s">
        <v>2468</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70"/>
      <c r="L15" s="1978"/>
      <c r="M15" s="1970"/>
      <c r="N15" s="1970"/>
      <c r="O15" s="1970"/>
      <c r="P15" s="3753" t="s">
        <v>523</v>
      </c>
      <c r="Q15" s="1463" t="str">
        <f t="shared" si="6"/>
        <v>办公集聚程度</v>
      </c>
      <c r="R15" s="1464" t="s">
        <v>8</v>
      </c>
      <c r="S15" s="1465">
        <f t="shared" si="0"/>
        <v>100</v>
      </c>
      <c r="T15" s="1464" t="s">
        <v>8</v>
      </c>
      <c r="U15" s="1465">
        <f t="shared" si="1"/>
        <v>100</v>
      </c>
      <c r="V15" s="1464" t="s">
        <v>8</v>
      </c>
      <c r="W15" s="1465">
        <f t="shared" si="2"/>
        <v>100</v>
      </c>
      <c r="X15" s="1458"/>
      <c r="Y15" s="3753"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8"/>
      <c r="M16" s="1970"/>
      <c r="N16" s="1970"/>
      <c r="O16" s="1970"/>
      <c r="P16" s="3754"/>
      <c r="Q16" s="1463"/>
      <c r="R16" s="1464"/>
      <c r="S16" s="1465"/>
      <c r="T16" s="1464"/>
      <c r="U16" s="1465"/>
      <c r="V16" s="1464"/>
      <c r="W16" s="1465"/>
      <c r="X16" s="1458"/>
      <c r="Y16" s="3754"/>
      <c r="Z16" s="1466"/>
      <c r="AA16" s="1467">
        <v>1</v>
      </c>
      <c r="AB16" s="1467">
        <v>1</v>
      </c>
      <c r="AC16" s="1467">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70"/>
      <c r="L17" s="1978"/>
      <c r="M17" s="1970"/>
      <c r="N17" s="1970"/>
      <c r="O17" s="1970"/>
      <c r="P17" s="3754"/>
      <c r="Q17" s="1463" t="str">
        <f>B17</f>
        <v>交通便捷度</v>
      </c>
      <c r="R17" s="1464" t="s">
        <v>8</v>
      </c>
      <c r="S17" s="1465">
        <f>F17</f>
        <v>100</v>
      </c>
      <c r="T17" s="1464" t="s">
        <v>8</v>
      </c>
      <c r="U17" s="1465">
        <f>H17</f>
        <v>100</v>
      </c>
      <c r="V17" s="1464" t="s">
        <v>8</v>
      </c>
      <c r="W17" s="1465">
        <f>J17</f>
        <v>100</v>
      </c>
      <c r="X17" s="1458"/>
      <c r="Y17" s="3754"/>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8"/>
      <c r="M18" s="1970"/>
      <c r="N18" s="1970"/>
      <c r="O18" s="1970"/>
      <c r="P18" s="3754"/>
      <c r="Q18" s="1463"/>
      <c r="R18" s="1464"/>
      <c r="S18" s="1465"/>
      <c r="T18" s="1464"/>
      <c r="U18" s="1465"/>
      <c r="V18" s="1464"/>
      <c r="W18" s="1465"/>
      <c r="X18" s="1458"/>
      <c r="Y18" s="3754"/>
      <c r="Z18" s="1466"/>
      <c r="AA18" s="1467">
        <v>1</v>
      </c>
      <c r="AB18" s="1467">
        <v>1</v>
      </c>
      <c r="AC18" s="1467">
        <v>1</v>
      </c>
    </row>
    <row r="19" spans="1:29" ht="15">
      <c r="A19" s="509"/>
      <c r="B19" s="2369" t="s">
        <v>2261</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70"/>
      <c r="L19" s="1978"/>
      <c r="M19" s="1970"/>
      <c r="N19" s="1970"/>
      <c r="O19" s="1970"/>
      <c r="P19" s="3754"/>
      <c r="Q19" s="1463" t="str">
        <f>B19</f>
        <v>公共配套设施</v>
      </c>
      <c r="R19" s="1464" t="s">
        <v>8</v>
      </c>
      <c r="S19" s="1465">
        <f>F19</f>
        <v>100</v>
      </c>
      <c r="T19" s="1464" t="s">
        <v>8</v>
      </c>
      <c r="U19" s="1465">
        <f>H19</f>
        <v>100</v>
      </c>
      <c r="V19" s="1464" t="s">
        <v>8</v>
      </c>
      <c r="W19" s="1465">
        <f>J19</f>
        <v>100</v>
      </c>
      <c r="X19" s="1458"/>
      <c r="Y19" s="3754"/>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8"/>
      <c r="M20" s="1970"/>
      <c r="N20" s="1970"/>
      <c r="O20" s="1970"/>
      <c r="P20" s="3754"/>
      <c r="Q20" s="1463"/>
      <c r="R20" s="1464"/>
      <c r="S20" s="1465"/>
      <c r="T20" s="1464"/>
      <c r="U20" s="1465"/>
      <c r="V20" s="1464"/>
      <c r="W20" s="1465"/>
      <c r="X20" s="1458"/>
      <c r="Y20" s="3754"/>
      <c r="Z20" s="1466"/>
      <c r="AA20" s="1467">
        <v>1</v>
      </c>
      <c r="AB20" s="1467">
        <v>1</v>
      </c>
      <c r="AC20" s="1467">
        <v>1</v>
      </c>
    </row>
    <row r="21" spans="1:29" ht="15">
      <c r="A21" s="509"/>
      <c r="B21" s="2357" t="s">
        <v>2273</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70"/>
      <c r="L21" s="1978"/>
      <c r="M21" s="1970"/>
      <c r="N21" s="1970"/>
      <c r="O21" s="1970"/>
      <c r="P21" s="3754"/>
      <c r="Q21" s="2351" t="str">
        <f>B21</f>
        <v>基础设施水平</v>
      </c>
      <c r="R21" s="1464" t="s">
        <v>8</v>
      </c>
      <c r="S21" s="1465">
        <f>F21</f>
        <v>100</v>
      </c>
      <c r="T21" s="1464" t="s">
        <v>8</v>
      </c>
      <c r="U21" s="1465">
        <f>H21</f>
        <v>100</v>
      </c>
      <c r="V21" s="1464" t="s">
        <v>8</v>
      </c>
      <c r="W21" s="1465">
        <f>J21</f>
        <v>100</v>
      </c>
      <c r="X21" s="2353"/>
      <c r="Y21" s="3754"/>
      <c r="Z21" s="2352"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8"/>
      <c r="L22" s="1978"/>
      <c r="M22" s="1970"/>
      <c r="N22" s="1970"/>
      <c r="O22" s="1970"/>
      <c r="P22" s="3754"/>
      <c r="Q22" s="2351"/>
      <c r="R22" s="1464"/>
      <c r="S22" s="1465"/>
      <c r="T22" s="1464"/>
      <c r="U22" s="1465"/>
      <c r="V22" s="1464"/>
      <c r="W22" s="1465"/>
      <c r="X22" s="2353"/>
      <c r="Y22" s="3754"/>
      <c r="Z22" s="2352"/>
      <c r="AA22" s="1467">
        <v>1</v>
      </c>
      <c r="AB22" s="1467">
        <v>1</v>
      </c>
      <c r="AC22" s="1467">
        <v>1</v>
      </c>
    </row>
    <row r="23" spans="1:29" ht="15">
      <c r="A23" s="509"/>
      <c r="B23" s="537" t="s">
        <v>760</v>
      </c>
      <c r="C23" s="550" t="str">
        <f>估价对象房地状况!C9</f>
        <v>较好</v>
      </c>
      <c r="D23" s="536">
        <v>100</v>
      </c>
      <c r="E23" s="541"/>
      <c r="F23" s="536">
        <f>SUMIF(85:85,E24,86:86)-SUMIF(85:85,C24,86:86)+100</f>
        <v>100</v>
      </c>
      <c r="G23" s="539"/>
      <c r="H23" s="536">
        <f>SUMIF(85:85,G24,86:86)-SUMIF(85:85,C24,86:86)+100</f>
        <v>100</v>
      </c>
      <c r="I23" s="539"/>
      <c r="J23" s="536">
        <f>SUMIF(85:85,I24,86:86)-SUMIF(85:85,C24,86:86)+100</f>
        <v>100</v>
      </c>
      <c r="K23" s="870"/>
      <c r="L23" s="1978"/>
      <c r="M23" s="1970"/>
      <c r="N23" s="1970"/>
      <c r="O23" s="1970"/>
      <c r="P23" s="3754"/>
      <c r="Q23" s="1463" t="str">
        <f>B23</f>
        <v>环境质量</v>
      </c>
      <c r="R23" s="1464" t="s">
        <v>8</v>
      </c>
      <c r="S23" s="1465">
        <f>F23</f>
        <v>100</v>
      </c>
      <c r="T23" s="1464" t="s">
        <v>8</v>
      </c>
      <c r="U23" s="1465">
        <f>H23</f>
        <v>100</v>
      </c>
      <c r="V23" s="1464" t="s">
        <v>8</v>
      </c>
      <c r="W23" s="1465">
        <f>J23</f>
        <v>100</v>
      </c>
      <c r="X23" s="1458"/>
      <c r="Y23" s="3754"/>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8"/>
      <c r="M24" s="1970"/>
      <c r="N24" s="1970"/>
      <c r="O24" s="1970"/>
      <c r="P24" s="3754"/>
      <c r="Q24" s="1463"/>
      <c r="R24" s="1464"/>
      <c r="S24" s="1465"/>
      <c r="T24" s="1464"/>
      <c r="U24" s="1465"/>
      <c r="V24" s="1464"/>
      <c r="W24" s="1465"/>
      <c r="X24" s="1458"/>
      <c r="Y24" s="3754"/>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8"/>
      <c r="M25" s="1970"/>
      <c r="N25" s="1970"/>
      <c r="O25" s="1970"/>
      <c r="P25" s="3754"/>
      <c r="Q25" s="1463" t="str">
        <f>B25</f>
        <v>毗邻道路的类型与等级</v>
      </c>
      <c r="R25" s="1464" t="s">
        <v>8</v>
      </c>
      <c r="S25" s="1465">
        <f>F25</f>
        <v>100</v>
      </c>
      <c r="T25" s="1464" t="s">
        <v>8</v>
      </c>
      <c r="U25" s="1465">
        <f>H25</f>
        <v>100</v>
      </c>
      <c r="V25" s="1464" t="s">
        <v>8</v>
      </c>
      <c r="W25" s="1465">
        <f>J25</f>
        <v>100</v>
      </c>
      <c r="X25" s="1458"/>
      <c r="Y25" s="3754"/>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8"/>
      <c r="M26" s="1970"/>
      <c r="N26" s="1970"/>
      <c r="O26" s="1970"/>
      <c r="P26" s="3754"/>
      <c r="Q26" s="1463"/>
      <c r="R26" s="1464"/>
      <c r="S26" s="1465"/>
      <c r="T26" s="1464"/>
      <c r="U26" s="1465"/>
      <c r="V26" s="1464"/>
      <c r="W26" s="1465"/>
      <c r="X26" s="1458"/>
      <c r="Y26" s="3754"/>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754"/>
      <c r="Q27" s="1463" t="str">
        <f t="shared" ref="Q27:Q47" si="11">B27</f>
        <v>楼层</v>
      </c>
      <c r="R27" s="1464" t="s">
        <v>8</v>
      </c>
      <c r="S27" s="1465">
        <f>F27</f>
        <v>100</v>
      </c>
      <c r="T27" s="1464" t="s">
        <v>8</v>
      </c>
      <c r="U27" s="1465">
        <f>H27</f>
        <v>100</v>
      </c>
      <c r="V27" s="1464" t="s">
        <v>8</v>
      </c>
      <c r="W27" s="1465">
        <f>J27</f>
        <v>100</v>
      </c>
      <c r="X27" s="1458"/>
      <c r="Y27" s="3754"/>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1"/>
      <c r="M28" s="1972"/>
      <c r="N28" s="1972"/>
      <c r="O28" s="1972"/>
      <c r="P28" s="3754"/>
      <c r="Q28" s="1098" t="str">
        <f t="shared" si="11"/>
        <v>朝向</v>
      </c>
      <c r="R28" s="1459" t="s">
        <v>8</v>
      </c>
      <c r="S28" s="1460">
        <f>F28</f>
        <v>100</v>
      </c>
      <c r="T28" s="1459" t="s">
        <v>8</v>
      </c>
      <c r="U28" s="1460">
        <f>H28</f>
        <v>100</v>
      </c>
      <c r="V28" s="1459" t="s">
        <v>8</v>
      </c>
      <c r="W28" s="1460">
        <f>J28</f>
        <v>100</v>
      </c>
      <c r="X28" s="1461"/>
      <c r="Y28" s="3754"/>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8"/>
      <c r="M29" s="1970"/>
      <c r="N29" s="1970"/>
      <c r="O29" s="1970"/>
      <c r="P29" s="3754"/>
      <c r="Q29" s="1463">
        <f t="shared" si="11"/>
        <v>111</v>
      </c>
      <c r="R29" s="1464" t="s">
        <v>8</v>
      </c>
      <c r="S29" s="1465">
        <f t="shared" ref="S29:S47" si="12">F29</f>
        <v>100</v>
      </c>
      <c r="T29" s="1464" t="s">
        <v>8</v>
      </c>
      <c r="U29" s="1465">
        <f t="shared" ref="U29:U47" si="13">H29</f>
        <v>100</v>
      </c>
      <c r="V29" s="1464" t="s">
        <v>8</v>
      </c>
      <c r="W29" s="1465">
        <f t="shared" ref="W29:W47" si="14">J29</f>
        <v>100</v>
      </c>
      <c r="X29" s="1458"/>
      <c r="Y29" s="3754"/>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8"/>
      <c r="M30" s="1970"/>
      <c r="N30" s="1970"/>
      <c r="O30" s="1970"/>
      <c r="P30" s="3754"/>
      <c r="Q30" s="1463">
        <f t="shared" si="11"/>
        <v>111</v>
      </c>
      <c r="R30" s="1464" t="s">
        <v>8</v>
      </c>
      <c r="S30" s="1465">
        <f t="shared" si="12"/>
        <v>100</v>
      </c>
      <c r="T30" s="1464" t="s">
        <v>8</v>
      </c>
      <c r="U30" s="1465">
        <f t="shared" si="13"/>
        <v>100</v>
      </c>
      <c r="V30" s="1464" t="s">
        <v>8</v>
      </c>
      <c r="W30" s="1465">
        <f t="shared" si="14"/>
        <v>100</v>
      </c>
      <c r="X30" s="1458"/>
      <c r="Y30" s="3754"/>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8"/>
      <c r="M31" s="1970"/>
      <c r="N31" s="1970"/>
      <c r="O31" s="1970"/>
      <c r="P31" s="3754"/>
      <c r="Q31" s="1463">
        <f t="shared" si="11"/>
        <v>111</v>
      </c>
      <c r="R31" s="1464" t="s">
        <v>8</v>
      </c>
      <c r="S31" s="1465">
        <f t="shared" si="12"/>
        <v>100</v>
      </c>
      <c r="T31" s="1464" t="s">
        <v>8</v>
      </c>
      <c r="U31" s="1465">
        <f t="shared" si="13"/>
        <v>100</v>
      </c>
      <c r="V31" s="1464" t="s">
        <v>8</v>
      </c>
      <c r="W31" s="1465">
        <f t="shared" si="14"/>
        <v>100</v>
      </c>
      <c r="X31" s="1458"/>
      <c r="Y31" s="3754"/>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8"/>
      <c r="M32" s="1970"/>
      <c r="N32" s="1970"/>
      <c r="O32" s="1970"/>
      <c r="P32" s="3754"/>
      <c r="Q32" s="1463">
        <f t="shared" si="11"/>
        <v>111</v>
      </c>
      <c r="R32" s="1464" t="s">
        <v>8</v>
      </c>
      <c r="S32" s="1465">
        <f t="shared" si="12"/>
        <v>100</v>
      </c>
      <c r="T32" s="1464" t="s">
        <v>8</v>
      </c>
      <c r="U32" s="1465">
        <f t="shared" si="13"/>
        <v>100</v>
      </c>
      <c r="V32" s="1464" t="s">
        <v>8</v>
      </c>
      <c r="W32" s="1465">
        <f t="shared" si="14"/>
        <v>100</v>
      </c>
      <c r="X32" s="1458"/>
      <c r="Y32" s="3754"/>
      <c r="Z32" s="1466">
        <f t="shared" si="15"/>
        <v>111</v>
      </c>
      <c r="AA32" s="1467">
        <f t="shared" si="3"/>
        <v>1</v>
      </c>
      <c r="AB32" s="1467">
        <f t="shared" si="4"/>
        <v>1</v>
      </c>
      <c r="AC32" s="1467">
        <f t="shared" si="5"/>
        <v>1</v>
      </c>
    </row>
    <row r="33" spans="1:29" ht="15">
      <c r="A33" s="2546" t="s">
        <v>2469</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8"/>
      <c r="M33" s="1970"/>
      <c r="N33" s="1970"/>
      <c r="O33" s="1970"/>
      <c r="P33" s="3755" t="s">
        <v>533</v>
      </c>
      <c r="Q33" s="1463" t="str">
        <f t="shared" si="11"/>
        <v>建筑类型</v>
      </c>
      <c r="R33" s="1464" t="s">
        <v>8</v>
      </c>
      <c r="S33" s="1465">
        <f t="shared" si="12"/>
        <v>100</v>
      </c>
      <c r="T33" s="1464" t="s">
        <v>8</v>
      </c>
      <c r="U33" s="1465">
        <f t="shared" si="13"/>
        <v>100</v>
      </c>
      <c r="V33" s="1464" t="s">
        <v>8</v>
      </c>
      <c r="W33" s="1465">
        <f t="shared" si="14"/>
        <v>100</v>
      </c>
      <c r="X33" s="1458"/>
      <c r="Y33" s="3756"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756"/>
      <c r="Q34" s="1492" t="str">
        <f t="shared" si="11"/>
        <v>项目建筑规模</v>
      </c>
      <c r="R34" s="1468" t="s">
        <v>8</v>
      </c>
      <c r="S34" s="1469" t="e">
        <f t="shared" si="12"/>
        <v>#N/A</v>
      </c>
      <c r="T34" s="1468" t="s">
        <v>8</v>
      </c>
      <c r="U34" s="1469" t="e">
        <f t="shared" si="13"/>
        <v>#N/A</v>
      </c>
      <c r="V34" s="1468" t="s">
        <v>8</v>
      </c>
      <c r="W34" s="1469" t="e">
        <f t="shared" si="14"/>
        <v>#N/A</v>
      </c>
      <c r="X34" s="1470"/>
      <c r="Y34" s="3756"/>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756"/>
      <c r="Q35" s="1463" t="str">
        <f t="shared" si="11"/>
        <v>建筑结构</v>
      </c>
      <c r="R35" s="1464" t="s">
        <v>8</v>
      </c>
      <c r="S35" s="1465">
        <f t="shared" si="12"/>
        <v>100</v>
      </c>
      <c r="T35" s="1464" t="s">
        <v>8</v>
      </c>
      <c r="U35" s="1465">
        <f t="shared" si="13"/>
        <v>100</v>
      </c>
      <c r="V35" s="1464" t="s">
        <v>8</v>
      </c>
      <c r="W35" s="1465">
        <f t="shared" si="14"/>
        <v>100</v>
      </c>
      <c r="X35" s="1458"/>
      <c r="Y35" s="3756"/>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756"/>
      <c r="Q36" s="1463" t="str">
        <f t="shared" si="11"/>
        <v>公共部分装修</v>
      </c>
      <c r="R36" s="1464" t="s">
        <v>8</v>
      </c>
      <c r="S36" s="1465">
        <f t="shared" si="12"/>
        <v>100</v>
      </c>
      <c r="T36" s="1464" t="s">
        <v>8</v>
      </c>
      <c r="U36" s="1465">
        <f t="shared" si="13"/>
        <v>100</v>
      </c>
      <c r="V36" s="1464" t="s">
        <v>8</v>
      </c>
      <c r="W36" s="1465">
        <f t="shared" si="14"/>
        <v>100</v>
      </c>
      <c r="X36" s="1458"/>
      <c r="Y36" s="3756"/>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8"/>
      <c r="M37" s="1970"/>
      <c r="N37" s="1970"/>
      <c r="O37" s="1970"/>
      <c r="P37" s="3756"/>
      <c r="Q37" s="1463" t="str">
        <f t="shared" si="11"/>
        <v>成新度</v>
      </c>
      <c r="R37" s="1464" t="s">
        <v>8</v>
      </c>
      <c r="S37" s="1465" t="e">
        <f t="shared" si="12"/>
        <v>#N/A</v>
      </c>
      <c r="T37" s="1464" t="s">
        <v>8</v>
      </c>
      <c r="U37" s="1465" t="e">
        <f t="shared" si="13"/>
        <v>#N/A</v>
      </c>
      <c r="V37" s="1464" t="s">
        <v>8</v>
      </c>
      <c r="W37" s="1465" t="e">
        <f t="shared" si="14"/>
        <v>#N/A</v>
      </c>
      <c r="X37" s="1458"/>
      <c r="Y37" s="3756"/>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756"/>
      <c r="Q38" s="1098" t="str">
        <f t="shared" si="11"/>
        <v>写字楼等级</v>
      </c>
      <c r="R38" s="1459" t="s">
        <v>8</v>
      </c>
      <c r="S38" s="1460">
        <f t="shared" si="12"/>
        <v>100</v>
      </c>
      <c r="T38" s="1459" t="s">
        <v>8</v>
      </c>
      <c r="U38" s="1460">
        <f t="shared" si="13"/>
        <v>100</v>
      </c>
      <c r="V38" s="1459" t="s">
        <v>8</v>
      </c>
      <c r="W38" s="1460">
        <f t="shared" si="14"/>
        <v>100</v>
      </c>
      <c r="X38" s="1461"/>
      <c r="Y38" s="3756"/>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756" t="s">
        <v>533</v>
      </c>
      <c r="Q39" s="1463" t="str">
        <f t="shared" si="11"/>
        <v>物业管理</v>
      </c>
      <c r="R39" s="1464" t="s">
        <v>8</v>
      </c>
      <c r="S39" s="1465">
        <f t="shared" si="12"/>
        <v>100</v>
      </c>
      <c r="T39" s="1464" t="s">
        <v>8</v>
      </c>
      <c r="U39" s="1465">
        <f t="shared" si="13"/>
        <v>100</v>
      </c>
      <c r="V39" s="1464" t="s">
        <v>8</v>
      </c>
      <c r="W39" s="1465">
        <f t="shared" si="14"/>
        <v>100</v>
      </c>
      <c r="X39" s="1458"/>
      <c r="Y39" s="3756" t="s">
        <v>533</v>
      </c>
      <c r="Z39" s="1466" t="str">
        <f t="shared" si="15"/>
        <v>物业管理</v>
      </c>
      <c r="AA39" s="1467">
        <f t="shared" si="3"/>
        <v>1</v>
      </c>
      <c r="AB39" s="1467">
        <f t="shared" si="4"/>
        <v>1</v>
      </c>
      <c r="AC39" s="1467">
        <f t="shared" si="5"/>
        <v>1</v>
      </c>
    </row>
    <row r="40" spans="1:29" ht="15">
      <c r="A40" s="571"/>
      <c r="B40" s="1764" t="s">
        <v>2280</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756"/>
      <c r="Q40" s="1463" t="str">
        <f t="shared" si="11"/>
        <v>市政基础设施</v>
      </c>
      <c r="R40" s="1464" t="s">
        <v>8</v>
      </c>
      <c r="S40" s="1465">
        <f t="shared" si="12"/>
        <v>100</v>
      </c>
      <c r="T40" s="1464" t="s">
        <v>8</v>
      </c>
      <c r="U40" s="1465">
        <f t="shared" si="13"/>
        <v>100</v>
      </c>
      <c r="V40" s="1464" t="s">
        <v>8</v>
      </c>
      <c r="W40" s="1465">
        <f t="shared" si="14"/>
        <v>100</v>
      </c>
      <c r="X40" s="1458"/>
      <c r="Y40" s="3756"/>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756"/>
      <c r="Q41" s="1463" t="str">
        <f t="shared" si="11"/>
        <v>层高</v>
      </c>
      <c r="R41" s="1464" t="s">
        <v>8</v>
      </c>
      <c r="S41" s="1465">
        <f t="shared" si="12"/>
        <v>100</v>
      </c>
      <c r="T41" s="1464" t="s">
        <v>8</v>
      </c>
      <c r="U41" s="1465">
        <f t="shared" si="13"/>
        <v>100</v>
      </c>
      <c r="V41" s="1464" t="s">
        <v>8</v>
      </c>
      <c r="W41" s="1465">
        <f t="shared" si="14"/>
        <v>100</v>
      </c>
      <c r="X41" s="1458"/>
      <c r="Y41" s="3756"/>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756"/>
      <c r="Q42" s="1492" t="str">
        <f t="shared" si="11"/>
        <v>单套建筑面积</v>
      </c>
      <c r="R42" s="1468" t="s">
        <v>8</v>
      </c>
      <c r="S42" s="1469">
        <f t="shared" si="12"/>
        <v>100</v>
      </c>
      <c r="T42" s="1468" t="s">
        <v>8</v>
      </c>
      <c r="U42" s="1469">
        <f t="shared" si="13"/>
        <v>100</v>
      </c>
      <c r="V42" s="1468" t="s">
        <v>8</v>
      </c>
      <c r="W42" s="1469">
        <f t="shared" si="14"/>
        <v>100</v>
      </c>
      <c r="X42" s="1470"/>
      <c r="Y42" s="3756"/>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756"/>
      <c r="Q43" s="1463" t="str">
        <f t="shared" si="11"/>
        <v>内部装修</v>
      </c>
      <c r="R43" s="1464" t="s">
        <v>8</v>
      </c>
      <c r="S43" s="1465">
        <f t="shared" si="12"/>
        <v>100</v>
      </c>
      <c r="T43" s="1464" t="s">
        <v>8</v>
      </c>
      <c r="U43" s="1465">
        <f t="shared" si="13"/>
        <v>100</v>
      </c>
      <c r="V43" s="1464" t="s">
        <v>8</v>
      </c>
      <c r="W43" s="1465">
        <f t="shared" si="14"/>
        <v>100</v>
      </c>
      <c r="X43" s="1458"/>
      <c r="Y43" s="3756"/>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756"/>
      <c r="Q44" s="1463" t="str">
        <f t="shared" si="11"/>
        <v>内部装修维护情况</v>
      </c>
      <c r="R44" s="1464" t="s">
        <v>8</v>
      </c>
      <c r="S44" s="1465">
        <f t="shared" si="12"/>
        <v>100</v>
      </c>
      <c r="T44" s="1464" t="s">
        <v>8</v>
      </c>
      <c r="U44" s="1465">
        <f t="shared" si="13"/>
        <v>100</v>
      </c>
      <c r="V44" s="1464" t="s">
        <v>8</v>
      </c>
      <c r="W44" s="1465">
        <f t="shared" si="14"/>
        <v>100</v>
      </c>
      <c r="X44" s="1458"/>
      <c r="Y44" s="3756"/>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756"/>
      <c r="Q45" s="1098">
        <f t="shared" si="11"/>
        <v>111</v>
      </c>
      <c r="R45" s="1459" t="s">
        <v>8</v>
      </c>
      <c r="S45" s="1460">
        <f t="shared" si="12"/>
        <v>100</v>
      </c>
      <c r="T45" s="1459" t="s">
        <v>8</v>
      </c>
      <c r="U45" s="1460">
        <f t="shared" si="13"/>
        <v>100</v>
      </c>
      <c r="V45" s="1459" t="s">
        <v>8</v>
      </c>
      <c r="W45" s="1460">
        <f t="shared" si="14"/>
        <v>100</v>
      </c>
      <c r="X45" s="1461"/>
      <c r="Y45" s="3756"/>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756"/>
      <c r="Q46" s="1463">
        <f t="shared" si="11"/>
        <v>111</v>
      </c>
      <c r="R46" s="1464" t="s">
        <v>8</v>
      </c>
      <c r="S46" s="1465">
        <f t="shared" si="12"/>
        <v>100</v>
      </c>
      <c r="T46" s="1464" t="s">
        <v>8</v>
      </c>
      <c r="U46" s="1465">
        <f t="shared" si="13"/>
        <v>100</v>
      </c>
      <c r="V46" s="1464" t="s">
        <v>8</v>
      </c>
      <c r="W46" s="1465">
        <f t="shared" si="14"/>
        <v>100</v>
      </c>
      <c r="X46" s="1458"/>
      <c r="Y46" s="3756"/>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850"/>
      <c r="Q47" s="1463">
        <f t="shared" si="11"/>
        <v>111</v>
      </c>
      <c r="R47" s="1464" t="s">
        <v>8</v>
      </c>
      <c r="S47" s="1465">
        <f t="shared" si="12"/>
        <v>100</v>
      </c>
      <c r="T47" s="1464" t="s">
        <v>8</v>
      </c>
      <c r="U47" s="1465">
        <f t="shared" si="13"/>
        <v>100</v>
      </c>
      <c r="V47" s="1464" t="s">
        <v>8</v>
      </c>
      <c r="W47" s="1465">
        <f t="shared" si="14"/>
        <v>100</v>
      </c>
      <c r="X47" s="1458"/>
      <c r="Y47" s="3850"/>
      <c r="Z47" s="1466">
        <f t="shared" si="15"/>
        <v>111</v>
      </c>
      <c r="AA47" s="1467">
        <f t="shared" si="3"/>
        <v>1</v>
      </c>
      <c r="AB47" s="1467">
        <f t="shared" si="4"/>
        <v>1</v>
      </c>
      <c r="AC47" s="1467">
        <f t="shared" si="5"/>
        <v>1</v>
      </c>
    </row>
    <row r="48" spans="1:29" ht="15">
      <c r="A48" s="584" t="s">
        <v>718</v>
      </c>
      <c r="B48" s="859"/>
      <c r="C48" s="2392" t="s">
        <v>1</v>
      </c>
      <c r="D48" s="2393"/>
      <c r="E48" s="2394"/>
      <c r="F48" s="2395"/>
      <c r="G48" s="2396"/>
      <c r="H48" s="2397"/>
      <c r="I48" s="2394"/>
      <c r="J48" s="2397"/>
      <c r="K48" s="1497"/>
      <c r="L48" s="1980"/>
      <c r="M48" s="1970"/>
      <c r="N48" s="1970"/>
      <c r="O48" s="1970"/>
      <c r="P48" s="3758" t="str">
        <f>A48</f>
        <v>成交单价（元/平方米）</v>
      </c>
      <c r="Q48" s="3720"/>
      <c r="R48" s="3849">
        <f>E48</f>
        <v>0</v>
      </c>
      <c r="S48" s="3849"/>
      <c r="T48" s="3849">
        <f>G48</f>
        <v>0</v>
      </c>
      <c r="U48" s="3849"/>
      <c r="V48" s="3849">
        <f>I48</f>
        <v>0</v>
      </c>
      <c r="W48" s="3849"/>
      <c r="X48" s="1453"/>
      <c r="Y48" s="1472"/>
      <c r="Z48" s="1453"/>
      <c r="AA48" s="1453"/>
      <c r="AB48" s="1453"/>
      <c r="AC48" s="1453"/>
    </row>
    <row r="49" spans="1:29" ht="15.75" thickBot="1">
      <c r="A49" s="592" t="s">
        <v>2474</v>
      </c>
      <c r="B49" s="860"/>
      <c r="C49" s="2398" t="e">
        <f>R50</f>
        <v>#DIV/0!</v>
      </c>
      <c r="D49" s="2922" t="s">
        <v>2691</v>
      </c>
      <c r="E49" s="2399" t="e">
        <f>R49</f>
        <v>#DIV/0!</v>
      </c>
      <c r="F49" s="2923"/>
      <c r="G49" s="2398" t="e">
        <f>T49</f>
        <v>#DIV/0!</v>
      </c>
      <c r="H49" s="2923"/>
      <c r="I49" s="2399" t="e">
        <f>V49</f>
        <v>#DIV/0!</v>
      </c>
      <c r="J49" s="2923"/>
      <c r="K49" s="2931">
        <f>F49+H49+J49</f>
        <v>0</v>
      </c>
      <c r="L49" s="1980"/>
      <c r="M49" s="1970"/>
      <c r="N49" s="1970"/>
      <c r="O49" s="1970"/>
      <c r="P49" s="3758" t="str">
        <f>A49</f>
        <v>比较价格（元/平方米）</v>
      </c>
      <c r="Q49" s="3720"/>
      <c r="R49" s="3849" t="e">
        <f>IF(F1="售价",ROUND(PRODUCT(R48,AA7:AA47),0),ROUND(PRODUCT(R48,AA7:AA47),1))</f>
        <v>#DIV/0!</v>
      </c>
      <c r="S49" s="3849"/>
      <c r="T49" s="3849" t="e">
        <f>IF(F1="售价",ROUND(PRODUCT(T48,AB7:AB47),0),ROUND(PRODUCT(T48,AB7:AB47),1))</f>
        <v>#DIV/0!</v>
      </c>
      <c r="U49" s="3849"/>
      <c r="V49" s="3849" t="e">
        <f>IF(F1="售价",ROUND(PRODUCT(V48,AC7:AC47),0),ROUND(PRODUCT(V48,AC7:AC47),1))</f>
        <v>#DIV/0!</v>
      </c>
      <c r="W49" s="3849"/>
      <c r="X49" s="1453"/>
      <c r="Y49" s="1453"/>
      <c r="Z49" s="1453"/>
      <c r="AA49" s="1453"/>
      <c r="AB49" s="1453"/>
      <c r="AC49" s="1453"/>
    </row>
    <row r="50" spans="1:29" ht="15.75" thickBot="1">
      <c r="A50" s="596" t="s">
        <v>2626</v>
      </c>
      <c r="B50" s="597"/>
      <c r="C50" s="2400" t="e">
        <f>R50</f>
        <v>#DIV/0!</v>
      </c>
      <c r="D50" s="2400"/>
      <c r="E50" s="2400"/>
      <c r="F50" s="2400"/>
      <c r="G50" s="2400"/>
      <c r="H50" s="2400"/>
      <c r="I50" s="2400"/>
      <c r="J50" s="2400"/>
      <c r="K50" s="1498"/>
      <c r="L50" s="1980"/>
      <c r="M50" s="1970"/>
      <c r="N50" s="1970"/>
      <c r="O50" s="1970"/>
      <c r="P50" s="3851" t="str">
        <f>A50</f>
        <v>估价对象XX用房的比较价格（楼面单价，元/平方米）</v>
      </c>
      <c r="Q50" s="3758"/>
      <c r="R50" s="3848" t="e">
        <f>IF(F1="售价",ROUND(IF(D49="简单平均",AVERAGE(R49:V49),R49*F49+T49*H49+V49*J49),0),ROUND(IF(D49="简单平均",AVERAGE(R49:V49),R49*F49+T49*H49+V49*J49),1))</f>
        <v>#DIV/0!</v>
      </c>
      <c r="S50" s="3848"/>
      <c r="T50" s="3848"/>
      <c r="U50" s="3848"/>
      <c r="V50" s="3848"/>
      <c r="W50" s="3848"/>
      <c r="X50" s="1453"/>
      <c r="Y50" s="1453"/>
      <c r="Z50" s="1453"/>
      <c r="AA50" s="1453"/>
      <c r="AB50" s="1453"/>
      <c r="AC50" s="1453"/>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4"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4"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5" t="s">
        <v>556</v>
      </c>
      <c r="B58" s="1453"/>
      <c r="C58" s="1474"/>
      <c r="D58" s="1474"/>
      <c r="E58" s="1474"/>
      <c r="F58" s="1476"/>
      <c r="G58" s="1476"/>
      <c r="H58" s="1474"/>
      <c r="I58" s="1474"/>
      <c r="J58" s="1474"/>
      <c r="K58" s="1477"/>
      <c r="L58" s="1473"/>
      <c r="M58" s="1474"/>
      <c r="N58" s="1992"/>
      <c r="O58" s="1992"/>
      <c r="P58" s="2044"/>
      <c r="Q58" s="1993"/>
      <c r="R58" s="1981"/>
      <c r="S58" s="1981"/>
      <c r="T58" s="1981"/>
      <c r="U58" s="1981"/>
      <c r="V58" s="1981"/>
      <c r="W58" s="1981"/>
      <c r="X58" s="1981"/>
      <c r="Y58" s="1981"/>
      <c r="Z58" s="1981"/>
      <c r="AA58" s="1981"/>
      <c r="AB58" s="1981"/>
      <c r="AC58" s="1981"/>
    </row>
    <row r="59" spans="1:29" s="1256" customFormat="1" ht="15">
      <c r="A59" s="620" t="s">
        <v>512</v>
      </c>
      <c r="B59" s="621"/>
      <c r="C59" s="2441" t="str">
        <f>YEAR(C7)&amp;"-"&amp;MONTH(C7)</f>
        <v>2022-5</v>
      </c>
      <c r="D59" s="2443">
        <f>EDATE(C59,-1)</f>
        <v>44652</v>
      </c>
      <c r="E59" s="2443">
        <f t="shared" ref="E59:O59" si="16">EDATE(D59,-1)</f>
        <v>44621</v>
      </c>
      <c r="F59" s="2443">
        <f t="shared" si="16"/>
        <v>44593</v>
      </c>
      <c r="G59" s="2443">
        <f t="shared" si="16"/>
        <v>44562</v>
      </c>
      <c r="H59" s="2443">
        <f t="shared" si="16"/>
        <v>44531</v>
      </c>
      <c r="I59" s="2443">
        <f t="shared" si="16"/>
        <v>44501</v>
      </c>
      <c r="J59" s="2443">
        <f t="shared" si="16"/>
        <v>44470</v>
      </c>
      <c r="K59" s="2443">
        <f t="shared" si="16"/>
        <v>44440</v>
      </c>
      <c r="L59" s="2443">
        <f t="shared" si="16"/>
        <v>44409</v>
      </c>
      <c r="M59" s="2443">
        <f t="shared" si="16"/>
        <v>44378</v>
      </c>
      <c r="N59" s="2443">
        <f t="shared" si="16"/>
        <v>44348</v>
      </c>
      <c r="O59" s="2443">
        <f t="shared" si="16"/>
        <v>44317</v>
      </c>
      <c r="P59" s="2045"/>
      <c r="Q59" s="1996"/>
      <c r="R59" s="1996"/>
      <c r="S59" s="1996"/>
      <c r="T59" s="1996"/>
      <c r="U59" s="1996"/>
      <c r="V59" s="1996"/>
      <c r="W59" s="1996"/>
      <c r="X59" s="1996"/>
      <c r="Y59" s="1996"/>
      <c r="Z59" s="1996"/>
      <c r="AA59" s="1996"/>
      <c r="AB59" s="1996"/>
      <c r="AC59" s="1996"/>
    </row>
    <row r="60" spans="1:29" s="1167"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7"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7"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7" customFormat="1" ht="15.75" thickBot="1">
      <c r="A63" s="634"/>
      <c r="B63" s="623"/>
      <c r="C63" s="861">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9"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9"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9"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9"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9"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9"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2272</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2273</v>
      </c>
      <c r="C83" s="2364" t="s">
        <v>2274</v>
      </c>
      <c r="D83" s="2364" t="s">
        <v>2275</v>
      </c>
      <c r="E83" s="2364" t="s">
        <v>2276</v>
      </c>
      <c r="F83" s="2364" t="s">
        <v>2277</v>
      </c>
      <c r="G83" s="2364" t="s">
        <v>2278</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7" customFormat="1" ht="27.75" thickTop="1">
      <c r="A87" s="684"/>
      <c r="B87" s="648" t="s">
        <v>767</v>
      </c>
      <c r="C87" s="663"/>
      <c r="D87" s="663"/>
      <c r="E87" s="663"/>
      <c r="F87" s="663"/>
      <c r="G87" s="663"/>
      <c r="H87" s="663"/>
      <c r="I87" s="663"/>
      <c r="J87" s="663"/>
      <c r="K87" s="663"/>
      <c r="L87" s="862"/>
      <c r="M87" s="863"/>
      <c r="N87" s="1997"/>
      <c r="O87" s="1997"/>
      <c r="P87" s="2048"/>
      <c r="Q87" s="1993"/>
      <c r="R87" s="1859"/>
      <c r="S87" s="1859"/>
      <c r="T87" s="1859"/>
      <c r="U87" s="1859"/>
      <c r="V87" s="1859"/>
      <c r="W87" s="1859"/>
      <c r="X87" s="1859"/>
      <c r="Y87" s="1859"/>
      <c r="Z87" s="1859"/>
      <c r="AA87" s="1859"/>
      <c r="AB87" s="1859"/>
      <c r="AC87" s="1859"/>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7" customFormat="1" ht="15.75" thickTop="1">
      <c r="A89" s="684"/>
      <c r="B89" s="648" t="str">
        <f>B27</f>
        <v>楼层</v>
      </c>
      <c r="C89" s="663"/>
      <c r="D89" s="663"/>
      <c r="E89" s="663"/>
      <c r="F89" s="864"/>
      <c r="G89" s="663"/>
      <c r="H89" s="663"/>
      <c r="I89" s="663"/>
      <c r="J89" s="663"/>
      <c r="K89" s="663"/>
      <c r="L89" s="663"/>
      <c r="M89" s="863"/>
      <c r="N89" s="1997"/>
      <c r="O89" s="1997"/>
      <c r="P89" s="2048"/>
      <c r="Q89" s="1993"/>
      <c r="R89" s="1859"/>
      <c r="S89" s="1859"/>
      <c r="T89" s="1859"/>
      <c r="U89" s="1859"/>
      <c r="V89" s="1859"/>
      <c r="W89" s="1859"/>
      <c r="X89" s="1859"/>
      <c r="Y89" s="1859"/>
      <c r="Z89" s="1859"/>
      <c r="AA89" s="1859"/>
      <c r="AB89" s="1859"/>
      <c r="AC89" s="1859"/>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9"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2"/>
      <c r="M93" s="863"/>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5"/>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9"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9"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6">
        <v>0.5</v>
      </c>
      <c r="D111" s="866">
        <v>0.6</v>
      </c>
      <c r="E111" s="866">
        <v>0.7</v>
      </c>
      <c r="F111" s="866">
        <v>0.8</v>
      </c>
      <c r="G111" s="866">
        <v>0.9</v>
      </c>
      <c r="H111" s="866">
        <v>1.0001</v>
      </c>
      <c r="I111" s="877"/>
      <c r="J111" s="877"/>
      <c r="K111" s="878"/>
      <c r="L111" s="879"/>
      <c r="M111" s="880"/>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9"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2271</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9" t="s">
        <v>769</v>
      </c>
      <c r="C119" s="693"/>
      <c r="D119" s="693"/>
      <c r="E119" s="693"/>
      <c r="F119" s="693"/>
      <c r="G119" s="693"/>
      <c r="H119" s="693"/>
      <c r="I119" s="693"/>
      <c r="J119" s="693"/>
      <c r="K119" s="693"/>
      <c r="L119" s="890"/>
      <c r="M119" s="891"/>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9"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9"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9"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9"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5"/>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6"/>
      <c r="G1" s="1488"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6"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6"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726" t="s">
        <v>505</v>
      </c>
      <c r="D4" s="3727"/>
      <c r="E4" s="3761" t="s">
        <v>506</v>
      </c>
      <c r="F4" s="3762"/>
      <c r="G4" s="3726" t="s">
        <v>507</v>
      </c>
      <c r="H4" s="3727"/>
      <c r="I4" s="3726" t="s">
        <v>508</v>
      </c>
      <c r="J4" s="3727"/>
      <c r="K4" s="491" t="s">
        <v>509</v>
      </c>
      <c r="L4" s="1969"/>
      <c r="M4" s="1970"/>
      <c r="N4" s="1970"/>
      <c r="O4" s="1970"/>
      <c r="P4" s="3728" t="s">
        <v>510</v>
      </c>
      <c r="Q4" s="3729"/>
      <c r="R4" s="3734" t="s">
        <v>506</v>
      </c>
      <c r="S4" s="3735"/>
      <c r="T4" s="3734" t="s">
        <v>507</v>
      </c>
      <c r="U4" s="3735"/>
      <c r="V4" s="3721" t="s">
        <v>508</v>
      </c>
      <c r="W4" s="3721"/>
      <c r="X4" s="1458"/>
      <c r="Y4" s="3734" t="s">
        <v>510</v>
      </c>
      <c r="Z4" s="3735"/>
      <c r="AA4" s="3723" t="s">
        <v>506</v>
      </c>
      <c r="AB4" s="3724" t="s">
        <v>507</v>
      </c>
      <c r="AC4" s="3723" t="s">
        <v>508</v>
      </c>
    </row>
    <row r="5" spans="1:29" ht="15">
      <c r="A5" s="492"/>
      <c r="B5" s="493"/>
      <c r="C5" s="3742" t="s">
        <v>2620</v>
      </c>
      <c r="D5" s="3743"/>
      <c r="E5" s="3763" t="s">
        <v>2621</v>
      </c>
      <c r="F5" s="3764"/>
      <c r="G5" s="3742" t="s">
        <v>2622</v>
      </c>
      <c r="H5" s="3743"/>
      <c r="I5" s="3742" t="s">
        <v>2623</v>
      </c>
      <c r="J5" s="3743"/>
      <c r="K5" s="491"/>
      <c r="L5" s="1969"/>
      <c r="M5" s="1970"/>
      <c r="N5" s="1970"/>
      <c r="O5" s="1970"/>
      <c r="P5" s="3730"/>
      <c r="Q5" s="3731"/>
      <c r="R5" s="3736"/>
      <c r="S5" s="3737"/>
      <c r="T5" s="3736"/>
      <c r="U5" s="3737"/>
      <c r="V5" s="3721"/>
      <c r="W5" s="3721"/>
      <c r="X5" s="1458"/>
      <c r="Y5" s="3736"/>
      <c r="Z5" s="3737"/>
      <c r="AA5" s="3724"/>
      <c r="AB5" s="3724"/>
      <c r="AC5" s="3724"/>
    </row>
    <row r="6" spans="1:29" ht="15.75" thickBot="1">
      <c r="A6" s="494"/>
      <c r="B6" s="495"/>
      <c r="C6" s="3740" t="s">
        <v>2624</v>
      </c>
      <c r="D6" s="3741"/>
      <c r="E6" s="3759" t="s">
        <v>2624</v>
      </c>
      <c r="F6" s="3760"/>
      <c r="G6" s="3740" t="s">
        <v>2624</v>
      </c>
      <c r="H6" s="3741"/>
      <c r="I6" s="3740" t="s">
        <v>2624</v>
      </c>
      <c r="J6" s="3741"/>
      <c r="K6" s="491" t="s">
        <v>511</v>
      </c>
      <c r="L6" s="1969"/>
      <c r="M6" s="1970"/>
      <c r="N6" s="1970"/>
      <c r="O6" s="1970"/>
      <c r="P6" s="3732"/>
      <c r="Q6" s="3733"/>
      <c r="R6" s="3736"/>
      <c r="S6" s="3737"/>
      <c r="T6" s="3738"/>
      <c r="U6" s="3739"/>
      <c r="V6" s="3721"/>
      <c r="W6" s="3721"/>
      <c r="X6" s="1458"/>
      <c r="Y6" s="3738"/>
      <c r="Z6" s="3739"/>
      <c r="AA6" s="3725"/>
      <c r="AB6" s="3725"/>
      <c r="AC6" s="3725"/>
    </row>
    <row r="7" spans="1:29" s="1167" customFormat="1" ht="15.75" thickBot="1">
      <c r="A7" s="2551"/>
      <c r="B7" s="2558" t="s">
        <v>512</v>
      </c>
      <c r="C7" s="496">
        <f>'数据-取费表'!B2</f>
        <v>44705</v>
      </c>
      <c r="D7" s="497">
        <v>100</v>
      </c>
      <c r="E7" s="498"/>
      <c r="F7" s="499">
        <f>SUMIF(52:52,YEAR(E7)&amp;"-"&amp;MONTH(E7),53:53)</f>
        <v>0</v>
      </c>
      <c r="G7" s="498"/>
      <c r="H7" s="497">
        <f>SUMIF(52:52,YEAR(G7)&amp;"-"&amp;MONTH(G7),53:53)</f>
        <v>0</v>
      </c>
      <c r="I7" s="498"/>
      <c r="J7" s="497">
        <f>SUMIF(52:52,YEAR(I7)&amp;"-"&amp;MONTH(I7),53:53)</f>
        <v>0</v>
      </c>
      <c r="K7" s="501"/>
      <c r="L7" s="1971"/>
      <c r="M7" s="1972"/>
      <c r="N7" s="1972"/>
      <c r="O7" s="1972"/>
      <c r="P7" s="3750" t="s">
        <v>513</v>
      </c>
      <c r="Q7" s="3752"/>
      <c r="R7" s="1459" t="s">
        <v>8</v>
      </c>
      <c r="S7" s="1460">
        <f t="shared" ref="S7:S15" si="0">F7</f>
        <v>0</v>
      </c>
      <c r="T7" s="1459" t="s">
        <v>8</v>
      </c>
      <c r="U7" s="1460">
        <f t="shared" ref="U7:U15" si="1">H7</f>
        <v>0</v>
      </c>
      <c r="V7" s="1459" t="s">
        <v>8</v>
      </c>
      <c r="W7" s="1460">
        <f t="shared" ref="W7:W15" si="2">J7</f>
        <v>0</v>
      </c>
      <c r="X7" s="1461"/>
      <c r="Y7" s="3750" t="s">
        <v>513</v>
      </c>
      <c r="Z7" s="3751"/>
      <c r="AA7" s="1462" t="e">
        <f>D7/F7</f>
        <v>#DIV/0!</v>
      </c>
      <c r="AB7" s="1462" t="e">
        <f>D7/H7</f>
        <v>#DIV/0!</v>
      </c>
      <c r="AC7" s="1462" t="e">
        <f>D7/J7</f>
        <v>#DIV/0!</v>
      </c>
    </row>
    <row r="8" spans="1:29" s="1167"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750" t="s">
        <v>516</v>
      </c>
      <c r="Q8" s="3751"/>
      <c r="R8" s="1459" t="s">
        <v>8</v>
      </c>
      <c r="S8" s="1460">
        <f t="shared" si="0"/>
        <v>0</v>
      </c>
      <c r="T8" s="1459" t="s">
        <v>8</v>
      </c>
      <c r="U8" s="1460">
        <f t="shared" si="1"/>
        <v>0</v>
      </c>
      <c r="V8" s="1459" t="s">
        <v>8</v>
      </c>
      <c r="W8" s="1460">
        <f t="shared" si="2"/>
        <v>0</v>
      </c>
      <c r="X8" s="1461"/>
      <c r="Y8" s="3750" t="s">
        <v>516</v>
      </c>
      <c r="Z8" s="3751"/>
      <c r="AA8" s="1462" t="e">
        <f t="shared" ref="AA8:AA40" si="3">D8/F8</f>
        <v>#DIV/0!</v>
      </c>
      <c r="AB8" s="1462" t="e">
        <f t="shared" ref="AB8:AB40" si="4">D8/H8</f>
        <v>#DIV/0!</v>
      </c>
      <c r="AC8" s="1462" t="e">
        <f t="shared" ref="AC8:AC40" si="5">D8/J8</f>
        <v>#DIV/0!</v>
      </c>
    </row>
    <row r="9" spans="1:29" s="1167" customFormat="1" ht="15">
      <c r="A9" s="2553"/>
      <c r="B9" s="2560" t="s">
        <v>2470</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720" t="s">
        <v>518</v>
      </c>
      <c r="Q9" s="1098" t="str">
        <f t="shared" ref="Q9:Q15" si="6">B9</f>
        <v>用途</v>
      </c>
      <c r="R9" s="1459" t="s">
        <v>8</v>
      </c>
      <c r="S9" s="1460">
        <f t="shared" si="0"/>
        <v>100</v>
      </c>
      <c r="T9" s="1459" t="s">
        <v>8</v>
      </c>
      <c r="U9" s="1460">
        <f t="shared" si="1"/>
        <v>100</v>
      </c>
      <c r="V9" s="1459" t="s">
        <v>8</v>
      </c>
      <c r="W9" s="1460">
        <f t="shared" si="2"/>
        <v>100</v>
      </c>
      <c r="X9" s="1461"/>
      <c r="Y9" s="3651"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720"/>
      <c r="Q10" s="1098" t="str">
        <f t="shared" si="6"/>
        <v>土地使用年限（年）</v>
      </c>
      <c r="R10" s="1459" t="s">
        <v>8</v>
      </c>
      <c r="S10" s="1460">
        <f t="shared" si="0"/>
        <v>100</v>
      </c>
      <c r="T10" s="1459" t="s">
        <v>8</v>
      </c>
      <c r="U10" s="1460">
        <f t="shared" si="1"/>
        <v>100</v>
      </c>
      <c r="V10" s="1459" t="s">
        <v>8</v>
      </c>
      <c r="W10" s="1460">
        <f t="shared" si="2"/>
        <v>100</v>
      </c>
      <c r="X10" s="1461"/>
      <c r="Y10" s="3651"/>
      <c r="Z10" s="1097" t="str">
        <f t="shared" si="7"/>
        <v>土地使用年限（年）</v>
      </c>
      <c r="AA10" s="1462">
        <f t="shared" si="3"/>
        <v>1</v>
      </c>
      <c r="AB10" s="1462">
        <f t="shared" si="4"/>
        <v>1</v>
      </c>
      <c r="AC10" s="1462">
        <f t="shared" si="5"/>
        <v>1</v>
      </c>
    </row>
    <row r="11" spans="1:29" ht="15">
      <c r="A11" s="2555"/>
      <c r="B11" s="2559" t="s">
        <v>2472</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720"/>
      <c r="Q11" s="1098" t="str">
        <f t="shared" si="6"/>
        <v>容积率</v>
      </c>
      <c r="R11" s="1459" t="s">
        <v>8</v>
      </c>
      <c r="S11" s="1460" t="e">
        <f t="shared" si="0"/>
        <v>#N/A</v>
      </c>
      <c r="T11" s="1459" t="s">
        <v>8</v>
      </c>
      <c r="U11" s="1460" t="e">
        <f t="shared" si="1"/>
        <v>#N/A</v>
      </c>
      <c r="V11" s="1459" t="s">
        <v>8</v>
      </c>
      <c r="W11" s="1460" t="e">
        <f t="shared" si="2"/>
        <v>#N/A</v>
      </c>
      <c r="X11" s="1461"/>
      <c r="Y11" s="3651"/>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16"/>
      <c r="F12" s="253">
        <f>SUMIF(64:64,E12,65:65)-SUMIF(64:64,C12,65:65)+100</f>
        <v>100</v>
      </c>
      <c r="G12" s="892"/>
      <c r="H12" s="253">
        <f>SUMIF(64:64,G12,65:65)-SUMIF(64:64,C12,65:65)+100</f>
        <v>100</v>
      </c>
      <c r="I12" s="852"/>
      <c r="J12" s="253">
        <f>SUMIF(64:64,I12,65:65)-SUMIF(64:64,C12,65:65)+100</f>
        <v>100</v>
      </c>
      <c r="K12" s="558"/>
      <c r="L12" s="1971"/>
      <c r="M12" s="1972"/>
      <c r="N12" s="1972"/>
      <c r="O12" s="1973"/>
      <c r="P12" s="3720"/>
      <c r="Q12" s="1098">
        <f t="shared" si="6"/>
        <v>111</v>
      </c>
      <c r="R12" s="1459" t="s">
        <v>8</v>
      </c>
      <c r="S12" s="1460">
        <f t="shared" si="0"/>
        <v>100</v>
      </c>
      <c r="T12" s="1459" t="s">
        <v>8</v>
      </c>
      <c r="U12" s="1460">
        <f t="shared" si="1"/>
        <v>100</v>
      </c>
      <c r="V12" s="1459" t="s">
        <v>8</v>
      </c>
      <c r="W12" s="1460">
        <f t="shared" si="2"/>
        <v>100</v>
      </c>
      <c r="X12" s="1461"/>
      <c r="Y12" s="3651"/>
      <c r="Z12" s="1097">
        <f t="shared" si="7"/>
        <v>111</v>
      </c>
      <c r="AA12" s="1462">
        <f>D12/F12</f>
        <v>1</v>
      </c>
      <c r="AB12" s="1462">
        <f>D12/H12</f>
        <v>1</v>
      </c>
      <c r="AC12" s="1462">
        <f>D12/J12</f>
        <v>1</v>
      </c>
    </row>
    <row r="13" spans="1:29" ht="15">
      <c r="A13" s="2556"/>
      <c r="B13" s="2562">
        <v>111</v>
      </c>
      <c r="C13" s="516"/>
      <c r="D13" s="517">
        <v>100</v>
      </c>
      <c r="E13" s="516"/>
      <c r="F13" s="253">
        <f>SUMIF(66:66,E13,67:67)-SUMIF(66:66,C13,67:67)+100</f>
        <v>100</v>
      </c>
      <c r="G13" s="892"/>
      <c r="H13" s="517">
        <f>SUMIF(66:66,G13,67:67)-SUMIF(66:66,C13,67:67)+100</f>
        <v>100</v>
      </c>
      <c r="I13" s="852"/>
      <c r="J13" s="517">
        <f>SUMIF(66:66,I13,67:67)-SUMIF(66:66,C13,67:67)+100</f>
        <v>100</v>
      </c>
      <c r="K13" s="558"/>
      <c r="L13" s="1978"/>
      <c r="M13" s="1970"/>
      <c r="N13" s="1970"/>
      <c r="O13" s="1977"/>
      <c r="P13" s="3720"/>
      <c r="Q13" s="1098">
        <f t="shared" si="6"/>
        <v>111</v>
      </c>
      <c r="R13" s="1459" t="s">
        <v>8</v>
      </c>
      <c r="S13" s="1460">
        <f t="shared" si="0"/>
        <v>100</v>
      </c>
      <c r="T13" s="1459" t="s">
        <v>8</v>
      </c>
      <c r="U13" s="1460">
        <f t="shared" si="1"/>
        <v>100</v>
      </c>
      <c r="V13" s="1459" t="s">
        <v>8</v>
      </c>
      <c r="W13" s="1460">
        <f t="shared" si="2"/>
        <v>100</v>
      </c>
      <c r="X13" s="1461"/>
      <c r="Y13" s="3651"/>
      <c r="Z13" s="1097">
        <f t="shared" si="7"/>
        <v>111</v>
      </c>
      <c r="AA13" s="1462">
        <f t="shared" si="3"/>
        <v>1</v>
      </c>
      <c r="AB13" s="1462">
        <f t="shared" si="4"/>
        <v>1</v>
      </c>
      <c r="AC13" s="1462">
        <f t="shared" si="5"/>
        <v>1</v>
      </c>
    </row>
    <row r="14" spans="1:29" ht="15.75" thickBot="1">
      <c r="A14" s="2557"/>
      <c r="B14" s="2563">
        <v>111</v>
      </c>
      <c r="C14" s="522"/>
      <c r="D14" s="523">
        <v>100</v>
      </c>
      <c r="E14" s="522"/>
      <c r="F14" s="523">
        <f>SUMIF(68:68,E14,69:69)-SUMIF(68:68,C14,69:69)+100</f>
        <v>100</v>
      </c>
      <c r="G14" s="892"/>
      <c r="H14" s="523">
        <f>SUMIF(68:68,G14,69:69)-SUMIF(68:68,C14,69:69)+100</f>
        <v>100</v>
      </c>
      <c r="I14" s="852"/>
      <c r="J14" s="523">
        <f>SUMIF(68:68,I14,69:69)-SUMIF(68:68,C14,69:69)+100</f>
        <v>100</v>
      </c>
      <c r="K14" s="558"/>
      <c r="L14" s="1978"/>
      <c r="M14" s="1970"/>
      <c r="N14" s="1970"/>
      <c r="O14" s="1977"/>
      <c r="P14" s="3720"/>
      <c r="Q14" s="1098">
        <f t="shared" si="6"/>
        <v>111</v>
      </c>
      <c r="R14" s="1459" t="s">
        <v>8</v>
      </c>
      <c r="S14" s="1460">
        <f t="shared" si="0"/>
        <v>100</v>
      </c>
      <c r="T14" s="1459" t="s">
        <v>8</v>
      </c>
      <c r="U14" s="1460">
        <f t="shared" si="1"/>
        <v>100</v>
      </c>
      <c r="V14" s="1459" t="s">
        <v>8</v>
      </c>
      <c r="W14" s="1460">
        <f t="shared" si="2"/>
        <v>100</v>
      </c>
      <c r="X14" s="1461"/>
      <c r="Y14" s="3651"/>
      <c r="Z14" s="1097">
        <f t="shared" si="7"/>
        <v>111</v>
      </c>
      <c r="AA14" s="1462">
        <f t="shared" si="3"/>
        <v>1</v>
      </c>
      <c r="AB14" s="1462">
        <f t="shared" si="4"/>
        <v>1</v>
      </c>
      <c r="AC14" s="1462">
        <f t="shared" si="5"/>
        <v>1</v>
      </c>
    </row>
    <row r="15" spans="1:29" ht="57">
      <c r="A15" s="2549" t="s">
        <v>2468</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8"/>
      <c r="M15" s="1970"/>
      <c r="N15" s="1970"/>
      <c r="O15" s="1977"/>
      <c r="P15" s="3753" t="s">
        <v>523</v>
      </c>
      <c r="Q15" s="1463" t="str">
        <f t="shared" si="6"/>
        <v>产业集聚程度</v>
      </c>
      <c r="R15" s="1464" t="s">
        <v>8</v>
      </c>
      <c r="S15" s="1465">
        <f t="shared" si="0"/>
        <v>100</v>
      </c>
      <c r="T15" s="1464" t="s">
        <v>8</v>
      </c>
      <c r="U15" s="1465">
        <f t="shared" si="1"/>
        <v>100</v>
      </c>
      <c r="V15" s="1464" t="s">
        <v>8</v>
      </c>
      <c r="W15" s="1465">
        <f t="shared" si="2"/>
        <v>100</v>
      </c>
      <c r="X15" s="1458"/>
      <c r="Y15" s="3753"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8"/>
      <c r="M16" s="1970"/>
      <c r="N16" s="1970"/>
      <c r="O16" s="1977"/>
      <c r="P16" s="3754"/>
      <c r="Q16" s="1463"/>
      <c r="R16" s="1464"/>
      <c r="S16" s="1465"/>
      <c r="T16" s="1464"/>
      <c r="U16" s="1465"/>
      <c r="V16" s="1464"/>
      <c r="W16" s="1465"/>
      <c r="X16" s="1458"/>
      <c r="Y16" s="3754"/>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8"/>
      <c r="M17" s="1970"/>
      <c r="N17" s="1970"/>
      <c r="O17" s="1977"/>
      <c r="P17" s="3754"/>
      <c r="Q17" s="1463" t="str">
        <f>B17</f>
        <v>交通便捷度</v>
      </c>
      <c r="R17" s="1464" t="s">
        <v>8</v>
      </c>
      <c r="S17" s="1465">
        <f>F17</f>
        <v>100</v>
      </c>
      <c r="T17" s="1464" t="s">
        <v>8</v>
      </c>
      <c r="U17" s="1465">
        <f>H17</f>
        <v>100</v>
      </c>
      <c r="V17" s="1464" t="s">
        <v>8</v>
      </c>
      <c r="W17" s="1465">
        <f>J17</f>
        <v>100</v>
      </c>
      <c r="X17" s="1458"/>
      <c r="Y17" s="3754"/>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8"/>
      <c r="M18" s="1970"/>
      <c r="N18" s="1970"/>
      <c r="O18" s="1977"/>
      <c r="P18" s="3754"/>
      <c r="Q18" s="1463"/>
      <c r="R18" s="1464"/>
      <c r="S18" s="1465"/>
      <c r="T18" s="1464"/>
      <c r="U18" s="1465"/>
      <c r="V18" s="1464"/>
      <c r="W18" s="1465"/>
      <c r="X18" s="1458"/>
      <c r="Y18" s="3754"/>
      <c r="Z18" s="1466"/>
      <c r="AA18" s="1467">
        <v>1</v>
      </c>
      <c r="AB18" s="1467">
        <v>1</v>
      </c>
      <c r="AC18" s="1467">
        <v>1</v>
      </c>
    </row>
    <row r="19" spans="1:29" ht="42.75">
      <c r="A19" s="509"/>
      <c r="B19" s="2369" t="s">
        <v>2261</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8"/>
      <c r="M19" s="1970"/>
      <c r="N19" s="1970"/>
      <c r="O19" s="1977"/>
      <c r="P19" s="3754"/>
      <c r="Q19" s="1463" t="str">
        <f>B19</f>
        <v>公共配套设施</v>
      </c>
      <c r="R19" s="1464" t="s">
        <v>8</v>
      </c>
      <c r="S19" s="1465">
        <f>F19</f>
        <v>100</v>
      </c>
      <c r="T19" s="1464" t="s">
        <v>8</v>
      </c>
      <c r="U19" s="1465">
        <f>H19</f>
        <v>100</v>
      </c>
      <c r="V19" s="1464" t="s">
        <v>8</v>
      </c>
      <c r="W19" s="1465">
        <f>J19</f>
        <v>100</v>
      </c>
      <c r="X19" s="1458"/>
      <c r="Y19" s="3754"/>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8"/>
      <c r="M20" s="1970"/>
      <c r="N20" s="1970"/>
      <c r="O20" s="1977"/>
      <c r="P20" s="3754"/>
      <c r="Q20" s="1463"/>
      <c r="R20" s="1464"/>
      <c r="S20" s="1465"/>
      <c r="T20" s="1464"/>
      <c r="U20" s="1465"/>
      <c r="V20" s="1464"/>
      <c r="W20" s="1465"/>
      <c r="X20" s="1458"/>
      <c r="Y20" s="3754"/>
      <c r="Z20" s="1466"/>
      <c r="AA20" s="1467">
        <v>1</v>
      </c>
      <c r="AB20" s="1467">
        <v>1</v>
      </c>
      <c r="AC20" s="1467">
        <v>1</v>
      </c>
    </row>
    <row r="21" spans="1:29" ht="28.5">
      <c r="A21" s="509"/>
      <c r="B21" s="2357" t="s">
        <v>2273</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8"/>
      <c r="M21" s="1970"/>
      <c r="N21" s="1970"/>
      <c r="O21" s="1977"/>
      <c r="P21" s="3754"/>
      <c r="Q21" s="2351" t="str">
        <f>B21</f>
        <v>基础设施水平</v>
      </c>
      <c r="R21" s="1464" t="s">
        <v>8</v>
      </c>
      <c r="S21" s="1465">
        <f>F21</f>
        <v>100</v>
      </c>
      <c r="T21" s="1464" t="s">
        <v>8</v>
      </c>
      <c r="U21" s="1465">
        <f>H21</f>
        <v>100</v>
      </c>
      <c r="V21" s="1464" t="s">
        <v>8</v>
      </c>
      <c r="W21" s="1465">
        <f>J21</f>
        <v>100</v>
      </c>
      <c r="X21" s="2353"/>
      <c r="Y21" s="3754"/>
      <c r="Z21" s="2352"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8"/>
      <c r="L22" s="1978"/>
      <c r="M22" s="1970"/>
      <c r="N22" s="1970"/>
      <c r="O22" s="1977"/>
      <c r="P22" s="3754"/>
      <c r="Q22" s="2351"/>
      <c r="R22" s="1464"/>
      <c r="S22" s="1465"/>
      <c r="T22" s="1464"/>
      <c r="U22" s="1465"/>
      <c r="V22" s="1464"/>
      <c r="W22" s="1465"/>
      <c r="X22" s="2353"/>
      <c r="Y22" s="3754"/>
      <c r="Z22" s="2352"/>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8"/>
      <c r="M23" s="1970"/>
      <c r="N23" s="1970"/>
      <c r="O23" s="1977"/>
      <c r="P23" s="3754"/>
      <c r="Q23" s="1463" t="str">
        <f>B23</f>
        <v>环境质量</v>
      </c>
      <c r="R23" s="1464" t="s">
        <v>8</v>
      </c>
      <c r="S23" s="1465">
        <f>F23</f>
        <v>100</v>
      </c>
      <c r="T23" s="1464" t="s">
        <v>8</v>
      </c>
      <c r="U23" s="1465">
        <f>H23</f>
        <v>100</v>
      </c>
      <c r="V23" s="1464" t="s">
        <v>8</v>
      </c>
      <c r="W23" s="1465">
        <f>J23</f>
        <v>100</v>
      </c>
      <c r="X23" s="1458"/>
      <c r="Y23" s="3754"/>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8"/>
      <c r="M24" s="1970"/>
      <c r="N24" s="1970"/>
      <c r="O24" s="1977"/>
      <c r="P24" s="3754"/>
      <c r="Q24" s="1463"/>
      <c r="R24" s="1464"/>
      <c r="S24" s="1465"/>
      <c r="T24" s="1464"/>
      <c r="U24" s="1465"/>
      <c r="V24" s="1464"/>
      <c r="W24" s="1465"/>
      <c r="X24" s="1458"/>
      <c r="Y24" s="3754"/>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754"/>
      <c r="Q25" s="1463">
        <f>B25</f>
        <v>111</v>
      </c>
      <c r="R25" s="1464" t="s">
        <v>8</v>
      </c>
      <c r="S25" s="1465">
        <f>F25</f>
        <v>100</v>
      </c>
      <c r="T25" s="1464" t="s">
        <v>8</v>
      </c>
      <c r="U25" s="1465">
        <f>H25</f>
        <v>100</v>
      </c>
      <c r="V25" s="1464" t="s">
        <v>8</v>
      </c>
      <c r="W25" s="1465">
        <f>J25</f>
        <v>100</v>
      </c>
      <c r="X25" s="1458"/>
      <c r="Y25" s="3754"/>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754"/>
      <c r="Q26" s="1463">
        <f t="shared" ref="Q26:Q40" si="11">B26</f>
        <v>111</v>
      </c>
      <c r="R26" s="1464" t="s">
        <v>8</v>
      </c>
      <c r="S26" s="1465">
        <f>F26</f>
        <v>100</v>
      </c>
      <c r="T26" s="1464" t="s">
        <v>8</v>
      </c>
      <c r="U26" s="1465">
        <f>H26</f>
        <v>100</v>
      </c>
      <c r="V26" s="1464" t="s">
        <v>8</v>
      </c>
      <c r="W26" s="1465">
        <f>J26</f>
        <v>100</v>
      </c>
      <c r="X26" s="1458"/>
      <c r="Y26" s="3754"/>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754"/>
      <c r="Q27" s="1098">
        <f t="shared" si="11"/>
        <v>111</v>
      </c>
      <c r="R27" s="1459" t="s">
        <v>8</v>
      </c>
      <c r="S27" s="1460">
        <f>F27</f>
        <v>100</v>
      </c>
      <c r="T27" s="1459" t="s">
        <v>8</v>
      </c>
      <c r="U27" s="1460">
        <f>H27</f>
        <v>100</v>
      </c>
      <c r="V27" s="1459" t="s">
        <v>8</v>
      </c>
      <c r="W27" s="1460">
        <f>J27</f>
        <v>100</v>
      </c>
      <c r="X27" s="1461"/>
      <c r="Y27" s="3754"/>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8"/>
      <c r="M28" s="1970"/>
      <c r="N28" s="1970"/>
      <c r="O28" s="1977"/>
      <c r="P28" s="3754"/>
      <c r="Q28" s="1463">
        <f t="shared" si="11"/>
        <v>111</v>
      </c>
      <c r="R28" s="1464" t="s">
        <v>8</v>
      </c>
      <c r="S28" s="1465">
        <f t="shared" ref="S28:S40" si="12">F28</f>
        <v>100</v>
      </c>
      <c r="T28" s="1464" t="s">
        <v>8</v>
      </c>
      <c r="U28" s="1465">
        <f t="shared" ref="U28:U40" si="13">H28</f>
        <v>100</v>
      </c>
      <c r="V28" s="1464" t="s">
        <v>8</v>
      </c>
      <c r="W28" s="1465">
        <f t="shared" ref="W28:W40" si="14">J28</f>
        <v>100</v>
      </c>
      <c r="X28" s="1458"/>
      <c r="Y28" s="3754"/>
      <c r="Z28" s="1466">
        <f t="shared" ref="Z28:Z40" si="15">Q28</f>
        <v>111</v>
      </c>
      <c r="AA28" s="1467">
        <f t="shared" si="3"/>
        <v>1</v>
      </c>
      <c r="AB28" s="1467">
        <f t="shared" si="4"/>
        <v>1</v>
      </c>
      <c r="AC28" s="1467">
        <f t="shared" si="5"/>
        <v>1</v>
      </c>
    </row>
    <row r="29" spans="1:29" ht="15">
      <c r="A29" s="2546" t="s">
        <v>2469</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8"/>
      <c r="M29" s="1970"/>
      <c r="N29" s="1970"/>
      <c r="O29" s="1977"/>
      <c r="P29" s="3755" t="s">
        <v>533</v>
      </c>
      <c r="Q29" s="1463" t="str">
        <f t="shared" si="11"/>
        <v>建筑类型</v>
      </c>
      <c r="R29" s="1464" t="s">
        <v>8</v>
      </c>
      <c r="S29" s="1465">
        <f t="shared" si="12"/>
        <v>100</v>
      </c>
      <c r="T29" s="1464" t="s">
        <v>8</v>
      </c>
      <c r="U29" s="1465">
        <f t="shared" si="13"/>
        <v>100</v>
      </c>
      <c r="V29" s="1464" t="s">
        <v>8</v>
      </c>
      <c r="W29" s="1465">
        <f t="shared" si="14"/>
        <v>100</v>
      </c>
      <c r="X29" s="1458"/>
      <c r="Y29" s="3756"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756"/>
      <c r="Q30" s="1492" t="str">
        <f t="shared" si="11"/>
        <v>项目建筑规模</v>
      </c>
      <c r="R30" s="1468" t="s">
        <v>8</v>
      </c>
      <c r="S30" s="1469" t="e">
        <f t="shared" si="12"/>
        <v>#N/A</v>
      </c>
      <c r="T30" s="1468" t="s">
        <v>8</v>
      </c>
      <c r="U30" s="1469" t="e">
        <f t="shared" si="13"/>
        <v>#N/A</v>
      </c>
      <c r="V30" s="1468" t="s">
        <v>8</v>
      </c>
      <c r="W30" s="1469" t="e">
        <f t="shared" si="14"/>
        <v>#N/A</v>
      </c>
      <c r="X30" s="1470"/>
      <c r="Y30" s="3756"/>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756"/>
      <c r="Q31" s="1463" t="str">
        <f t="shared" si="11"/>
        <v>建筑结构</v>
      </c>
      <c r="R31" s="1464" t="s">
        <v>8</v>
      </c>
      <c r="S31" s="1465">
        <f t="shared" si="12"/>
        <v>100</v>
      </c>
      <c r="T31" s="1464" t="s">
        <v>8</v>
      </c>
      <c r="U31" s="1465">
        <f t="shared" si="13"/>
        <v>100</v>
      </c>
      <c r="V31" s="1464" t="s">
        <v>8</v>
      </c>
      <c r="W31" s="1465">
        <f t="shared" si="14"/>
        <v>100</v>
      </c>
      <c r="X31" s="1458"/>
      <c r="Y31" s="3756"/>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756"/>
      <c r="Q32" s="1463" t="str">
        <f t="shared" si="11"/>
        <v>公共部分装修</v>
      </c>
      <c r="R32" s="1464" t="s">
        <v>8</v>
      </c>
      <c r="S32" s="1465">
        <f t="shared" si="12"/>
        <v>100</v>
      </c>
      <c r="T32" s="1464" t="s">
        <v>8</v>
      </c>
      <c r="U32" s="1465">
        <f t="shared" si="13"/>
        <v>100</v>
      </c>
      <c r="V32" s="1464" t="s">
        <v>8</v>
      </c>
      <c r="W32" s="1465">
        <f t="shared" si="14"/>
        <v>100</v>
      </c>
      <c r="X32" s="1458"/>
      <c r="Y32" s="3756"/>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8"/>
      <c r="M33" s="1970"/>
      <c r="N33" s="1970"/>
      <c r="O33" s="1977"/>
      <c r="P33" s="3756"/>
      <c r="Q33" s="1463" t="str">
        <f t="shared" si="11"/>
        <v>成新度</v>
      </c>
      <c r="R33" s="1464" t="s">
        <v>8</v>
      </c>
      <c r="S33" s="1465" t="e">
        <f t="shared" si="12"/>
        <v>#N/A</v>
      </c>
      <c r="T33" s="1464" t="s">
        <v>8</v>
      </c>
      <c r="U33" s="1465" t="e">
        <f t="shared" si="13"/>
        <v>#N/A</v>
      </c>
      <c r="V33" s="1464" t="s">
        <v>8</v>
      </c>
      <c r="W33" s="1465" t="e">
        <f t="shared" si="14"/>
        <v>#N/A</v>
      </c>
      <c r="X33" s="1458"/>
      <c r="Y33" s="3756"/>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756"/>
      <c r="Q34" s="1098" t="str">
        <f t="shared" si="11"/>
        <v>物业管理</v>
      </c>
      <c r="R34" s="1459" t="s">
        <v>8</v>
      </c>
      <c r="S34" s="1460">
        <f t="shared" si="12"/>
        <v>100</v>
      </c>
      <c r="T34" s="1459" t="s">
        <v>8</v>
      </c>
      <c r="U34" s="1460">
        <f t="shared" si="13"/>
        <v>100</v>
      </c>
      <c r="V34" s="1459" t="s">
        <v>8</v>
      </c>
      <c r="W34" s="1460">
        <f t="shared" si="14"/>
        <v>100</v>
      </c>
      <c r="X34" s="1461"/>
      <c r="Y34" s="3756"/>
      <c r="Z34" s="1097" t="str">
        <f t="shared" si="15"/>
        <v>物业管理</v>
      </c>
      <c r="AA34" s="1462">
        <f t="shared" si="3"/>
        <v>1</v>
      </c>
      <c r="AB34" s="1462">
        <f t="shared" si="4"/>
        <v>1</v>
      </c>
      <c r="AC34" s="1462">
        <f t="shared" si="5"/>
        <v>1</v>
      </c>
    </row>
    <row r="35" spans="1:29" ht="15">
      <c r="A35" s="571"/>
      <c r="B35" s="1764" t="s">
        <v>2280</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756" t="s">
        <v>533</v>
      </c>
      <c r="Q35" s="1463" t="str">
        <f t="shared" si="11"/>
        <v>市政基础设施</v>
      </c>
      <c r="R35" s="1464" t="s">
        <v>8</v>
      </c>
      <c r="S35" s="1465">
        <f t="shared" si="12"/>
        <v>100</v>
      </c>
      <c r="T35" s="1464" t="s">
        <v>8</v>
      </c>
      <c r="U35" s="1465">
        <f t="shared" si="13"/>
        <v>100</v>
      </c>
      <c r="V35" s="1464" t="s">
        <v>8</v>
      </c>
      <c r="W35" s="1465">
        <f t="shared" si="14"/>
        <v>100</v>
      </c>
      <c r="X35" s="1458"/>
      <c r="Y35" s="3756"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756"/>
      <c r="Q36" s="1463" t="str">
        <f t="shared" si="11"/>
        <v>内部装修</v>
      </c>
      <c r="R36" s="1464" t="s">
        <v>8</v>
      </c>
      <c r="S36" s="1465">
        <f t="shared" si="12"/>
        <v>100</v>
      </c>
      <c r="T36" s="1464" t="s">
        <v>8</v>
      </c>
      <c r="U36" s="1465">
        <f t="shared" si="13"/>
        <v>100</v>
      </c>
      <c r="V36" s="1464" t="s">
        <v>8</v>
      </c>
      <c r="W36" s="1465">
        <f t="shared" si="14"/>
        <v>100</v>
      </c>
      <c r="X36" s="1458"/>
      <c r="Y36" s="3756"/>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756"/>
      <c r="Q37" s="1463" t="str">
        <f t="shared" si="11"/>
        <v>内部装修状况</v>
      </c>
      <c r="R37" s="1464" t="s">
        <v>8</v>
      </c>
      <c r="S37" s="1465">
        <f t="shared" si="12"/>
        <v>100</v>
      </c>
      <c r="T37" s="1464" t="s">
        <v>8</v>
      </c>
      <c r="U37" s="1465">
        <f t="shared" si="13"/>
        <v>100</v>
      </c>
      <c r="V37" s="1464" t="s">
        <v>8</v>
      </c>
      <c r="W37" s="1465">
        <f t="shared" si="14"/>
        <v>100</v>
      </c>
      <c r="X37" s="1458"/>
      <c r="Y37" s="3756"/>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6"/>
      <c r="M38" s="2006"/>
      <c r="N38" s="2006"/>
      <c r="O38" s="1979"/>
      <c r="P38" s="3756"/>
      <c r="Q38" s="1492">
        <f t="shared" si="11"/>
        <v>111</v>
      </c>
      <c r="R38" s="1468" t="s">
        <v>8</v>
      </c>
      <c r="S38" s="1469">
        <f t="shared" si="12"/>
        <v>100</v>
      </c>
      <c r="T38" s="1468" t="s">
        <v>8</v>
      </c>
      <c r="U38" s="1469">
        <f t="shared" si="13"/>
        <v>100</v>
      </c>
      <c r="V38" s="1468" t="s">
        <v>8</v>
      </c>
      <c r="W38" s="1469">
        <f t="shared" si="14"/>
        <v>100</v>
      </c>
      <c r="X38" s="1470"/>
      <c r="Y38" s="3756"/>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8"/>
      <c r="M39" s="1970"/>
      <c r="N39" s="1970"/>
      <c r="O39" s="1977"/>
      <c r="P39" s="3756"/>
      <c r="Q39" s="1463">
        <f t="shared" si="11"/>
        <v>111</v>
      </c>
      <c r="R39" s="1464" t="s">
        <v>8</v>
      </c>
      <c r="S39" s="1465">
        <f t="shared" si="12"/>
        <v>100</v>
      </c>
      <c r="T39" s="1464" t="s">
        <v>8</v>
      </c>
      <c r="U39" s="1465">
        <f t="shared" si="13"/>
        <v>100</v>
      </c>
      <c r="V39" s="1464" t="s">
        <v>8</v>
      </c>
      <c r="W39" s="1465">
        <f t="shared" si="14"/>
        <v>100</v>
      </c>
      <c r="X39" s="1458"/>
      <c r="Y39" s="3756"/>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8"/>
      <c r="M40" s="1970"/>
      <c r="N40" s="1970"/>
      <c r="O40" s="1977"/>
      <c r="P40" s="3850"/>
      <c r="Q40" s="1463">
        <f t="shared" si="11"/>
        <v>111</v>
      </c>
      <c r="R40" s="1464" t="s">
        <v>8</v>
      </c>
      <c r="S40" s="1465">
        <f t="shared" si="12"/>
        <v>100</v>
      </c>
      <c r="T40" s="1464" t="s">
        <v>8</v>
      </c>
      <c r="U40" s="1465">
        <f t="shared" si="13"/>
        <v>100</v>
      </c>
      <c r="V40" s="1464" t="s">
        <v>8</v>
      </c>
      <c r="W40" s="1465">
        <f t="shared" si="14"/>
        <v>100</v>
      </c>
      <c r="X40" s="1458"/>
      <c r="Y40" s="3850"/>
      <c r="Z40" s="1466">
        <f t="shared" si="15"/>
        <v>111</v>
      </c>
      <c r="AA40" s="1467">
        <f t="shared" si="3"/>
        <v>1</v>
      </c>
      <c r="AB40" s="1467">
        <f t="shared" si="4"/>
        <v>1</v>
      </c>
      <c r="AC40" s="1467">
        <f t="shared" si="5"/>
        <v>1</v>
      </c>
    </row>
    <row r="41" spans="1:29" ht="15">
      <c r="A41" s="584" t="s">
        <v>718</v>
      </c>
      <c r="B41" s="859"/>
      <c r="C41" s="2392" t="s">
        <v>1</v>
      </c>
      <c r="D41" s="2393"/>
      <c r="E41" s="2394"/>
      <c r="F41" s="2395"/>
      <c r="G41" s="2396"/>
      <c r="H41" s="2397"/>
      <c r="I41" s="2394"/>
      <c r="J41" s="2397"/>
      <c r="K41" s="1497"/>
      <c r="L41" s="1980"/>
      <c r="M41" s="1981"/>
      <c r="N41" s="1970"/>
      <c r="O41" s="1981"/>
      <c r="P41" s="3720" t="str">
        <f>A41</f>
        <v>成交单价（元/平方米）</v>
      </c>
      <c r="Q41" s="3720"/>
      <c r="R41" s="3849">
        <f>E41</f>
        <v>0</v>
      </c>
      <c r="S41" s="3849"/>
      <c r="T41" s="3849">
        <f>G41</f>
        <v>0</v>
      </c>
      <c r="U41" s="3849"/>
      <c r="V41" s="3849">
        <f>I41</f>
        <v>0</v>
      </c>
      <c r="W41" s="3849"/>
      <c r="X41" s="1453"/>
      <c r="Y41" s="1472"/>
      <c r="Z41" s="1453"/>
      <c r="AA41" s="1453"/>
      <c r="AB41" s="1453"/>
      <c r="AC41" s="1453"/>
    </row>
    <row r="42" spans="1:29" ht="15.75" thickBot="1">
      <c r="A42" s="592" t="s">
        <v>2474</v>
      </c>
      <c r="B42" s="860"/>
      <c r="C42" s="2398" t="e">
        <f>R43</f>
        <v>#DIV/0!</v>
      </c>
      <c r="D42" s="2922" t="s">
        <v>2691</v>
      </c>
      <c r="E42" s="2399" t="e">
        <f>R42</f>
        <v>#DIV/0!</v>
      </c>
      <c r="F42" s="2923"/>
      <c r="G42" s="2398" t="e">
        <f>T42</f>
        <v>#DIV/0!</v>
      </c>
      <c r="H42" s="2923"/>
      <c r="I42" s="2399" t="e">
        <f>V42</f>
        <v>#DIV/0!</v>
      </c>
      <c r="J42" s="2923"/>
      <c r="K42" s="2931">
        <f>F42+H42+J42</f>
        <v>0</v>
      </c>
      <c r="L42" s="1980"/>
      <c r="M42" s="1981"/>
      <c r="N42" s="1970"/>
      <c r="O42" s="1981"/>
      <c r="P42" s="3720" t="str">
        <f>A42</f>
        <v>比较价格（元/平方米）</v>
      </c>
      <c r="Q42" s="3720"/>
      <c r="R42" s="3849" t="e">
        <f>IF(F1="售价",ROUND(PRODUCT(R41,AA7:AA40),0),ROUND(PRODUCT(R41,AA7:AA40),1))</f>
        <v>#DIV/0!</v>
      </c>
      <c r="S42" s="3849"/>
      <c r="T42" s="3849" t="e">
        <f>IF(F1="售价",ROUND(PRODUCT(T41,AB7:AB40),0),ROUND(PRODUCT(T41,AB7:AB40),1))</f>
        <v>#DIV/0!</v>
      </c>
      <c r="U42" s="3849"/>
      <c r="V42" s="3849" t="e">
        <f>IF(F1="售价",ROUND(PRODUCT(V41,AC7:AC40),0),ROUND(PRODUCT(V41,AC7:AC40),1))</f>
        <v>#DIV/0!</v>
      </c>
      <c r="W42" s="3849"/>
      <c r="X42" s="1453"/>
      <c r="Y42" s="1453"/>
      <c r="Z42" s="1453"/>
      <c r="AA42" s="1453"/>
      <c r="AB42" s="1453"/>
      <c r="AC42" s="1453"/>
    </row>
    <row r="43" spans="1:29" ht="15.75" thickBot="1">
      <c r="A43" s="596" t="s">
        <v>2626</v>
      </c>
      <c r="B43" s="597"/>
      <c r="C43" s="2400" t="e">
        <f>R43</f>
        <v>#DIV/0!</v>
      </c>
      <c r="D43" s="2400"/>
      <c r="E43" s="2400"/>
      <c r="F43" s="2400"/>
      <c r="G43" s="2400"/>
      <c r="H43" s="2400"/>
      <c r="I43" s="2400"/>
      <c r="J43" s="2400"/>
      <c r="K43" s="1498"/>
      <c r="L43" s="1980"/>
      <c r="M43" s="1981"/>
      <c r="N43" s="1981"/>
      <c r="O43" s="1981"/>
      <c r="P43" s="3757" t="str">
        <f>A43</f>
        <v>估价对象XX用房的比较价格（楼面单价，元/平方米）</v>
      </c>
      <c r="Q43" s="3758"/>
      <c r="R43" s="3848" t="e">
        <f>IF(F1="售价",ROUND(IF(D42="简单平均",AVERAGE(R42:V42),R42*F42+T42*H42+V42*J42),0),ROUND(IF(D42="简单平均",AVERAGE(R42:V42),R42*F42+T42*H42+V42*J42),1))</f>
        <v>#DIV/0!</v>
      </c>
      <c r="S43" s="3848"/>
      <c r="T43" s="3848"/>
      <c r="U43" s="3848"/>
      <c r="V43" s="3848"/>
      <c r="W43" s="3848"/>
      <c r="X43" s="1453"/>
      <c r="Y43" s="1453"/>
      <c r="Z43" s="1453"/>
      <c r="AA43" s="1453"/>
      <c r="AB43" s="1453"/>
      <c r="AC43" s="1453"/>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4"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4"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5" t="s">
        <v>556</v>
      </c>
      <c r="B51" s="1453"/>
      <c r="C51" s="1474"/>
      <c r="D51" s="1474"/>
      <c r="E51" s="1474"/>
      <c r="F51" s="1476"/>
      <c r="G51" s="1476"/>
      <c r="H51" s="1474"/>
      <c r="I51" s="1474"/>
      <c r="J51" s="1474"/>
      <c r="K51" s="1477"/>
      <c r="L51" s="1473"/>
      <c r="M51" s="1474"/>
      <c r="N51" s="1992"/>
      <c r="O51" s="1992"/>
      <c r="P51" s="1992"/>
      <c r="Q51" s="1993"/>
      <c r="R51" s="1981"/>
      <c r="S51" s="1981"/>
      <c r="T51" s="1981"/>
      <c r="U51" s="1981"/>
      <c r="V51" s="1981"/>
      <c r="W51" s="1981"/>
      <c r="X51" s="1981"/>
      <c r="Y51" s="1981"/>
      <c r="Z51" s="1981"/>
      <c r="AA51" s="1981"/>
      <c r="AB51" s="1981"/>
      <c r="AC51" s="1981"/>
    </row>
    <row r="52" spans="1:29" s="1256" customFormat="1" ht="15">
      <c r="A52" s="620" t="s">
        <v>512</v>
      </c>
      <c r="B52" s="621"/>
      <c r="C52" s="2441" t="str">
        <f>YEAR(C7)&amp;"-"&amp;MONTH(C7)</f>
        <v>2022-5</v>
      </c>
      <c r="D52" s="2443">
        <f>EDATE(C52,-1)</f>
        <v>44652</v>
      </c>
      <c r="E52" s="2443">
        <f t="shared" ref="E52:O52" si="16">EDATE(D52,-1)</f>
        <v>44621</v>
      </c>
      <c r="F52" s="2443">
        <f t="shared" si="16"/>
        <v>44593</v>
      </c>
      <c r="G52" s="2443">
        <f t="shared" si="16"/>
        <v>44562</v>
      </c>
      <c r="H52" s="2443">
        <f t="shared" si="16"/>
        <v>44531</v>
      </c>
      <c r="I52" s="2443">
        <f t="shared" si="16"/>
        <v>44501</v>
      </c>
      <c r="J52" s="2443">
        <f t="shared" si="16"/>
        <v>44470</v>
      </c>
      <c r="K52" s="2443">
        <f t="shared" si="16"/>
        <v>44440</v>
      </c>
      <c r="L52" s="2443">
        <f t="shared" si="16"/>
        <v>44409</v>
      </c>
      <c r="M52" s="2443">
        <f t="shared" si="16"/>
        <v>44378</v>
      </c>
      <c r="N52" s="2443">
        <f t="shared" si="16"/>
        <v>44348</v>
      </c>
      <c r="O52" s="2443">
        <f t="shared" si="16"/>
        <v>44317</v>
      </c>
      <c r="P52" s="1995"/>
      <c r="Q52" s="1996"/>
      <c r="R52" s="1996"/>
      <c r="S52" s="1996"/>
      <c r="T52" s="1996"/>
      <c r="U52" s="1996"/>
      <c r="V52" s="1996"/>
      <c r="W52" s="1996"/>
      <c r="X52" s="1996"/>
      <c r="Y52" s="1996"/>
      <c r="Z52" s="1996"/>
      <c r="AA52" s="1996"/>
      <c r="AB52" s="1996"/>
      <c r="AC52" s="1996"/>
    </row>
    <row r="53" spans="1:29" s="1167"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7"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7"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7"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9"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9"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9"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9"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9"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9"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2272</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2273</v>
      </c>
      <c r="C76" s="2364" t="s">
        <v>2274</v>
      </c>
      <c r="D76" s="2364" t="s">
        <v>2275</v>
      </c>
      <c r="E76" s="2364" t="s">
        <v>2276</v>
      </c>
      <c r="F76" s="2364" t="s">
        <v>2277</v>
      </c>
      <c r="G76" s="2364" t="s">
        <v>2278</v>
      </c>
      <c r="H76" s="907"/>
      <c r="I76" s="907"/>
      <c r="J76" s="907"/>
      <c r="K76" s="907"/>
      <c r="L76" s="907"/>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7" customFormat="1" ht="15.75" thickTop="1">
      <c r="A80" s="684"/>
      <c r="B80" s="648">
        <f>B25</f>
        <v>111</v>
      </c>
      <c r="C80" s="663"/>
      <c r="D80" s="663"/>
      <c r="E80" s="663"/>
      <c r="F80" s="663"/>
      <c r="G80" s="663"/>
      <c r="H80" s="663"/>
      <c r="I80" s="663"/>
      <c r="J80" s="663"/>
      <c r="K80" s="663"/>
      <c r="L80" s="862"/>
      <c r="M80" s="863"/>
      <c r="N80" s="1997"/>
      <c r="O80" s="1997"/>
      <c r="P80" s="2000"/>
      <c r="Q80" s="1993"/>
      <c r="R80" s="1859"/>
      <c r="S80" s="1859"/>
      <c r="T80" s="1859"/>
      <c r="U80" s="1859"/>
      <c r="V80" s="1859"/>
      <c r="W80" s="1859"/>
      <c r="X80" s="1859"/>
      <c r="Y80" s="1859"/>
      <c r="Z80" s="1859"/>
      <c r="AA80" s="1859"/>
      <c r="AB80" s="1859"/>
      <c r="AC80" s="1859"/>
    </row>
    <row r="81" spans="1:29" s="1167"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7" customFormat="1" ht="15.75" thickTop="1">
      <c r="A82" s="684"/>
      <c r="B82" s="648">
        <f>B26</f>
        <v>111</v>
      </c>
      <c r="C82" s="663"/>
      <c r="D82" s="663"/>
      <c r="E82" s="663"/>
      <c r="F82" s="663"/>
      <c r="G82" s="663"/>
      <c r="H82" s="663"/>
      <c r="I82" s="663"/>
      <c r="J82" s="663"/>
      <c r="K82" s="663"/>
      <c r="L82" s="862"/>
      <c r="M82" s="863"/>
      <c r="N82" s="1997"/>
      <c r="O82" s="1997"/>
      <c r="P82" s="2000"/>
      <c r="Q82" s="1993"/>
      <c r="R82" s="1859"/>
      <c r="S82" s="1859"/>
      <c r="T82" s="1859"/>
      <c r="U82" s="1859"/>
      <c r="V82" s="1859"/>
      <c r="W82" s="1859"/>
      <c r="X82" s="1859"/>
      <c r="Y82" s="1859"/>
      <c r="Z82" s="1859"/>
      <c r="AA82" s="1859"/>
      <c r="AB82" s="1859"/>
      <c r="AC82" s="1859"/>
    </row>
    <row r="83" spans="1:29" s="1167"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9" customFormat="1" ht="15.75" thickTop="1">
      <c r="A84" s="662"/>
      <c r="B84" s="648">
        <f>B27</f>
        <v>111</v>
      </c>
      <c r="C84" s="663"/>
      <c r="D84" s="663"/>
      <c r="E84" s="663"/>
      <c r="F84" s="663"/>
      <c r="G84" s="663"/>
      <c r="H84" s="663"/>
      <c r="I84" s="663"/>
      <c r="J84" s="663"/>
      <c r="K84" s="663"/>
      <c r="L84" s="862"/>
      <c r="M84" s="863"/>
      <c r="N84" s="2002"/>
      <c r="O84" s="2002"/>
      <c r="P84" s="2003"/>
      <c r="Q84" s="2004"/>
      <c r="R84" s="2005"/>
      <c r="S84" s="2005"/>
      <c r="T84" s="2005"/>
      <c r="U84" s="2005"/>
      <c r="V84" s="2005"/>
      <c r="W84" s="2005"/>
      <c r="X84" s="2005"/>
      <c r="Y84" s="2005"/>
      <c r="Z84" s="2005"/>
      <c r="AA84" s="2005"/>
      <c r="AB84" s="2005"/>
      <c r="AC84" s="2005"/>
    </row>
    <row r="85" spans="1:29" s="1249"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5"/>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9"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9"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6">
        <v>0.5</v>
      </c>
      <c r="D98" s="866">
        <v>0.6</v>
      </c>
      <c r="E98" s="866">
        <v>0.7</v>
      </c>
      <c r="F98" s="866">
        <v>0.8</v>
      </c>
      <c r="G98" s="866">
        <v>0.9</v>
      </c>
      <c r="H98" s="866">
        <v>1.0001</v>
      </c>
      <c r="I98" s="877"/>
      <c r="J98" s="877"/>
      <c r="K98" s="878"/>
      <c r="L98" s="879"/>
      <c r="M98" s="880"/>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9"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2271</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9"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9"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5"/>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6"/>
      <c r="G1" s="1488"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777</v>
      </c>
      <c r="B3" s="487" t="e">
        <f>IF(B37="元/平方米",C39,ROUND(B2*10000/D3,0))</f>
        <v>#DIV/0!</v>
      </c>
      <c r="C3" s="824" t="s">
        <v>778</v>
      </c>
      <c r="D3" s="823">
        <f>SUMIF('数据-汇总表'!$C19:$C33,D1,'数据-汇总表'!$E19:$E33)</f>
        <v>0</v>
      </c>
      <c r="E3" s="1717" t="s">
        <v>1865</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26" t="s">
        <v>780</v>
      </c>
      <c r="D4" s="3727"/>
      <c r="E4" s="3726" t="s">
        <v>781</v>
      </c>
      <c r="F4" s="3727"/>
      <c r="G4" s="3726" t="s">
        <v>782</v>
      </c>
      <c r="H4" s="3727"/>
      <c r="I4" s="3726" t="s">
        <v>783</v>
      </c>
      <c r="J4" s="3727"/>
      <c r="K4" s="491" t="s">
        <v>784</v>
      </c>
      <c r="L4" s="1969"/>
      <c r="M4" s="1970"/>
      <c r="N4" s="1970"/>
      <c r="O4" s="1970"/>
      <c r="P4" s="3728" t="s">
        <v>785</v>
      </c>
      <c r="Q4" s="3729"/>
      <c r="R4" s="3734" t="s">
        <v>781</v>
      </c>
      <c r="S4" s="3735"/>
      <c r="T4" s="3734" t="s">
        <v>782</v>
      </c>
      <c r="U4" s="3735"/>
      <c r="V4" s="3721" t="s">
        <v>783</v>
      </c>
      <c r="W4" s="3721"/>
      <c r="X4" s="1458"/>
      <c r="Y4" s="3734" t="s">
        <v>785</v>
      </c>
      <c r="Z4" s="3735"/>
      <c r="AA4" s="3723" t="s">
        <v>781</v>
      </c>
      <c r="AB4" s="3724" t="s">
        <v>782</v>
      </c>
      <c r="AC4" s="3723" t="s">
        <v>783</v>
      </c>
    </row>
    <row r="5" spans="1:29" ht="15">
      <c r="A5" s="492"/>
      <c r="B5" s="493"/>
      <c r="C5" s="3742" t="s">
        <v>2620</v>
      </c>
      <c r="D5" s="3743"/>
      <c r="E5" s="3742" t="s">
        <v>2621</v>
      </c>
      <c r="F5" s="3743"/>
      <c r="G5" s="3742" t="s">
        <v>2622</v>
      </c>
      <c r="H5" s="3743"/>
      <c r="I5" s="3742" t="s">
        <v>2623</v>
      </c>
      <c r="J5" s="3743"/>
      <c r="K5" s="491"/>
      <c r="L5" s="1969"/>
      <c r="M5" s="1970"/>
      <c r="N5" s="1970"/>
      <c r="O5" s="1970"/>
      <c r="P5" s="3730"/>
      <c r="Q5" s="3731"/>
      <c r="R5" s="3736"/>
      <c r="S5" s="3737"/>
      <c r="T5" s="3736"/>
      <c r="U5" s="3737"/>
      <c r="V5" s="3721"/>
      <c r="W5" s="3721"/>
      <c r="X5" s="1458"/>
      <c r="Y5" s="3736"/>
      <c r="Z5" s="3737"/>
      <c r="AA5" s="3724"/>
      <c r="AB5" s="3724"/>
      <c r="AC5" s="3724"/>
    </row>
    <row r="6" spans="1:29" ht="15.75" thickBot="1">
      <c r="A6" s="494"/>
      <c r="B6" s="495"/>
      <c r="C6" s="3740" t="s">
        <v>2624</v>
      </c>
      <c r="D6" s="3741"/>
      <c r="E6" s="3744" t="s">
        <v>2624</v>
      </c>
      <c r="F6" s="3745"/>
      <c r="G6" s="3740" t="s">
        <v>2624</v>
      </c>
      <c r="H6" s="3741"/>
      <c r="I6" s="3740" t="s">
        <v>2624</v>
      </c>
      <c r="J6" s="3741"/>
      <c r="K6" s="491" t="s">
        <v>511</v>
      </c>
      <c r="L6" s="1969"/>
      <c r="M6" s="1970"/>
      <c r="N6" s="1970"/>
      <c r="O6" s="1970"/>
      <c r="P6" s="3732"/>
      <c r="Q6" s="3733"/>
      <c r="R6" s="3736"/>
      <c r="S6" s="3737"/>
      <c r="T6" s="3738"/>
      <c r="U6" s="3739"/>
      <c r="V6" s="3721"/>
      <c r="W6" s="3721"/>
      <c r="X6" s="1458"/>
      <c r="Y6" s="3738"/>
      <c r="Z6" s="3739"/>
      <c r="AA6" s="3725"/>
      <c r="AB6" s="3725"/>
      <c r="AC6" s="3725"/>
    </row>
    <row r="7" spans="1:29" s="1167" customFormat="1" ht="15.75" thickBot="1">
      <c r="A7" s="2551"/>
      <c r="B7" s="2558" t="s">
        <v>512</v>
      </c>
      <c r="C7" s="496">
        <f>'数据-取费表'!B2</f>
        <v>44705</v>
      </c>
      <c r="D7" s="497">
        <v>100</v>
      </c>
      <c r="E7" s="498"/>
      <c r="F7" s="499">
        <f>SUMIF(48:48,YEAR(E7)&amp;"-"&amp;MONTH(E7),49:49)</f>
        <v>0</v>
      </c>
      <c r="G7" s="500"/>
      <c r="H7" s="497">
        <f>SUMIF(48:48,YEAR(G7)&amp;"-"&amp;MONTH(G7),49:49)</f>
        <v>0</v>
      </c>
      <c r="I7" s="500"/>
      <c r="J7" s="497">
        <f>SUMIF(48:48,YEAR(I7)&amp;"-"&amp;MONTH(I7),49:49)</f>
        <v>0</v>
      </c>
      <c r="K7" s="501"/>
      <c r="L7" s="1971"/>
      <c r="M7" s="1972"/>
      <c r="N7" s="1972"/>
      <c r="O7" s="1972"/>
      <c r="P7" s="3750" t="s">
        <v>513</v>
      </c>
      <c r="Q7" s="3752"/>
      <c r="R7" s="1459" t="s">
        <v>8</v>
      </c>
      <c r="S7" s="1460">
        <f t="shared" ref="S7:S14" si="0">F7</f>
        <v>0</v>
      </c>
      <c r="T7" s="1459" t="s">
        <v>8</v>
      </c>
      <c r="U7" s="1460">
        <f t="shared" ref="U7:U14" si="1">H7</f>
        <v>0</v>
      </c>
      <c r="V7" s="1459" t="s">
        <v>8</v>
      </c>
      <c r="W7" s="1460">
        <f t="shared" ref="W7:W14" si="2">J7</f>
        <v>0</v>
      </c>
      <c r="X7" s="1461"/>
      <c r="Y7" s="3750" t="s">
        <v>513</v>
      </c>
      <c r="Z7" s="3751"/>
      <c r="AA7" s="1462" t="e">
        <f>D7/F7</f>
        <v>#DIV/0!</v>
      </c>
      <c r="AB7" s="1462" t="e">
        <f>D7/H7</f>
        <v>#DIV/0!</v>
      </c>
      <c r="AC7" s="1462" t="e">
        <f>D7/J7</f>
        <v>#DIV/0!</v>
      </c>
    </row>
    <row r="8" spans="1:29" s="1167"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750" t="s">
        <v>516</v>
      </c>
      <c r="Q8" s="3751"/>
      <c r="R8" s="1459" t="s">
        <v>8</v>
      </c>
      <c r="S8" s="1460">
        <f t="shared" si="0"/>
        <v>0</v>
      </c>
      <c r="T8" s="1459" t="s">
        <v>8</v>
      </c>
      <c r="U8" s="1460">
        <f t="shared" si="1"/>
        <v>0</v>
      </c>
      <c r="V8" s="1459" t="s">
        <v>8</v>
      </c>
      <c r="W8" s="1460">
        <f t="shared" si="2"/>
        <v>0</v>
      </c>
      <c r="X8" s="1461"/>
      <c r="Y8" s="3750" t="s">
        <v>516</v>
      </c>
      <c r="Z8" s="3751"/>
      <c r="AA8" s="1462" t="e">
        <f t="shared" ref="AA8:AA36" si="3">D8/F8</f>
        <v>#DIV/0!</v>
      </c>
      <c r="AB8" s="1462" t="e">
        <f t="shared" ref="AB8:AB36" si="4">D8/H8</f>
        <v>#DIV/0!</v>
      </c>
      <c r="AC8" s="1462" t="e">
        <f t="shared" ref="AC8:AC36" si="5">D8/J8</f>
        <v>#DIV/0!</v>
      </c>
    </row>
    <row r="9" spans="1:29" s="1167" customFormat="1" ht="15">
      <c r="A9" s="2553"/>
      <c r="B9" s="2560" t="s">
        <v>2470</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720" t="s">
        <v>518</v>
      </c>
      <c r="Q9" s="1098" t="str">
        <f t="shared" ref="Q9:Q14" si="6">B9</f>
        <v>用途</v>
      </c>
      <c r="R9" s="1459" t="s">
        <v>8</v>
      </c>
      <c r="S9" s="1460">
        <f t="shared" si="0"/>
        <v>100</v>
      </c>
      <c r="T9" s="1459" t="s">
        <v>8</v>
      </c>
      <c r="U9" s="1460">
        <f t="shared" si="1"/>
        <v>100</v>
      </c>
      <c r="V9" s="1459" t="s">
        <v>8</v>
      </c>
      <c r="W9" s="1460">
        <f t="shared" si="2"/>
        <v>100</v>
      </c>
      <c r="X9" s="1461"/>
      <c r="Y9" s="3651" t="s">
        <v>519</v>
      </c>
      <c r="Z9" s="1097" t="str">
        <f t="shared" ref="Z9:Z14" si="7">Q9</f>
        <v>用途</v>
      </c>
      <c r="AA9" s="1462">
        <f t="shared" si="3"/>
        <v>1</v>
      </c>
      <c r="AB9" s="1462">
        <f t="shared" si="4"/>
        <v>1</v>
      </c>
      <c r="AC9" s="1462">
        <f t="shared" si="5"/>
        <v>1</v>
      </c>
    </row>
    <row r="10" spans="1:29" s="1248" customFormat="1" ht="27">
      <c r="A10" s="2554"/>
      <c r="B10" s="2559" t="s">
        <v>2471</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720"/>
      <c r="Q10" s="1098" t="str">
        <f t="shared" si="6"/>
        <v>土地使用年限（年）</v>
      </c>
      <c r="R10" s="1459" t="s">
        <v>8</v>
      </c>
      <c r="S10" s="1460">
        <f t="shared" si="0"/>
        <v>100</v>
      </c>
      <c r="T10" s="1459" t="s">
        <v>8</v>
      </c>
      <c r="U10" s="1460">
        <f t="shared" si="1"/>
        <v>100</v>
      </c>
      <c r="V10" s="1459" t="s">
        <v>8</v>
      </c>
      <c r="W10" s="1460">
        <f t="shared" si="2"/>
        <v>100</v>
      </c>
      <c r="X10" s="1461"/>
      <c r="Y10" s="3651"/>
      <c r="Z10" s="1097" t="str">
        <f t="shared" si="7"/>
        <v>土地使用年限（年）</v>
      </c>
      <c r="AA10" s="1462">
        <f t="shared" si="3"/>
        <v>1</v>
      </c>
      <c r="AB10" s="1462">
        <f t="shared" si="4"/>
        <v>1</v>
      </c>
      <c r="AC10" s="1462">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720"/>
      <c r="Q11" s="1098">
        <f t="shared" si="6"/>
        <v>111</v>
      </c>
      <c r="R11" s="1459" t="s">
        <v>8</v>
      </c>
      <c r="S11" s="1460">
        <f t="shared" si="0"/>
        <v>100</v>
      </c>
      <c r="T11" s="1459" t="s">
        <v>8</v>
      </c>
      <c r="U11" s="1460">
        <f t="shared" si="1"/>
        <v>100</v>
      </c>
      <c r="V11" s="1459" t="s">
        <v>8</v>
      </c>
      <c r="W11" s="1460">
        <f t="shared" si="2"/>
        <v>100</v>
      </c>
      <c r="X11" s="1461"/>
      <c r="Y11" s="3651"/>
      <c r="Z11" s="1097">
        <f t="shared" si="7"/>
        <v>111</v>
      </c>
      <c r="AA11" s="1462">
        <f t="shared" si="3"/>
        <v>1</v>
      </c>
      <c r="AB11" s="1462">
        <f t="shared" si="4"/>
        <v>1</v>
      </c>
      <c r="AC11" s="1462">
        <f t="shared" si="5"/>
        <v>1</v>
      </c>
    </row>
    <row r="12" spans="1:29" s="1167"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720"/>
      <c r="Q12" s="1098">
        <f t="shared" si="6"/>
        <v>111</v>
      </c>
      <c r="R12" s="1459" t="s">
        <v>8</v>
      </c>
      <c r="S12" s="1460">
        <f t="shared" si="0"/>
        <v>100</v>
      </c>
      <c r="T12" s="1459" t="s">
        <v>8</v>
      </c>
      <c r="U12" s="1460">
        <f t="shared" si="1"/>
        <v>100</v>
      </c>
      <c r="V12" s="1459" t="s">
        <v>8</v>
      </c>
      <c r="W12" s="1460">
        <f t="shared" si="2"/>
        <v>100</v>
      </c>
      <c r="X12" s="1461"/>
      <c r="Y12" s="3651"/>
      <c r="Z12" s="1097">
        <f t="shared" si="7"/>
        <v>111</v>
      </c>
      <c r="AA12" s="1462">
        <f>D12/F12</f>
        <v>1</v>
      </c>
      <c r="AB12" s="1462">
        <f>D12/H12</f>
        <v>1</v>
      </c>
      <c r="AC12" s="1462">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720"/>
      <c r="Q13" s="1098">
        <f t="shared" si="6"/>
        <v>111</v>
      </c>
      <c r="R13" s="1459" t="s">
        <v>8</v>
      </c>
      <c r="S13" s="1460">
        <f t="shared" si="0"/>
        <v>100</v>
      </c>
      <c r="T13" s="1459" t="s">
        <v>8</v>
      </c>
      <c r="U13" s="1460">
        <f t="shared" si="1"/>
        <v>100</v>
      </c>
      <c r="V13" s="1459" t="s">
        <v>8</v>
      </c>
      <c r="W13" s="1460">
        <f t="shared" si="2"/>
        <v>100</v>
      </c>
      <c r="X13" s="1461"/>
      <c r="Y13" s="3651"/>
      <c r="Z13" s="1097">
        <f t="shared" si="7"/>
        <v>111</v>
      </c>
      <c r="AA13" s="1462">
        <f t="shared" si="3"/>
        <v>1</v>
      </c>
      <c r="AB13" s="1462">
        <f t="shared" si="4"/>
        <v>1</v>
      </c>
      <c r="AC13" s="1462">
        <f t="shared" si="5"/>
        <v>1</v>
      </c>
    </row>
    <row r="14" spans="1:29" ht="15">
      <c r="A14" s="2549" t="s">
        <v>2468</v>
      </c>
      <c r="B14" s="524" t="s">
        <v>526</v>
      </c>
      <c r="C14" s="893" t="str">
        <f>IF(B1="工业",估价对象房地状况!G4,估价对象房地状况!C6)</f>
        <v>一般</v>
      </c>
      <c r="D14" s="526">
        <v>100</v>
      </c>
      <c r="E14" s="527"/>
      <c r="F14" s="528">
        <f>SUMIF(63:63,E15,64:64)-SUMIF(63:63,C15,64:64)+100</f>
        <v>100</v>
      </c>
      <c r="G14" s="529"/>
      <c r="H14" s="526">
        <f>SUMIF(63:63,G15,64:64)-SUMIF(63:63,C15,64:64)+100</f>
        <v>100</v>
      </c>
      <c r="I14" s="527"/>
      <c r="J14" s="526">
        <f>SUMIF(63:63,I15,64:64)-SUMIF(63:63,C15,64:64)+100</f>
        <v>100</v>
      </c>
      <c r="K14" s="870"/>
      <c r="L14" s="1978"/>
      <c r="M14" s="1970"/>
      <c r="N14" s="1970"/>
      <c r="O14" s="1977"/>
      <c r="P14" s="3753" t="s">
        <v>523</v>
      </c>
      <c r="Q14" s="1463" t="str">
        <f t="shared" si="6"/>
        <v>交通便捷度</v>
      </c>
      <c r="R14" s="1464" t="s">
        <v>8</v>
      </c>
      <c r="S14" s="1465">
        <f t="shared" si="0"/>
        <v>100</v>
      </c>
      <c r="T14" s="1464" t="s">
        <v>8</v>
      </c>
      <c r="U14" s="1465">
        <f t="shared" si="1"/>
        <v>100</v>
      </c>
      <c r="V14" s="1464" t="s">
        <v>8</v>
      </c>
      <c r="W14" s="1465">
        <f t="shared" si="2"/>
        <v>100</v>
      </c>
      <c r="X14" s="1458"/>
      <c r="Y14" s="3753"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8"/>
      <c r="M15" s="1970"/>
      <c r="N15" s="1970"/>
      <c r="O15" s="1977"/>
      <c r="P15" s="3754"/>
      <c r="Q15" s="1463"/>
      <c r="R15" s="1464"/>
      <c r="S15" s="1465"/>
      <c r="T15" s="1464"/>
      <c r="U15" s="1465"/>
      <c r="V15" s="1464"/>
      <c r="W15" s="1465"/>
      <c r="X15" s="1458"/>
      <c r="Y15" s="3754"/>
      <c r="Z15" s="1466"/>
      <c r="AA15" s="1467">
        <v>1</v>
      </c>
      <c r="AB15" s="1467">
        <v>1</v>
      </c>
      <c r="AC15" s="1467">
        <v>1</v>
      </c>
    </row>
    <row r="16" spans="1:29" ht="15">
      <c r="A16" s="492"/>
      <c r="B16" s="2369" t="s">
        <v>2261</v>
      </c>
      <c r="C16" s="844" t="str">
        <f>IF(B1="工业",估价对象房地状况!G5,估价对象房地状况!C7)</f>
        <v>一般</v>
      </c>
      <c r="D16" s="542">
        <v>100</v>
      </c>
      <c r="E16" s="549"/>
      <c r="F16" s="548">
        <f>SUMIF(65:65,E17,66:66)-SUMIF(65:65,C17,66:66)+100</f>
        <v>100</v>
      </c>
      <c r="G16" s="549"/>
      <c r="H16" s="542">
        <f>SUMIF(65:65,G17,66:66)-SUMIF(65:65,C17,66:66)+100</f>
        <v>100</v>
      </c>
      <c r="I16" s="547"/>
      <c r="J16" s="542">
        <f>SUMIF(65:65,I17,66:66)-SUMIF(65:65,C17,66:66)+100</f>
        <v>100</v>
      </c>
      <c r="K16" s="870"/>
      <c r="L16" s="1978"/>
      <c r="M16" s="1970"/>
      <c r="N16" s="1970"/>
      <c r="O16" s="1977"/>
      <c r="P16" s="3754"/>
      <c r="Q16" s="1463" t="str">
        <f>B16</f>
        <v>公共配套设施</v>
      </c>
      <c r="R16" s="1464" t="s">
        <v>8</v>
      </c>
      <c r="S16" s="1465">
        <f>F16</f>
        <v>100</v>
      </c>
      <c r="T16" s="1464" t="s">
        <v>8</v>
      </c>
      <c r="U16" s="1465">
        <f>H16</f>
        <v>100</v>
      </c>
      <c r="V16" s="1464" t="s">
        <v>8</v>
      </c>
      <c r="W16" s="1465">
        <f>J16</f>
        <v>100</v>
      </c>
      <c r="X16" s="1458"/>
      <c r="Y16" s="3754"/>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8"/>
      <c r="M17" s="1970"/>
      <c r="N17" s="1970"/>
      <c r="O17" s="1977"/>
      <c r="P17" s="3754"/>
      <c r="Q17" s="1463"/>
      <c r="R17" s="1464"/>
      <c r="S17" s="1465"/>
      <c r="T17" s="1464"/>
      <c r="U17" s="1465"/>
      <c r="V17" s="1464"/>
      <c r="W17" s="1465"/>
      <c r="X17" s="1458"/>
      <c r="Y17" s="3754"/>
      <c r="Z17" s="1466"/>
      <c r="AA17" s="1467">
        <v>1</v>
      </c>
      <c r="AB17" s="1467">
        <v>1</v>
      </c>
      <c r="AC17" s="1467">
        <v>1</v>
      </c>
    </row>
    <row r="18" spans="1:29" ht="15">
      <c r="A18" s="492"/>
      <c r="B18" s="2357" t="s">
        <v>2273</v>
      </c>
      <c r="C18" s="844" t="str">
        <f>IF(B1="工业",估价对象房地状况!G6,估价对象房地状况!C8)</f>
        <v>七通</v>
      </c>
      <c r="D18" s="536">
        <v>100</v>
      </c>
      <c r="E18" s="549"/>
      <c r="F18" s="548">
        <f>SUMIF(67:67,E19,68:68)-SUMIF(67:67,C19,68:68)+100</f>
        <v>100</v>
      </c>
      <c r="G18" s="549"/>
      <c r="H18" s="542">
        <f>SUMIF(67:67,G19,68:68)-SUMIF(67:67,C19,68:68)+100</f>
        <v>100</v>
      </c>
      <c r="I18" s="547"/>
      <c r="J18" s="542">
        <f>SUMIF(67:67,I19,68:68)-SUMIF(67:67,C19,68:68)+100</f>
        <v>100</v>
      </c>
      <c r="K18" s="870"/>
      <c r="L18" s="1978"/>
      <c r="M18" s="1970"/>
      <c r="N18" s="1970"/>
      <c r="O18" s="1977"/>
      <c r="P18" s="3754"/>
      <c r="Q18" s="2351" t="str">
        <f>B18</f>
        <v>基础设施水平</v>
      </c>
      <c r="R18" s="1464" t="s">
        <v>8</v>
      </c>
      <c r="S18" s="1465">
        <f>F18</f>
        <v>100</v>
      </c>
      <c r="T18" s="1464" t="s">
        <v>8</v>
      </c>
      <c r="U18" s="1465">
        <f>H18</f>
        <v>100</v>
      </c>
      <c r="V18" s="1464" t="s">
        <v>8</v>
      </c>
      <c r="W18" s="1465">
        <f>J18</f>
        <v>100</v>
      </c>
      <c r="X18" s="2353"/>
      <c r="Y18" s="3754"/>
      <c r="Z18" s="2352"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8"/>
      <c r="L19" s="1978"/>
      <c r="M19" s="1970"/>
      <c r="N19" s="1970"/>
      <c r="O19" s="1977"/>
      <c r="P19" s="3754"/>
      <c r="Q19" s="2351"/>
      <c r="R19" s="1464"/>
      <c r="S19" s="1465"/>
      <c r="T19" s="1464"/>
      <c r="U19" s="1465"/>
      <c r="V19" s="1464"/>
      <c r="W19" s="1465"/>
      <c r="X19" s="2353"/>
      <c r="Y19" s="3754"/>
      <c r="Z19" s="2352"/>
      <c r="AA19" s="1467">
        <v>1</v>
      </c>
      <c r="AB19" s="1467">
        <v>1</v>
      </c>
      <c r="AC19" s="1467">
        <v>1</v>
      </c>
    </row>
    <row r="20" spans="1:29" ht="15">
      <c r="A20" s="492"/>
      <c r="B20" s="537" t="s">
        <v>786</v>
      </c>
      <c r="C20" s="844" t="str">
        <f>IF(B1="工业",估价对象房地状况!G7,估价对象房地状况!C9)</f>
        <v>较好</v>
      </c>
      <c r="D20" s="542">
        <v>100</v>
      </c>
      <c r="E20" s="539"/>
      <c r="F20" s="540">
        <f>SUMIF(69:69,E21,70:70)-SUMIF(69:69,C21,70:70)+100</f>
        <v>100</v>
      </c>
      <c r="G20" s="541"/>
      <c r="H20" s="536">
        <f>SUMIF(69:69,G21,70:70)-SUMIF(69:69,C21,70:70)+100</f>
        <v>100</v>
      </c>
      <c r="I20" s="539"/>
      <c r="J20" s="536">
        <f>SUMIF(69:69,I21,70:70)-SUMIF(69:69,C21,70:70)+100</f>
        <v>100</v>
      </c>
      <c r="K20" s="870"/>
      <c r="L20" s="1978"/>
      <c r="M20" s="1970"/>
      <c r="N20" s="1970"/>
      <c r="O20" s="1977"/>
      <c r="P20" s="3754"/>
      <c r="Q20" s="1463" t="str">
        <f>B20</f>
        <v>自然及人文环境</v>
      </c>
      <c r="R20" s="1464" t="s">
        <v>8</v>
      </c>
      <c r="S20" s="1465">
        <f>F20</f>
        <v>100</v>
      </c>
      <c r="T20" s="1464" t="s">
        <v>8</v>
      </c>
      <c r="U20" s="1465">
        <f>H20</f>
        <v>100</v>
      </c>
      <c r="V20" s="1464" t="s">
        <v>8</v>
      </c>
      <c r="W20" s="1465">
        <f>J20</f>
        <v>100</v>
      </c>
      <c r="X20" s="1458"/>
      <c r="Y20" s="3754"/>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8"/>
      <c r="M21" s="1970"/>
      <c r="N21" s="1970"/>
      <c r="O21" s="1977"/>
      <c r="P21" s="3754"/>
      <c r="Q21" s="1463"/>
      <c r="R21" s="1464"/>
      <c r="S21" s="1465"/>
      <c r="T21" s="1464"/>
      <c r="U21" s="1465"/>
      <c r="V21" s="1464"/>
      <c r="W21" s="1465"/>
      <c r="X21" s="1458"/>
      <c r="Y21" s="3754"/>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754"/>
      <c r="Q22" s="1463" t="str">
        <f>B22</f>
        <v>楼层</v>
      </c>
      <c r="R22" s="1464" t="s">
        <v>8</v>
      </c>
      <c r="S22" s="1465">
        <f>F22</f>
        <v>100</v>
      </c>
      <c r="T22" s="1464" t="s">
        <v>8</v>
      </c>
      <c r="U22" s="1465">
        <f>H22</f>
        <v>100</v>
      </c>
      <c r="V22" s="1464" t="s">
        <v>8</v>
      </c>
      <c r="W22" s="1465">
        <f>J22</f>
        <v>100</v>
      </c>
      <c r="X22" s="1458"/>
      <c r="Y22" s="3754"/>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754"/>
      <c r="Q23" s="1463">
        <f>B23</f>
        <v>111</v>
      </c>
      <c r="R23" s="1464" t="s">
        <v>8</v>
      </c>
      <c r="S23" s="1465">
        <f>F23</f>
        <v>100</v>
      </c>
      <c r="T23" s="1464" t="s">
        <v>8</v>
      </c>
      <c r="U23" s="1465">
        <f>H23</f>
        <v>100</v>
      </c>
      <c r="V23" s="1464" t="s">
        <v>8</v>
      </c>
      <c r="W23" s="1465">
        <f>J23</f>
        <v>100</v>
      </c>
      <c r="X23" s="1458"/>
      <c r="Y23" s="3754"/>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754"/>
      <c r="Q24" s="1463">
        <f t="shared" ref="Q24:Q36" si="11">B24</f>
        <v>111</v>
      </c>
      <c r="R24" s="1464" t="s">
        <v>8</v>
      </c>
      <c r="S24" s="1465">
        <f>F24</f>
        <v>100</v>
      </c>
      <c r="T24" s="1464" t="s">
        <v>8</v>
      </c>
      <c r="U24" s="1465">
        <f>H24</f>
        <v>100</v>
      </c>
      <c r="V24" s="1464" t="s">
        <v>8</v>
      </c>
      <c r="W24" s="1465">
        <f>J24</f>
        <v>100</v>
      </c>
      <c r="X24" s="1458"/>
      <c r="Y24" s="3754"/>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1"/>
      <c r="M25" s="1972"/>
      <c r="N25" s="1972"/>
      <c r="O25" s="1973"/>
      <c r="P25" s="3754"/>
      <c r="Q25" s="1098">
        <f t="shared" si="11"/>
        <v>111</v>
      </c>
      <c r="R25" s="1459" t="s">
        <v>8</v>
      </c>
      <c r="S25" s="1460">
        <f>F25</f>
        <v>100</v>
      </c>
      <c r="T25" s="1459" t="s">
        <v>8</v>
      </c>
      <c r="U25" s="1460">
        <f>H25</f>
        <v>100</v>
      </c>
      <c r="V25" s="1459" t="s">
        <v>8</v>
      </c>
      <c r="W25" s="1460">
        <f>J25</f>
        <v>100</v>
      </c>
      <c r="X25" s="1461"/>
      <c r="Y25" s="3754"/>
      <c r="Z25" s="1097">
        <f>Q25</f>
        <v>111</v>
      </c>
      <c r="AA25" s="1467">
        <f>D25/F25</f>
        <v>1</v>
      </c>
      <c r="AB25" s="1467">
        <f>D25/H25</f>
        <v>1</v>
      </c>
      <c r="AC25" s="1467">
        <f>D25/J25</f>
        <v>1</v>
      </c>
    </row>
    <row r="26" spans="1:29" ht="15">
      <c r="A26" s="2546" t="s">
        <v>2469</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755"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756"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6"/>
      <c r="M27" s="2006"/>
      <c r="N27" s="2006"/>
      <c r="O27" s="1979"/>
      <c r="P27" s="3756"/>
      <c r="Q27" s="1492" t="str">
        <f t="shared" si="11"/>
        <v>项目停车位配比</v>
      </c>
      <c r="R27" s="1468" t="s">
        <v>8</v>
      </c>
      <c r="S27" s="1469">
        <f t="shared" si="12"/>
        <v>100</v>
      </c>
      <c r="T27" s="1468" t="s">
        <v>8</v>
      </c>
      <c r="U27" s="1469">
        <f t="shared" si="13"/>
        <v>100</v>
      </c>
      <c r="V27" s="1468" t="s">
        <v>8</v>
      </c>
      <c r="W27" s="1469">
        <f t="shared" si="14"/>
        <v>100</v>
      </c>
      <c r="X27" s="1470"/>
      <c r="Y27" s="3756"/>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756"/>
      <c r="Q28" s="1463" t="str">
        <f t="shared" si="11"/>
        <v>公共部分装修</v>
      </c>
      <c r="R28" s="1464" t="s">
        <v>8</v>
      </c>
      <c r="S28" s="1465">
        <f t="shared" si="12"/>
        <v>100</v>
      </c>
      <c r="T28" s="1464" t="s">
        <v>8</v>
      </c>
      <c r="U28" s="1465">
        <f t="shared" si="13"/>
        <v>100</v>
      </c>
      <c r="V28" s="1464" t="s">
        <v>8</v>
      </c>
      <c r="W28" s="1465">
        <f t="shared" si="14"/>
        <v>100</v>
      </c>
      <c r="X28" s="1458"/>
      <c r="Y28" s="3756"/>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8"/>
      <c r="M29" s="1970"/>
      <c r="N29" s="1970"/>
      <c r="O29" s="1977"/>
      <c r="P29" s="3756"/>
      <c r="Q29" s="1463" t="str">
        <f t="shared" si="11"/>
        <v>成新率</v>
      </c>
      <c r="R29" s="1464" t="s">
        <v>8</v>
      </c>
      <c r="S29" s="1465" t="e">
        <f t="shared" si="12"/>
        <v>#N/A</v>
      </c>
      <c r="T29" s="1464" t="s">
        <v>8</v>
      </c>
      <c r="U29" s="1465" t="e">
        <f t="shared" si="13"/>
        <v>#N/A</v>
      </c>
      <c r="V29" s="1464" t="s">
        <v>8</v>
      </c>
      <c r="W29" s="1465" t="e">
        <f t="shared" si="14"/>
        <v>#N/A</v>
      </c>
      <c r="X29" s="1458"/>
      <c r="Y29" s="3756"/>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8"/>
      <c r="M30" s="1970"/>
      <c r="N30" s="1970"/>
      <c r="O30" s="1977"/>
      <c r="P30" s="3756"/>
      <c r="Q30" s="1463" t="str">
        <f t="shared" si="11"/>
        <v>物业等级</v>
      </c>
      <c r="R30" s="1464" t="s">
        <v>8</v>
      </c>
      <c r="S30" s="1465">
        <f t="shared" si="12"/>
        <v>100</v>
      </c>
      <c r="T30" s="1464" t="s">
        <v>8</v>
      </c>
      <c r="U30" s="1465">
        <f t="shared" si="13"/>
        <v>100</v>
      </c>
      <c r="V30" s="1464" t="s">
        <v>8</v>
      </c>
      <c r="W30" s="1465">
        <f t="shared" si="14"/>
        <v>100</v>
      </c>
      <c r="X30" s="1458"/>
      <c r="Y30" s="3756"/>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1"/>
      <c r="M31" s="1972"/>
      <c r="N31" s="1972"/>
      <c r="O31" s="1973"/>
      <c r="P31" s="3756"/>
      <c r="Q31" s="1098" t="str">
        <f t="shared" si="11"/>
        <v>停车位面积</v>
      </c>
      <c r="R31" s="1459" t="s">
        <v>8</v>
      </c>
      <c r="S31" s="1460" t="e">
        <f t="shared" si="12"/>
        <v>#N/A</v>
      </c>
      <c r="T31" s="1459" t="s">
        <v>8</v>
      </c>
      <c r="U31" s="1460" t="e">
        <f t="shared" si="13"/>
        <v>#N/A</v>
      </c>
      <c r="V31" s="1459" t="s">
        <v>8</v>
      </c>
      <c r="W31" s="1460" t="e">
        <f t="shared" si="14"/>
        <v>#N/A</v>
      </c>
      <c r="X31" s="1461"/>
      <c r="Y31" s="3756"/>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756" t="s">
        <v>533</v>
      </c>
      <c r="Q32" s="1463" t="str">
        <f t="shared" si="11"/>
        <v>车位类型</v>
      </c>
      <c r="R32" s="1464" t="s">
        <v>8</v>
      </c>
      <c r="S32" s="1465">
        <f t="shared" si="12"/>
        <v>100</v>
      </c>
      <c r="T32" s="1464" t="s">
        <v>8</v>
      </c>
      <c r="U32" s="1465">
        <f t="shared" si="13"/>
        <v>100</v>
      </c>
      <c r="V32" s="1464" t="s">
        <v>8</v>
      </c>
      <c r="W32" s="1465">
        <f t="shared" si="14"/>
        <v>100</v>
      </c>
      <c r="X32" s="1458"/>
      <c r="Y32" s="3756"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756"/>
      <c r="Q33" s="1463" t="str">
        <f t="shared" si="11"/>
        <v>是否直接入户</v>
      </c>
      <c r="R33" s="1464" t="s">
        <v>8</v>
      </c>
      <c r="S33" s="1465">
        <f t="shared" si="12"/>
        <v>100</v>
      </c>
      <c r="T33" s="1464" t="s">
        <v>8</v>
      </c>
      <c r="U33" s="1465">
        <f t="shared" si="13"/>
        <v>100</v>
      </c>
      <c r="V33" s="1464" t="s">
        <v>8</v>
      </c>
      <c r="W33" s="1465">
        <f t="shared" si="14"/>
        <v>100</v>
      </c>
      <c r="X33" s="1458"/>
      <c r="Y33" s="3756"/>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756"/>
      <c r="Q34" s="1463">
        <f t="shared" si="11"/>
        <v>111</v>
      </c>
      <c r="R34" s="1464" t="s">
        <v>8</v>
      </c>
      <c r="S34" s="1465">
        <f t="shared" si="12"/>
        <v>100</v>
      </c>
      <c r="T34" s="1464" t="s">
        <v>8</v>
      </c>
      <c r="U34" s="1465">
        <f t="shared" si="13"/>
        <v>100</v>
      </c>
      <c r="V34" s="1464" t="s">
        <v>8</v>
      </c>
      <c r="W34" s="1465">
        <f t="shared" si="14"/>
        <v>100</v>
      </c>
      <c r="X34" s="1458"/>
      <c r="Y34" s="3756"/>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756"/>
      <c r="Q35" s="1492">
        <f t="shared" si="11"/>
        <v>111</v>
      </c>
      <c r="R35" s="1468" t="s">
        <v>8</v>
      </c>
      <c r="S35" s="1469">
        <f t="shared" si="12"/>
        <v>100</v>
      </c>
      <c r="T35" s="1468" t="s">
        <v>8</v>
      </c>
      <c r="U35" s="1469">
        <f t="shared" si="13"/>
        <v>100</v>
      </c>
      <c r="V35" s="1468" t="s">
        <v>8</v>
      </c>
      <c r="W35" s="1469">
        <f t="shared" si="14"/>
        <v>100</v>
      </c>
      <c r="X35" s="1470"/>
      <c r="Y35" s="3756"/>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756"/>
      <c r="Q36" s="1463">
        <f t="shared" si="11"/>
        <v>111</v>
      </c>
      <c r="R36" s="1464" t="s">
        <v>8</v>
      </c>
      <c r="S36" s="1465">
        <f t="shared" si="12"/>
        <v>100</v>
      </c>
      <c r="T36" s="1464" t="s">
        <v>8</v>
      </c>
      <c r="U36" s="1465">
        <f t="shared" si="13"/>
        <v>100</v>
      </c>
      <c r="V36" s="1464" t="s">
        <v>8</v>
      </c>
      <c r="W36" s="1465">
        <f t="shared" si="14"/>
        <v>100</v>
      </c>
      <c r="X36" s="1458"/>
      <c r="Y36" s="3756"/>
      <c r="Z36" s="1466">
        <f t="shared" si="15"/>
        <v>111</v>
      </c>
      <c r="AA36" s="1467">
        <f t="shared" si="3"/>
        <v>1</v>
      </c>
      <c r="AB36" s="1467">
        <f t="shared" si="4"/>
        <v>1</v>
      </c>
      <c r="AC36" s="1467">
        <f t="shared" si="5"/>
        <v>1</v>
      </c>
    </row>
    <row r="37" spans="1:29" ht="15">
      <c r="A37" s="1715" t="s">
        <v>1866</v>
      </c>
      <c r="B37" s="1716" t="s">
        <v>1867</v>
      </c>
      <c r="C37" s="2392" t="s">
        <v>1</v>
      </c>
      <c r="D37" s="2393"/>
      <c r="E37" s="2394"/>
      <c r="F37" s="2395"/>
      <c r="G37" s="2396"/>
      <c r="H37" s="2397"/>
      <c r="I37" s="2394"/>
      <c r="J37" s="2397"/>
      <c r="K37" s="1497"/>
      <c r="L37" s="1980"/>
      <c r="M37" s="1981"/>
      <c r="N37" s="1970"/>
      <c r="O37" s="1981"/>
      <c r="P37" s="3720" t="str">
        <f>A37</f>
        <v>成交单价</v>
      </c>
      <c r="Q37" s="3720"/>
      <c r="R37" s="3849">
        <f>E37</f>
        <v>0</v>
      </c>
      <c r="S37" s="3849"/>
      <c r="T37" s="3849">
        <f>G37</f>
        <v>0</v>
      </c>
      <c r="U37" s="3849"/>
      <c r="V37" s="3849">
        <f>I37</f>
        <v>0</v>
      </c>
      <c r="W37" s="3849"/>
      <c r="X37" s="1453"/>
      <c r="Y37" s="1472"/>
      <c r="Z37" s="1453"/>
      <c r="AA37" s="1453"/>
      <c r="AB37" s="1453"/>
      <c r="AC37" s="1453"/>
    </row>
    <row r="38" spans="1:29" ht="15.75" thickBot="1">
      <c r="A38" s="592" t="s">
        <v>2474</v>
      </c>
      <c r="B38" s="860"/>
      <c r="C38" s="2398" t="e">
        <f>R39</f>
        <v>#DIV/0!</v>
      </c>
      <c r="D38" s="2922" t="s">
        <v>2691</v>
      </c>
      <c r="E38" s="2399" t="e">
        <f>R38</f>
        <v>#DIV/0!</v>
      </c>
      <c r="F38" s="2923"/>
      <c r="G38" s="2398" t="e">
        <f>T38</f>
        <v>#DIV/0!</v>
      </c>
      <c r="H38" s="2923"/>
      <c r="I38" s="2399" t="e">
        <f>V38</f>
        <v>#DIV/0!</v>
      </c>
      <c r="J38" s="2923"/>
      <c r="K38" s="2931">
        <f>F38+H38+J38</f>
        <v>0</v>
      </c>
      <c r="L38" s="1980"/>
      <c r="M38" s="1981"/>
      <c r="N38" s="1981"/>
      <c r="O38" s="1981"/>
      <c r="P38" s="3720" t="str">
        <f>A38</f>
        <v>比较价格（元/平方米）</v>
      </c>
      <c r="Q38" s="3720"/>
      <c r="R38" s="3849" t="e">
        <f>IF(F1="售价",ROUND(PRODUCT(R37,AA7:AA36),0),ROUND(PRODUCT(R37,AA7:AA36),1))</f>
        <v>#DIV/0!</v>
      </c>
      <c r="S38" s="3849"/>
      <c r="T38" s="3849" t="e">
        <f>IF(F1="售价",ROUND(PRODUCT(T37,AB7:AB36),0),ROUND(PRODUCT(T37,AB7:AB36),1))</f>
        <v>#DIV/0!</v>
      </c>
      <c r="U38" s="3849"/>
      <c r="V38" s="3849" t="e">
        <f>IF(F1="售价",ROUND(PRODUCT(V37,AC7:AC36),0),ROUND(PRODUCT(V37,AC7:AC36),1))</f>
        <v>#DIV/0!</v>
      </c>
      <c r="W38" s="3849"/>
      <c r="X38" s="1453"/>
      <c r="Y38" s="1453"/>
      <c r="Z38" s="1453"/>
      <c r="AA38" s="1453"/>
      <c r="AB38" s="1453"/>
      <c r="AC38" s="1453"/>
    </row>
    <row r="39" spans="1:29" ht="15.75" thickBot="1">
      <c r="A39" s="596" t="s">
        <v>2626</v>
      </c>
      <c r="B39" s="597"/>
      <c r="C39" s="2400" t="e">
        <f>R39</f>
        <v>#DIV/0!</v>
      </c>
      <c r="D39" s="2400"/>
      <c r="E39" s="2400"/>
      <c r="F39" s="2400"/>
      <c r="G39" s="2400"/>
      <c r="H39" s="2400"/>
      <c r="I39" s="2400"/>
      <c r="J39" s="2400"/>
      <c r="K39" s="1498"/>
      <c r="L39" s="1980"/>
      <c r="M39" s="1981"/>
      <c r="N39" s="1981"/>
      <c r="O39" s="1981"/>
      <c r="P39" s="3757" t="str">
        <f>A39</f>
        <v>估价对象XX用房的比较价格（楼面单价，元/平方米）</v>
      </c>
      <c r="Q39" s="3758"/>
      <c r="R39" s="3848" t="e">
        <f>IF(F1="售价",ROUND(IF(D38="简单平均",AVERAGE(R38:W38),R38*F38+T38*H38+V38*J38),0),ROUND(IF(D38="简单平均",AVERAGE(R38:V38),R38*F38+T38*H38+V38*J38),1))</f>
        <v>#DIV/0!</v>
      </c>
      <c r="S39" s="3848"/>
      <c r="T39" s="3848"/>
      <c r="U39" s="3848"/>
      <c r="V39" s="3848"/>
      <c r="W39" s="3848"/>
      <c r="X39" s="1453"/>
      <c r="Y39" s="1453"/>
      <c r="Z39" s="1453"/>
      <c r="AA39" s="1453"/>
      <c r="AB39" s="1453"/>
      <c r="AC39" s="1453"/>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4"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4"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5" t="s">
        <v>556</v>
      </c>
      <c r="B47" s="1453"/>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6" customFormat="1" ht="15">
      <c r="A48" s="620" t="s">
        <v>512</v>
      </c>
      <c r="B48" s="621"/>
      <c r="C48" s="2441" t="str">
        <f>YEAR(C7)&amp;"-"&amp;MONTH(C7)</f>
        <v>2022-5</v>
      </c>
      <c r="D48" s="2443">
        <f>EDATE(C48,-1)</f>
        <v>44652</v>
      </c>
      <c r="E48" s="2443">
        <f t="shared" ref="E48:O48" si="16">EDATE(D48,-1)</f>
        <v>44621</v>
      </c>
      <c r="F48" s="2443">
        <f t="shared" si="16"/>
        <v>44593</v>
      </c>
      <c r="G48" s="2443">
        <f t="shared" si="16"/>
        <v>44562</v>
      </c>
      <c r="H48" s="2443">
        <f t="shared" si="16"/>
        <v>44531</v>
      </c>
      <c r="I48" s="2443">
        <f t="shared" si="16"/>
        <v>44501</v>
      </c>
      <c r="J48" s="2443">
        <f t="shared" si="16"/>
        <v>44470</v>
      </c>
      <c r="K48" s="2443">
        <f t="shared" si="16"/>
        <v>44440</v>
      </c>
      <c r="L48" s="2443">
        <f t="shared" si="16"/>
        <v>44409</v>
      </c>
      <c r="M48" s="2443">
        <f t="shared" si="16"/>
        <v>44378</v>
      </c>
      <c r="N48" s="2443">
        <f t="shared" si="16"/>
        <v>44348</v>
      </c>
      <c r="O48" s="2443">
        <f t="shared" si="16"/>
        <v>44317</v>
      </c>
      <c r="P48" s="1995"/>
      <c r="Q48" s="1996"/>
      <c r="R48" s="1996"/>
      <c r="S48" s="1996"/>
      <c r="T48" s="1996"/>
      <c r="U48" s="1996"/>
      <c r="V48" s="1996"/>
      <c r="W48" s="1996"/>
      <c r="X48" s="1996"/>
      <c r="Y48" s="1996"/>
      <c r="Z48" s="1996"/>
      <c r="AA48" s="1996"/>
      <c r="AB48" s="1996"/>
      <c r="AC48" s="1996"/>
    </row>
    <row r="49" spans="1:29" s="1167"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7"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7"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7"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7">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9"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9"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9"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9"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2272</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2273</v>
      </c>
      <c r="C67" s="2364" t="s">
        <v>2274</v>
      </c>
      <c r="D67" s="2364" t="s">
        <v>2275</v>
      </c>
      <c r="E67" s="2364" t="s">
        <v>2276</v>
      </c>
      <c r="F67" s="2364" t="s">
        <v>2277</v>
      </c>
      <c r="G67" s="2364" t="s">
        <v>2278</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7" customFormat="1" ht="15.75" thickTop="1">
      <c r="A73" s="684"/>
      <c r="B73" s="648">
        <f>B23</f>
        <v>111</v>
      </c>
      <c r="C73" s="518"/>
      <c r="D73" s="518"/>
      <c r="E73" s="518"/>
      <c r="F73" s="518"/>
      <c r="G73" s="663"/>
      <c r="H73" s="663"/>
      <c r="I73" s="663"/>
      <c r="J73" s="663"/>
      <c r="K73" s="663"/>
      <c r="L73" s="862"/>
      <c r="M73" s="863"/>
      <c r="N73" s="1997"/>
      <c r="O73" s="1997"/>
      <c r="P73" s="2000"/>
      <c r="Q73" s="1993"/>
      <c r="R73" s="1859"/>
      <c r="S73" s="1859"/>
      <c r="T73" s="1859"/>
      <c r="U73" s="1859"/>
      <c r="V73" s="1859"/>
      <c r="W73" s="1859"/>
      <c r="X73" s="1859"/>
      <c r="Y73" s="1859"/>
      <c r="Z73" s="1859"/>
      <c r="AA73" s="1859"/>
      <c r="AB73" s="1859"/>
      <c r="AC73" s="1859"/>
    </row>
    <row r="74" spans="1:29" s="1167"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7" customFormat="1" ht="15.75" thickTop="1">
      <c r="A75" s="684"/>
      <c r="B75" s="648">
        <f>B24</f>
        <v>111</v>
      </c>
      <c r="C75" s="518"/>
      <c r="D75" s="518"/>
      <c r="E75" s="518"/>
      <c r="F75" s="518"/>
      <c r="G75" s="663"/>
      <c r="H75" s="663"/>
      <c r="I75" s="663"/>
      <c r="J75" s="663"/>
      <c r="K75" s="663"/>
      <c r="L75" s="663"/>
      <c r="M75" s="863"/>
      <c r="N75" s="1997"/>
      <c r="O75" s="1997"/>
      <c r="P75" s="2000"/>
      <c r="Q75" s="1993"/>
      <c r="R75" s="1859"/>
      <c r="S75" s="1859"/>
      <c r="T75" s="1859"/>
      <c r="U75" s="1859"/>
      <c r="V75" s="1859"/>
      <c r="W75" s="1859"/>
      <c r="X75" s="1859"/>
      <c r="Y75" s="1859"/>
      <c r="Z75" s="1859"/>
      <c r="AA75" s="1859"/>
      <c r="AB75" s="1859"/>
      <c r="AC75" s="1859"/>
    </row>
    <row r="76" spans="1:29" s="1167"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9"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9"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8"/>
      <c r="D81" s="908"/>
      <c r="E81" s="908"/>
      <c r="F81" s="908"/>
      <c r="G81" s="908"/>
      <c r="H81" s="908"/>
      <c r="I81" s="908"/>
      <c r="J81" s="908"/>
      <c r="K81" s="909"/>
      <c r="L81" s="910"/>
      <c r="M81" s="911"/>
      <c r="N81" s="1997"/>
      <c r="O81" s="1997"/>
      <c r="P81" s="2000"/>
      <c r="Q81" s="1993"/>
      <c r="R81" s="1981"/>
      <c r="S81" s="1981"/>
      <c r="T81" s="1981"/>
      <c r="U81" s="1981"/>
      <c r="V81" s="1981"/>
      <c r="W81" s="1981"/>
      <c r="X81" s="1981"/>
      <c r="Y81" s="1981"/>
      <c r="Z81" s="1981"/>
      <c r="AA81" s="1981"/>
      <c r="AB81" s="1981"/>
      <c r="AC81" s="1981"/>
    </row>
    <row r="82" spans="1:29" s="1249"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6">
        <v>0.5</v>
      </c>
      <c r="D86" s="866">
        <v>0.6</v>
      </c>
      <c r="E86" s="866">
        <v>0.7</v>
      </c>
      <c r="F86" s="866">
        <v>0.8</v>
      </c>
      <c r="G86" s="866">
        <v>0.9</v>
      </c>
      <c r="H86" s="866">
        <v>1.0001</v>
      </c>
      <c r="I86" s="877"/>
      <c r="J86" s="877"/>
      <c r="K86" s="878"/>
      <c r="L86" s="879"/>
      <c r="M86" s="880"/>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9"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9"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9">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9"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9"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6"/>
      <c r="G1" s="1488"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26" t="s">
        <v>780</v>
      </c>
      <c r="D4" s="3727"/>
      <c r="E4" s="3761" t="s">
        <v>781</v>
      </c>
      <c r="F4" s="3762"/>
      <c r="G4" s="3726" t="s">
        <v>782</v>
      </c>
      <c r="H4" s="3727"/>
      <c r="I4" s="3726" t="s">
        <v>783</v>
      </c>
      <c r="J4" s="3727"/>
      <c r="K4" s="491" t="s">
        <v>784</v>
      </c>
      <c r="L4" s="1969"/>
      <c r="M4" s="1970"/>
      <c r="N4" s="1970"/>
      <c r="O4" s="1970"/>
      <c r="P4" s="3728" t="s">
        <v>785</v>
      </c>
      <c r="Q4" s="3729"/>
      <c r="R4" s="3734" t="s">
        <v>781</v>
      </c>
      <c r="S4" s="3735"/>
      <c r="T4" s="3734" t="s">
        <v>782</v>
      </c>
      <c r="U4" s="3735"/>
      <c r="V4" s="3721" t="s">
        <v>783</v>
      </c>
      <c r="W4" s="3721"/>
      <c r="X4" s="1458"/>
      <c r="Y4" s="3734" t="s">
        <v>785</v>
      </c>
      <c r="Z4" s="3735"/>
      <c r="AA4" s="3723" t="s">
        <v>781</v>
      </c>
      <c r="AB4" s="3724" t="s">
        <v>782</v>
      </c>
      <c r="AC4" s="3723" t="s">
        <v>783</v>
      </c>
    </row>
    <row r="5" spans="1:29" ht="15">
      <c r="A5" s="492"/>
      <c r="B5" s="493"/>
      <c r="C5" s="3742" t="s">
        <v>2620</v>
      </c>
      <c r="D5" s="3743"/>
      <c r="E5" s="3763" t="s">
        <v>2621</v>
      </c>
      <c r="F5" s="3764"/>
      <c r="G5" s="3742" t="s">
        <v>2622</v>
      </c>
      <c r="H5" s="3743"/>
      <c r="I5" s="3742" t="s">
        <v>2623</v>
      </c>
      <c r="J5" s="3743"/>
      <c r="K5" s="491"/>
      <c r="L5" s="1969"/>
      <c r="M5" s="1970"/>
      <c r="N5" s="1970"/>
      <c r="O5" s="1970"/>
      <c r="P5" s="3730"/>
      <c r="Q5" s="3731"/>
      <c r="R5" s="3736"/>
      <c r="S5" s="3737"/>
      <c r="T5" s="3736"/>
      <c r="U5" s="3737"/>
      <c r="V5" s="3721"/>
      <c r="W5" s="3721"/>
      <c r="X5" s="1458"/>
      <c r="Y5" s="3736"/>
      <c r="Z5" s="3737"/>
      <c r="AA5" s="3724"/>
      <c r="AB5" s="3724"/>
      <c r="AC5" s="3724"/>
    </row>
    <row r="6" spans="1:29" ht="15.75" thickBot="1">
      <c r="A6" s="494"/>
      <c r="B6" s="495"/>
      <c r="C6" s="3740" t="s">
        <v>2624</v>
      </c>
      <c r="D6" s="3741"/>
      <c r="E6" s="3759" t="s">
        <v>2624</v>
      </c>
      <c r="F6" s="3760"/>
      <c r="G6" s="3740" t="s">
        <v>2624</v>
      </c>
      <c r="H6" s="3741"/>
      <c r="I6" s="3740" t="s">
        <v>2624</v>
      </c>
      <c r="J6" s="3741"/>
      <c r="K6" s="491" t="s">
        <v>511</v>
      </c>
      <c r="L6" s="1969"/>
      <c r="M6" s="1970"/>
      <c r="N6" s="1970"/>
      <c r="O6" s="1970"/>
      <c r="P6" s="3732"/>
      <c r="Q6" s="3733"/>
      <c r="R6" s="3736"/>
      <c r="S6" s="3737"/>
      <c r="T6" s="3738"/>
      <c r="U6" s="3739"/>
      <c r="V6" s="3721"/>
      <c r="W6" s="3721"/>
      <c r="X6" s="1458"/>
      <c r="Y6" s="3738"/>
      <c r="Z6" s="3739"/>
      <c r="AA6" s="3725"/>
      <c r="AB6" s="3725"/>
      <c r="AC6" s="3725"/>
    </row>
    <row r="7" spans="1:29" s="1167" customFormat="1" ht="15.75" thickBot="1">
      <c r="A7" s="2551"/>
      <c r="B7" s="2558" t="s">
        <v>512</v>
      </c>
      <c r="C7" s="496">
        <f>'数据-取费表'!B2</f>
        <v>44705</v>
      </c>
      <c r="D7" s="497">
        <v>100</v>
      </c>
      <c r="E7" s="498"/>
      <c r="F7" s="499">
        <f>SUMIF(46:46,YEAR(E7)&amp;"-"&amp;MONTH(E7),47:47)</f>
        <v>0</v>
      </c>
      <c r="G7" s="500"/>
      <c r="H7" s="497">
        <f>SUMIF(46:46,YEAR(G7)&amp;"-"&amp;MONTH(G7),47:47)</f>
        <v>0</v>
      </c>
      <c r="I7" s="500"/>
      <c r="J7" s="497">
        <f>SUMIF(46:46,YEAR(I7)&amp;"-"&amp;MONTH(I7),47:47)</f>
        <v>0</v>
      </c>
      <c r="K7" s="501"/>
      <c r="L7" s="1971"/>
      <c r="M7" s="1972"/>
      <c r="N7" s="1972"/>
      <c r="O7" s="1972"/>
      <c r="P7" s="3750" t="s">
        <v>513</v>
      </c>
      <c r="Q7" s="3752"/>
      <c r="R7" s="1459" t="s">
        <v>8</v>
      </c>
      <c r="S7" s="1460">
        <f t="shared" ref="S7:S14" si="0">F7</f>
        <v>0</v>
      </c>
      <c r="T7" s="1459" t="s">
        <v>8</v>
      </c>
      <c r="U7" s="1460">
        <f t="shared" ref="U7:U14" si="1">H7</f>
        <v>0</v>
      </c>
      <c r="V7" s="1459" t="s">
        <v>8</v>
      </c>
      <c r="W7" s="1460">
        <f t="shared" ref="W7:W14" si="2">J7</f>
        <v>0</v>
      </c>
      <c r="X7" s="1461"/>
      <c r="Y7" s="3750" t="s">
        <v>513</v>
      </c>
      <c r="Z7" s="3751"/>
      <c r="AA7" s="1462" t="e">
        <f>D7/F7</f>
        <v>#DIV/0!</v>
      </c>
      <c r="AB7" s="1462" t="e">
        <f>D7/H7</f>
        <v>#DIV/0!</v>
      </c>
      <c r="AC7" s="1462" t="e">
        <f>D7/J7</f>
        <v>#DIV/0!</v>
      </c>
    </row>
    <row r="8" spans="1:29" s="1167"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750" t="s">
        <v>516</v>
      </c>
      <c r="Q8" s="3751"/>
      <c r="R8" s="1459" t="s">
        <v>8</v>
      </c>
      <c r="S8" s="1460">
        <f t="shared" si="0"/>
        <v>0</v>
      </c>
      <c r="T8" s="1459" t="s">
        <v>8</v>
      </c>
      <c r="U8" s="1460">
        <f t="shared" si="1"/>
        <v>0</v>
      </c>
      <c r="V8" s="1459" t="s">
        <v>8</v>
      </c>
      <c r="W8" s="1460">
        <f t="shared" si="2"/>
        <v>0</v>
      </c>
      <c r="X8" s="1461"/>
      <c r="Y8" s="3750" t="s">
        <v>516</v>
      </c>
      <c r="Z8" s="3751"/>
      <c r="AA8" s="1462" t="e">
        <f t="shared" ref="AA8:AA34" si="3">D8/F8</f>
        <v>#DIV/0!</v>
      </c>
      <c r="AB8" s="1462" t="e">
        <f t="shared" ref="AB8:AB34" si="4">D8/H8</f>
        <v>#DIV/0!</v>
      </c>
      <c r="AC8" s="1462" t="e">
        <f t="shared" ref="AC8:AC34" si="5">D8/J8</f>
        <v>#DIV/0!</v>
      </c>
    </row>
    <row r="9" spans="1:29" s="1167" customFormat="1" ht="15">
      <c r="A9" s="2553"/>
      <c r="B9" s="2560" t="s">
        <v>2470</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720" t="s">
        <v>518</v>
      </c>
      <c r="Q9" s="1098" t="str">
        <f t="shared" ref="Q9:Q14" si="6">B9</f>
        <v>用途</v>
      </c>
      <c r="R9" s="1459" t="s">
        <v>8</v>
      </c>
      <c r="S9" s="1460">
        <f t="shared" si="0"/>
        <v>100</v>
      </c>
      <c r="T9" s="1459" t="s">
        <v>8</v>
      </c>
      <c r="U9" s="1460">
        <f t="shared" si="1"/>
        <v>100</v>
      </c>
      <c r="V9" s="1459" t="s">
        <v>8</v>
      </c>
      <c r="W9" s="1460">
        <f t="shared" si="2"/>
        <v>100</v>
      </c>
      <c r="X9" s="1461"/>
      <c r="Y9" s="3651" t="s">
        <v>519</v>
      </c>
      <c r="Z9" s="1097" t="str">
        <f t="shared" ref="Z9:Z14" si="7">Q9</f>
        <v>用途</v>
      </c>
      <c r="AA9" s="1462">
        <f t="shared" si="3"/>
        <v>1</v>
      </c>
      <c r="AB9" s="1462">
        <f t="shared" si="4"/>
        <v>1</v>
      </c>
      <c r="AC9" s="1462">
        <f t="shared" si="5"/>
        <v>1</v>
      </c>
    </row>
    <row r="10" spans="1:29" s="1248" customFormat="1" ht="27">
      <c r="A10" s="2554"/>
      <c r="B10" s="2559" t="s">
        <v>2471</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720"/>
      <c r="Q10" s="1098" t="str">
        <f t="shared" si="6"/>
        <v>土地使用年限（年）</v>
      </c>
      <c r="R10" s="1459" t="s">
        <v>8</v>
      </c>
      <c r="S10" s="1460">
        <f t="shared" si="0"/>
        <v>100</v>
      </c>
      <c r="T10" s="1459" t="s">
        <v>8</v>
      </c>
      <c r="U10" s="1460">
        <f t="shared" si="1"/>
        <v>100</v>
      </c>
      <c r="V10" s="1459" t="s">
        <v>8</v>
      </c>
      <c r="W10" s="1460">
        <f t="shared" si="2"/>
        <v>100</v>
      </c>
      <c r="X10" s="1461"/>
      <c r="Y10" s="3651"/>
      <c r="Z10" s="1097" t="str">
        <f t="shared" si="7"/>
        <v>土地使用年限（年）</v>
      </c>
      <c r="AA10" s="1462">
        <f t="shared" si="3"/>
        <v>1</v>
      </c>
      <c r="AB10" s="1462">
        <f t="shared" si="4"/>
        <v>1</v>
      </c>
      <c r="AC10" s="1462">
        <f t="shared" si="5"/>
        <v>1</v>
      </c>
    </row>
    <row r="11" spans="1:29" ht="15">
      <c r="A11" s="2556"/>
      <c r="B11" s="2562">
        <v>111</v>
      </c>
      <c r="C11" s="505"/>
      <c r="D11" s="253">
        <v>100</v>
      </c>
      <c r="E11" s="852"/>
      <c r="F11" s="253">
        <f>SUMIF(55:55,E11,56:56)-SUMIF(55:55,C11,56:56)+100</f>
        <v>100</v>
      </c>
      <c r="G11" s="852"/>
      <c r="H11" s="253">
        <f>SUMIF(55:55,G11,56:56)-SUMIF(55:55,C11,56:56)+100</f>
        <v>100</v>
      </c>
      <c r="I11" s="852"/>
      <c r="J11" s="253">
        <f>SUMIF(55:55,I11,56:56)-SUMIF(55:55,C11,56:56)+100</f>
        <v>100</v>
      </c>
      <c r="K11" s="558"/>
      <c r="L11" s="1976"/>
      <c r="M11" s="1970"/>
      <c r="N11" s="1970"/>
      <c r="O11" s="1977"/>
      <c r="P11" s="3720"/>
      <c r="Q11" s="1098">
        <f t="shared" si="6"/>
        <v>111</v>
      </c>
      <c r="R11" s="1459" t="s">
        <v>8</v>
      </c>
      <c r="S11" s="1460">
        <f t="shared" si="0"/>
        <v>100</v>
      </c>
      <c r="T11" s="1459" t="s">
        <v>8</v>
      </c>
      <c r="U11" s="1460">
        <f t="shared" si="1"/>
        <v>100</v>
      </c>
      <c r="V11" s="1459" t="s">
        <v>8</v>
      </c>
      <c r="W11" s="1460">
        <f t="shared" si="2"/>
        <v>100</v>
      </c>
      <c r="X11" s="1461"/>
      <c r="Y11" s="3651"/>
      <c r="Z11" s="1097">
        <f t="shared" si="7"/>
        <v>111</v>
      </c>
      <c r="AA11" s="1462">
        <f t="shared" si="3"/>
        <v>1</v>
      </c>
      <c r="AB11" s="1462">
        <f t="shared" si="4"/>
        <v>1</v>
      </c>
      <c r="AC11" s="1462">
        <f t="shared" si="5"/>
        <v>1</v>
      </c>
    </row>
    <row r="12" spans="1:29" s="1167" customFormat="1" ht="15">
      <c r="A12" s="2556"/>
      <c r="B12" s="2562">
        <v>111</v>
      </c>
      <c r="C12" s="505"/>
      <c r="D12" s="515">
        <v>100</v>
      </c>
      <c r="E12" s="852"/>
      <c r="F12" s="253">
        <f>SUMIF(57:57,E12,58:58)-SUMIF(57:57,C12,58:58)+100</f>
        <v>100</v>
      </c>
      <c r="G12" s="852"/>
      <c r="H12" s="253">
        <f>SUMIF(57:57,G12,58:58)-SUMIF(57:57,C12,58:58)+100</f>
        <v>100</v>
      </c>
      <c r="I12" s="852"/>
      <c r="J12" s="253">
        <f>SUMIF(57:57,I12,58:58)-SUMIF(57:57,C12,58:58)+100</f>
        <v>100</v>
      </c>
      <c r="K12" s="558"/>
      <c r="L12" s="1971"/>
      <c r="M12" s="1972"/>
      <c r="N12" s="1972"/>
      <c r="O12" s="1973"/>
      <c r="P12" s="3720"/>
      <c r="Q12" s="1098">
        <f t="shared" si="6"/>
        <v>111</v>
      </c>
      <c r="R12" s="1459" t="s">
        <v>8</v>
      </c>
      <c r="S12" s="1460">
        <f t="shared" si="0"/>
        <v>100</v>
      </c>
      <c r="T12" s="1459" t="s">
        <v>8</v>
      </c>
      <c r="U12" s="1460">
        <f t="shared" si="1"/>
        <v>100</v>
      </c>
      <c r="V12" s="1459" t="s">
        <v>8</v>
      </c>
      <c r="W12" s="1460">
        <f t="shared" si="2"/>
        <v>100</v>
      </c>
      <c r="X12" s="1461"/>
      <c r="Y12" s="3651"/>
      <c r="Z12" s="1097">
        <f t="shared" si="7"/>
        <v>111</v>
      </c>
      <c r="AA12" s="1462">
        <f>D12/F12</f>
        <v>1</v>
      </c>
      <c r="AB12" s="1462">
        <f>D12/H12</f>
        <v>1</v>
      </c>
      <c r="AC12" s="1462">
        <f>D12/J12</f>
        <v>1</v>
      </c>
    </row>
    <row r="13" spans="1:29" ht="15.75" thickBot="1">
      <c r="A13" s="2557"/>
      <c r="B13" s="2563">
        <v>111</v>
      </c>
      <c r="C13" s="516"/>
      <c r="D13" s="517">
        <v>100</v>
      </c>
      <c r="E13" s="852"/>
      <c r="F13" s="253">
        <f>SUMIF(59:59,E13,60:60)-SUMIF(59:59,C13,60:60)+100</f>
        <v>100</v>
      </c>
      <c r="G13" s="852"/>
      <c r="H13" s="517">
        <f>SUMIF(59:59,G13,60:60)-SUMIF(59:59,C13,60:60)+100</f>
        <v>100</v>
      </c>
      <c r="I13" s="852"/>
      <c r="J13" s="517">
        <f>SUMIF(59:59,I13,60:60)-SUMIF(59:59,C13,60:60)+100</f>
        <v>100</v>
      </c>
      <c r="K13" s="558"/>
      <c r="L13" s="1978"/>
      <c r="M13" s="1970"/>
      <c r="N13" s="1970"/>
      <c r="O13" s="1977"/>
      <c r="P13" s="3720"/>
      <c r="Q13" s="1098">
        <f t="shared" si="6"/>
        <v>111</v>
      </c>
      <c r="R13" s="1459" t="s">
        <v>8</v>
      </c>
      <c r="S13" s="1460">
        <f t="shared" si="0"/>
        <v>100</v>
      </c>
      <c r="T13" s="1459" t="s">
        <v>8</v>
      </c>
      <c r="U13" s="1460">
        <f t="shared" si="1"/>
        <v>100</v>
      </c>
      <c r="V13" s="1459" t="s">
        <v>8</v>
      </c>
      <c r="W13" s="1460">
        <f t="shared" si="2"/>
        <v>100</v>
      </c>
      <c r="X13" s="1461"/>
      <c r="Y13" s="3651"/>
      <c r="Z13" s="1097">
        <f t="shared" si="7"/>
        <v>111</v>
      </c>
      <c r="AA13" s="1462">
        <f t="shared" si="3"/>
        <v>1</v>
      </c>
      <c r="AB13" s="1462">
        <f t="shared" si="4"/>
        <v>1</v>
      </c>
      <c r="AC13" s="1462">
        <f t="shared" si="5"/>
        <v>1</v>
      </c>
    </row>
    <row r="14" spans="1:29" ht="15">
      <c r="A14" s="2549" t="s">
        <v>2468</v>
      </c>
      <c r="B14" s="164" t="s">
        <v>526</v>
      </c>
      <c r="C14" s="893" t="str">
        <f>IF(B1="工业",估价对象房地状况!G4,估价对象房地状况!C6)</f>
        <v>一般</v>
      </c>
      <c r="D14" s="526">
        <v>100</v>
      </c>
      <c r="E14" s="527"/>
      <c r="F14" s="528">
        <f>SUMIF(61:61,E15,62:62)-SUMIF(61:61,C15,62:62)+100</f>
        <v>100</v>
      </c>
      <c r="G14" s="529"/>
      <c r="H14" s="526">
        <f>SUMIF(61:61,G15,62:62)-SUMIF(61:61,C15,62:62)+100</f>
        <v>100</v>
      </c>
      <c r="I14" s="527"/>
      <c r="J14" s="526">
        <f>SUMIF(61:61,I15,62:62)-SUMIF(61:61,C15,62:62)+100</f>
        <v>100</v>
      </c>
      <c r="K14" s="870"/>
      <c r="L14" s="1978"/>
      <c r="M14" s="1970"/>
      <c r="N14" s="1970"/>
      <c r="O14" s="1977"/>
      <c r="P14" s="3753" t="s">
        <v>523</v>
      </c>
      <c r="Q14" s="1463" t="str">
        <f t="shared" si="6"/>
        <v>交通便捷度</v>
      </c>
      <c r="R14" s="1464" t="s">
        <v>8</v>
      </c>
      <c r="S14" s="1465">
        <f t="shared" si="0"/>
        <v>100</v>
      </c>
      <c r="T14" s="1464" t="s">
        <v>8</v>
      </c>
      <c r="U14" s="1465">
        <f t="shared" si="1"/>
        <v>100</v>
      </c>
      <c r="V14" s="1464" t="s">
        <v>8</v>
      </c>
      <c r="W14" s="1465">
        <f t="shared" si="2"/>
        <v>100</v>
      </c>
      <c r="X14" s="1458"/>
      <c r="Y14" s="3753"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8"/>
      <c r="M15" s="1970"/>
      <c r="N15" s="1970"/>
      <c r="O15" s="1977"/>
      <c r="P15" s="3754"/>
      <c r="Q15" s="1463"/>
      <c r="R15" s="1464"/>
      <c r="S15" s="1465"/>
      <c r="T15" s="1464"/>
      <c r="U15" s="1465"/>
      <c r="V15" s="1464"/>
      <c r="W15" s="1465"/>
      <c r="X15" s="1458"/>
      <c r="Y15" s="3754"/>
      <c r="Z15" s="1466"/>
      <c r="AA15" s="1467">
        <v>1</v>
      </c>
      <c r="AB15" s="1467">
        <v>1</v>
      </c>
      <c r="AC15" s="1467">
        <v>1</v>
      </c>
    </row>
    <row r="16" spans="1:29" ht="15">
      <c r="A16" s="509"/>
      <c r="B16" s="2369" t="s">
        <v>2261</v>
      </c>
      <c r="C16" s="844" t="str">
        <f>IF(B1="工业",估价对象房地状况!G5,估价对象房地状况!C7)</f>
        <v>一般</v>
      </c>
      <c r="D16" s="542">
        <v>100</v>
      </c>
      <c r="E16" s="547"/>
      <c r="F16" s="548">
        <f>SUMIF(63:63,E17,64:64)-SUMIF(63:63,C17,64:64)+100</f>
        <v>100</v>
      </c>
      <c r="G16" s="549"/>
      <c r="H16" s="542">
        <f>SUMIF(63:63,G17,64:64)-SUMIF(63:63,C17,64:64)+100</f>
        <v>100</v>
      </c>
      <c r="I16" s="547"/>
      <c r="J16" s="542">
        <f>SUMIF(63:63,I17,64:64)-SUMIF(63:63,C17,64:64)+100</f>
        <v>100</v>
      </c>
      <c r="K16" s="870"/>
      <c r="L16" s="1978"/>
      <c r="M16" s="1970"/>
      <c r="N16" s="1970"/>
      <c r="O16" s="1977"/>
      <c r="P16" s="3754"/>
      <c r="Q16" s="1463" t="str">
        <f>B16</f>
        <v>公共配套设施</v>
      </c>
      <c r="R16" s="1464" t="s">
        <v>8</v>
      </c>
      <c r="S16" s="1465">
        <f>F16</f>
        <v>100</v>
      </c>
      <c r="T16" s="1464" t="s">
        <v>8</v>
      </c>
      <c r="U16" s="1465">
        <f>H16</f>
        <v>100</v>
      </c>
      <c r="V16" s="1464" t="s">
        <v>8</v>
      </c>
      <c r="W16" s="1465">
        <f>J16</f>
        <v>100</v>
      </c>
      <c r="X16" s="1458"/>
      <c r="Y16" s="3754"/>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8"/>
      <c r="M17" s="1970"/>
      <c r="N17" s="1970"/>
      <c r="O17" s="1977"/>
      <c r="P17" s="3754"/>
      <c r="Q17" s="1463"/>
      <c r="R17" s="1464"/>
      <c r="S17" s="1465"/>
      <c r="T17" s="1464"/>
      <c r="U17" s="1465"/>
      <c r="V17" s="1464"/>
      <c r="W17" s="1465"/>
      <c r="X17" s="1458"/>
      <c r="Y17" s="3754"/>
      <c r="Z17" s="1466"/>
      <c r="AA17" s="1467">
        <v>1</v>
      </c>
      <c r="AB17" s="1467">
        <v>1</v>
      </c>
      <c r="AC17" s="1467">
        <v>1</v>
      </c>
    </row>
    <row r="18" spans="1:29" ht="15">
      <c r="A18" s="509"/>
      <c r="B18" s="2357" t="s">
        <v>2273</v>
      </c>
      <c r="C18" s="844" t="str">
        <f>IF(B1="工业",估价对象房地状况!G6,估价对象房地状况!C8)</f>
        <v>七通</v>
      </c>
      <c r="D18" s="536">
        <v>100</v>
      </c>
      <c r="E18" s="539"/>
      <c r="F18" s="540">
        <f>SUMIF(65:65,E19,66:66)-SUMIF(65:65,C19,66:66)+100</f>
        <v>100</v>
      </c>
      <c r="G18" s="541"/>
      <c r="H18" s="542">
        <f>SUMIF(65:65,G19,66:66)-SUMIF(65:65,C19,66:66)+100</f>
        <v>100</v>
      </c>
      <c r="I18" s="547"/>
      <c r="J18" s="542">
        <f>SUMIF(65:65,I19,66:66)-SUMIF(65:65,C19,66:66)+100</f>
        <v>100</v>
      </c>
      <c r="K18" s="870"/>
      <c r="L18" s="1978"/>
      <c r="M18" s="1970"/>
      <c r="N18" s="1970"/>
      <c r="O18" s="1977"/>
      <c r="P18" s="3754"/>
      <c r="Q18" s="2351" t="str">
        <f>B18</f>
        <v>基础设施水平</v>
      </c>
      <c r="R18" s="1464" t="s">
        <v>8</v>
      </c>
      <c r="S18" s="1465">
        <f>F18</f>
        <v>100</v>
      </c>
      <c r="T18" s="1464" t="s">
        <v>8</v>
      </c>
      <c r="U18" s="1465">
        <f>H18</f>
        <v>100</v>
      </c>
      <c r="V18" s="1464" t="s">
        <v>8</v>
      </c>
      <c r="W18" s="1465">
        <f>J18</f>
        <v>100</v>
      </c>
      <c r="X18" s="2353"/>
      <c r="Y18" s="3754"/>
      <c r="Z18" s="2352"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8"/>
      <c r="L19" s="1978"/>
      <c r="M19" s="1970"/>
      <c r="N19" s="1970"/>
      <c r="O19" s="1977"/>
      <c r="P19" s="3754"/>
      <c r="Q19" s="2351"/>
      <c r="R19" s="1464"/>
      <c r="S19" s="1465"/>
      <c r="T19" s="1464"/>
      <c r="U19" s="1465"/>
      <c r="V19" s="1464"/>
      <c r="W19" s="1465"/>
      <c r="X19" s="2353"/>
      <c r="Y19" s="3754"/>
      <c r="Z19" s="2352"/>
      <c r="AA19" s="1467">
        <v>1</v>
      </c>
      <c r="AB19" s="1467">
        <v>1</v>
      </c>
      <c r="AC19" s="1467">
        <v>1</v>
      </c>
    </row>
    <row r="20" spans="1:29" ht="15">
      <c r="A20" s="509"/>
      <c r="B20" s="843" t="s">
        <v>786</v>
      </c>
      <c r="C20" s="844" t="str">
        <f>IF(B1="工业",估价对象房地状况!G7,估价对象房地状况!C9)</f>
        <v>较好</v>
      </c>
      <c r="D20" s="542">
        <v>100</v>
      </c>
      <c r="E20" s="547"/>
      <c r="F20" s="548">
        <f>SUMIF(67:67,E21,68:68)-SUMIF(67:67,C21,68:68)+100</f>
        <v>100</v>
      </c>
      <c r="G20" s="549"/>
      <c r="H20" s="536">
        <f>SUMIF(67:67,G21,68:68)-SUMIF(67:67,C21,68:68)+100</f>
        <v>100</v>
      </c>
      <c r="I20" s="539"/>
      <c r="J20" s="536">
        <f>SUMIF(67:67,I21,68:68)-SUMIF(67:67,C21,68:68)+100</f>
        <v>100</v>
      </c>
      <c r="K20" s="870"/>
      <c r="L20" s="1978"/>
      <c r="M20" s="1970"/>
      <c r="N20" s="1970"/>
      <c r="O20" s="1977"/>
      <c r="P20" s="3754"/>
      <c r="Q20" s="1463" t="str">
        <f>B20</f>
        <v>自然及人文环境</v>
      </c>
      <c r="R20" s="1464" t="s">
        <v>8</v>
      </c>
      <c r="S20" s="1465">
        <f>F20</f>
        <v>100</v>
      </c>
      <c r="T20" s="1464" t="s">
        <v>8</v>
      </c>
      <c r="U20" s="1465">
        <f>H20</f>
        <v>100</v>
      </c>
      <c r="V20" s="1464" t="s">
        <v>8</v>
      </c>
      <c r="W20" s="1465">
        <f>J20</f>
        <v>100</v>
      </c>
      <c r="X20" s="1458"/>
      <c r="Y20" s="3754"/>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8"/>
      <c r="M21" s="1970"/>
      <c r="N21" s="1970"/>
      <c r="O21" s="1977"/>
      <c r="P21" s="3754"/>
      <c r="Q21" s="1463"/>
      <c r="R21" s="1464"/>
      <c r="S21" s="1465"/>
      <c r="T21" s="1464"/>
      <c r="U21" s="1465"/>
      <c r="V21" s="1464"/>
      <c r="W21" s="1465"/>
      <c r="X21" s="1458"/>
      <c r="Y21" s="3754"/>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754"/>
      <c r="Q22" s="1463" t="str">
        <f>B22</f>
        <v>楼层</v>
      </c>
      <c r="R22" s="1464" t="s">
        <v>8</v>
      </c>
      <c r="S22" s="1465">
        <f>F22</f>
        <v>100</v>
      </c>
      <c r="T22" s="1464" t="s">
        <v>8</v>
      </c>
      <c r="U22" s="1465">
        <f>H22</f>
        <v>100</v>
      </c>
      <c r="V22" s="1464" t="s">
        <v>8</v>
      </c>
      <c r="W22" s="1465">
        <f>J22</f>
        <v>100</v>
      </c>
      <c r="X22" s="1458"/>
      <c r="Y22" s="3754"/>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754"/>
      <c r="Q23" s="1463">
        <f>B23</f>
        <v>111</v>
      </c>
      <c r="R23" s="1464" t="s">
        <v>8</v>
      </c>
      <c r="S23" s="1465">
        <f>F23</f>
        <v>100</v>
      </c>
      <c r="T23" s="1464" t="s">
        <v>8</v>
      </c>
      <c r="U23" s="1465">
        <f>H23</f>
        <v>100</v>
      </c>
      <c r="V23" s="1464" t="s">
        <v>8</v>
      </c>
      <c r="W23" s="1465">
        <f>J23</f>
        <v>100</v>
      </c>
      <c r="X23" s="1458"/>
      <c r="Y23" s="3754"/>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754"/>
      <c r="Q24" s="1463">
        <f t="shared" ref="Q24:Q34" si="11">B24</f>
        <v>111</v>
      </c>
      <c r="R24" s="1464" t="s">
        <v>8</v>
      </c>
      <c r="S24" s="1465">
        <f>F24</f>
        <v>100</v>
      </c>
      <c r="T24" s="1464" t="s">
        <v>8</v>
      </c>
      <c r="U24" s="1465">
        <f>H24</f>
        <v>100</v>
      </c>
      <c r="V24" s="1464" t="s">
        <v>8</v>
      </c>
      <c r="W24" s="1465">
        <f>J24</f>
        <v>100</v>
      </c>
      <c r="X24" s="1458"/>
      <c r="Y24" s="3754"/>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1"/>
      <c r="M25" s="1972"/>
      <c r="N25" s="1972"/>
      <c r="O25" s="1973"/>
      <c r="P25" s="3754"/>
      <c r="Q25" s="1098">
        <f t="shared" si="11"/>
        <v>111</v>
      </c>
      <c r="R25" s="1459" t="s">
        <v>8</v>
      </c>
      <c r="S25" s="1460">
        <f>F25</f>
        <v>100</v>
      </c>
      <c r="T25" s="1459" t="s">
        <v>8</v>
      </c>
      <c r="U25" s="1460">
        <f>H25</f>
        <v>100</v>
      </c>
      <c r="V25" s="1459" t="s">
        <v>8</v>
      </c>
      <c r="W25" s="1460">
        <f>J25</f>
        <v>100</v>
      </c>
      <c r="X25" s="1461"/>
      <c r="Y25" s="3754"/>
      <c r="Z25" s="1097">
        <f>Q25</f>
        <v>111</v>
      </c>
      <c r="AA25" s="1467">
        <f>D25/F25</f>
        <v>1</v>
      </c>
      <c r="AB25" s="1467">
        <f>D25/H25</f>
        <v>1</v>
      </c>
      <c r="AC25" s="1467">
        <f>D25/J25</f>
        <v>1</v>
      </c>
    </row>
    <row r="26" spans="1:29" ht="15">
      <c r="A26" s="2546" t="s">
        <v>2469</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8"/>
      <c r="M26" s="1970"/>
      <c r="N26" s="1970"/>
      <c r="O26" s="1977"/>
      <c r="P26" s="3755"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756"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6"/>
      <c r="M27" s="2006"/>
      <c r="N27" s="2006"/>
      <c r="O27" s="1979"/>
      <c r="P27" s="3756"/>
      <c r="Q27" s="1492" t="str">
        <f t="shared" si="11"/>
        <v>成新率</v>
      </c>
      <c r="R27" s="1468" t="s">
        <v>8</v>
      </c>
      <c r="S27" s="1469" t="e">
        <f t="shared" si="12"/>
        <v>#N/A</v>
      </c>
      <c r="T27" s="1468" t="s">
        <v>8</v>
      </c>
      <c r="U27" s="1469" t="e">
        <f t="shared" si="13"/>
        <v>#N/A</v>
      </c>
      <c r="V27" s="1468" t="s">
        <v>8</v>
      </c>
      <c r="W27" s="1469" t="e">
        <f t="shared" si="14"/>
        <v>#N/A</v>
      </c>
      <c r="X27" s="1470"/>
      <c r="Y27" s="3756"/>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756"/>
      <c r="Q28" s="1463" t="str">
        <f t="shared" si="11"/>
        <v>物业等级</v>
      </c>
      <c r="R28" s="1464" t="s">
        <v>8</v>
      </c>
      <c r="S28" s="1465">
        <f t="shared" si="12"/>
        <v>100</v>
      </c>
      <c r="T28" s="1464" t="s">
        <v>8</v>
      </c>
      <c r="U28" s="1465">
        <f t="shared" si="13"/>
        <v>100</v>
      </c>
      <c r="V28" s="1464" t="s">
        <v>8</v>
      </c>
      <c r="W28" s="1465">
        <f t="shared" si="14"/>
        <v>100</v>
      </c>
      <c r="X28" s="1458"/>
      <c r="Y28" s="3756"/>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8"/>
      <c r="M29" s="1970"/>
      <c r="N29" s="1970"/>
      <c r="O29" s="1977"/>
      <c r="P29" s="3756"/>
      <c r="Q29" s="1463" t="str">
        <f t="shared" si="11"/>
        <v>有无电梯</v>
      </c>
      <c r="R29" s="1464" t="s">
        <v>8</v>
      </c>
      <c r="S29" s="1465">
        <f t="shared" si="12"/>
        <v>100</v>
      </c>
      <c r="T29" s="1464" t="s">
        <v>8</v>
      </c>
      <c r="U29" s="1465">
        <f t="shared" si="13"/>
        <v>100</v>
      </c>
      <c r="V29" s="1464" t="s">
        <v>8</v>
      </c>
      <c r="W29" s="1465">
        <f t="shared" si="14"/>
        <v>100</v>
      </c>
      <c r="X29" s="1458"/>
      <c r="Y29" s="3756"/>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8"/>
      <c r="M30" s="1970"/>
      <c r="N30" s="1970"/>
      <c r="O30" s="1977"/>
      <c r="P30" s="3756"/>
      <c r="Q30" s="1463" t="str">
        <f t="shared" si="11"/>
        <v>建筑面积</v>
      </c>
      <c r="R30" s="1464" t="s">
        <v>8</v>
      </c>
      <c r="S30" s="1465" t="e">
        <f t="shared" si="12"/>
        <v>#N/A</v>
      </c>
      <c r="T30" s="1464" t="s">
        <v>8</v>
      </c>
      <c r="U30" s="1465" t="e">
        <f t="shared" si="13"/>
        <v>#N/A</v>
      </c>
      <c r="V30" s="1464" t="s">
        <v>8</v>
      </c>
      <c r="W30" s="1465" t="e">
        <f t="shared" si="14"/>
        <v>#N/A</v>
      </c>
      <c r="X30" s="1458"/>
      <c r="Y30" s="3756"/>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1"/>
      <c r="M31" s="1972"/>
      <c r="N31" s="1972"/>
      <c r="O31" s="1973"/>
      <c r="P31" s="3756"/>
      <c r="Q31" s="1098" t="str">
        <f t="shared" si="11"/>
        <v>是否封闭</v>
      </c>
      <c r="R31" s="1459" t="s">
        <v>8</v>
      </c>
      <c r="S31" s="1460">
        <f t="shared" si="12"/>
        <v>100</v>
      </c>
      <c r="T31" s="1459" t="s">
        <v>8</v>
      </c>
      <c r="U31" s="1460">
        <f t="shared" si="13"/>
        <v>100</v>
      </c>
      <c r="V31" s="1459" t="s">
        <v>8</v>
      </c>
      <c r="W31" s="1460">
        <f t="shared" si="14"/>
        <v>100</v>
      </c>
      <c r="X31" s="1461"/>
      <c r="Y31" s="3756"/>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8"/>
      <c r="M32" s="1970"/>
      <c r="N32" s="1970"/>
      <c r="O32" s="1977"/>
      <c r="P32" s="3756" t="s">
        <v>533</v>
      </c>
      <c r="Q32" s="1463">
        <f t="shared" si="11"/>
        <v>111</v>
      </c>
      <c r="R32" s="1464" t="s">
        <v>8</v>
      </c>
      <c r="S32" s="1465">
        <f t="shared" si="12"/>
        <v>100</v>
      </c>
      <c r="T32" s="1464" t="s">
        <v>8</v>
      </c>
      <c r="U32" s="1465">
        <f t="shared" si="13"/>
        <v>100</v>
      </c>
      <c r="V32" s="1464" t="s">
        <v>8</v>
      </c>
      <c r="W32" s="1465">
        <f t="shared" si="14"/>
        <v>100</v>
      </c>
      <c r="X32" s="1458"/>
      <c r="Y32" s="3756"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8"/>
      <c r="M33" s="1970"/>
      <c r="N33" s="1970"/>
      <c r="O33" s="1977"/>
      <c r="P33" s="3756"/>
      <c r="Q33" s="1463">
        <f t="shared" si="11"/>
        <v>111</v>
      </c>
      <c r="R33" s="1464" t="s">
        <v>8</v>
      </c>
      <c r="S33" s="1465">
        <f t="shared" si="12"/>
        <v>100</v>
      </c>
      <c r="T33" s="1464" t="s">
        <v>8</v>
      </c>
      <c r="U33" s="1465">
        <f t="shared" si="13"/>
        <v>100</v>
      </c>
      <c r="V33" s="1464" t="s">
        <v>8</v>
      </c>
      <c r="W33" s="1465">
        <f t="shared" si="14"/>
        <v>100</v>
      </c>
      <c r="X33" s="1458"/>
      <c r="Y33" s="3756"/>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8"/>
      <c r="M34" s="1970"/>
      <c r="N34" s="1970"/>
      <c r="O34" s="1977"/>
      <c r="P34" s="3756"/>
      <c r="Q34" s="1463">
        <f t="shared" si="11"/>
        <v>111</v>
      </c>
      <c r="R34" s="1464" t="s">
        <v>8</v>
      </c>
      <c r="S34" s="1465">
        <f t="shared" si="12"/>
        <v>100</v>
      </c>
      <c r="T34" s="1464" t="s">
        <v>8</v>
      </c>
      <c r="U34" s="1465">
        <f t="shared" si="13"/>
        <v>100</v>
      </c>
      <c r="V34" s="1464" t="s">
        <v>8</v>
      </c>
      <c r="W34" s="1465">
        <f t="shared" si="14"/>
        <v>100</v>
      </c>
      <c r="X34" s="1458"/>
      <c r="Y34" s="3756"/>
      <c r="Z34" s="1466">
        <f t="shared" si="15"/>
        <v>111</v>
      </c>
      <c r="AA34" s="1467">
        <f t="shared" si="3"/>
        <v>1</v>
      </c>
      <c r="AB34" s="1467">
        <f t="shared" si="4"/>
        <v>1</v>
      </c>
      <c r="AC34" s="1467">
        <f t="shared" si="5"/>
        <v>1</v>
      </c>
    </row>
    <row r="35" spans="1:29" ht="15">
      <c r="A35" s="584" t="s">
        <v>718</v>
      </c>
      <c r="B35" s="859"/>
      <c r="C35" s="2392" t="s">
        <v>1</v>
      </c>
      <c r="D35" s="2393"/>
      <c r="E35" s="2394"/>
      <c r="F35" s="2395"/>
      <c r="G35" s="2396"/>
      <c r="H35" s="2397"/>
      <c r="I35" s="2394"/>
      <c r="J35" s="2397"/>
      <c r="K35" s="1497"/>
      <c r="L35" s="1980"/>
      <c r="M35" s="1981"/>
      <c r="N35" s="1970"/>
      <c r="O35" s="1981"/>
      <c r="P35" s="3720" t="str">
        <f>A35</f>
        <v>成交单价（元/平方米）</v>
      </c>
      <c r="Q35" s="3720"/>
      <c r="R35" s="3849">
        <f>E35</f>
        <v>0</v>
      </c>
      <c r="S35" s="3849"/>
      <c r="T35" s="3849">
        <f>G35</f>
        <v>0</v>
      </c>
      <c r="U35" s="3849"/>
      <c r="V35" s="3849">
        <f>I35</f>
        <v>0</v>
      </c>
      <c r="W35" s="3849"/>
      <c r="X35" s="1453"/>
      <c r="Y35" s="1472"/>
      <c r="Z35" s="1453"/>
      <c r="AA35" s="1453"/>
      <c r="AB35" s="1453"/>
      <c r="AC35" s="1453"/>
    </row>
    <row r="36" spans="1:29" ht="15.75" thickBot="1">
      <c r="A36" s="592" t="s">
        <v>2474</v>
      </c>
      <c r="B36" s="860"/>
      <c r="C36" s="2398" t="e">
        <f>R37</f>
        <v>#DIV/0!</v>
      </c>
      <c r="D36" s="2922" t="s">
        <v>2692</v>
      </c>
      <c r="E36" s="2399" t="e">
        <f>R36</f>
        <v>#DIV/0!</v>
      </c>
      <c r="F36" s="2923"/>
      <c r="G36" s="2398" t="e">
        <f>T36</f>
        <v>#DIV/0!</v>
      </c>
      <c r="H36" s="2923"/>
      <c r="I36" s="2399" t="e">
        <f>V36</f>
        <v>#DIV/0!</v>
      </c>
      <c r="J36" s="2923"/>
      <c r="K36" s="2931">
        <f>F36+H36+J36</f>
        <v>0</v>
      </c>
      <c r="L36" s="1980"/>
      <c r="M36" s="1981"/>
      <c r="N36" s="1970"/>
      <c r="O36" s="1981"/>
      <c r="P36" s="3720" t="str">
        <f>A36</f>
        <v>比较价格（元/平方米）</v>
      </c>
      <c r="Q36" s="3720"/>
      <c r="R36" s="3849" t="e">
        <f>IF(F1="售价",ROUND(PRODUCT(R35,AA7:AA34),0),ROUND(PRODUCT(R35,AA7:AA34),1))</f>
        <v>#DIV/0!</v>
      </c>
      <c r="S36" s="3849"/>
      <c r="T36" s="3849" t="e">
        <f>IF(F1="售价",ROUND(PRODUCT(T35,AB7:AB34),0),ROUND(PRODUCT(T35,AB7:AB34),1))</f>
        <v>#DIV/0!</v>
      </c>
      <c r="U36" s="3849"/>
      <c r="V36" s="3849" t="e">
        <f>IF(F1="售价",ROUND(PRODUCT(V35,AC7:AC34),0),ROUND(PRODUCT(V35,AC7:AC34),1))</f>
        <v>#DIV/0!</v>
      </c>
      <c r="W36" s="3849"/>
      <c r="X36" s="1453"/>
      <c r="Y36" s="1453"/>
      <c r="Z36" s="1453"/>
      <c r="AA36" s="1453"/>
      <c r="AB36" s="1453"/>
      <c r="AC36" s="1453"/>
    </row>
    <row r="37" spans="1:29" ht="15.75" thickBot="1">
      <c r="A37" s="596" t="s">
        <v>2626</v>
      </c>
      <c r="B37" s="597"/>
      <c r="C37" s="2400" t="e">
        <f>R37</f>
        <v>#DIV/0!</v>
      </c>
      <c r="D37" s="2400"/>
      <c r="E37" s="2400"/>
      <c r="F37" s="2400"/>
      <c r="G37" s="2400"/>
      <c r="H37" s="2400"/>
      <c r="I37" s="2400"/>
      <c r="J37" s="2400"/>
      <c r="K37" s="1498"/>
      <c r="L37" s="1980"/>
      <c r="M37" s="1981"/>
      <c r="N37" s="1981"/>
      <c r="O37" s="1981"/>
      <c r="P37" s="3757" t="str">
        <f>A37</f>
        <v>估价对象XX用房的比较价格（楼面单价，元/平方米）</v>
      </c>
      <c r="Q37" s="3758"/>
      <c r="R37" s="3848" t="e">
        <f>IF(F1="售价",ROUND(IF(D36="简单平均",AVERAGE(R36:W36),R36*F36+T36*H36+V36*J36),0),ROUND(IF(D36="简单平均",AVERAGE(R36:V36),R36*F36+T36*H36+V36*J36),1))</f>
        <v>#DIV/0!</v>
      </c>
      <c r="S37" s="3848"/>
      <c r="T37" s="3848"/>
      <c r="U37" s="3848"/>
      <c r="V37" s="3848"/>
      <c r="W37" s="3848"/>
      <c r="X37" s="1453"/>
      <c r="Y37" s="1453"/>
      <c r="Z37" s="1453"/>
      <c r="AA37" s="1453"/>
      <c r="AB37" s="1453"/>
      <c r="AC37" s="1453"/>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4"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4"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5" t="s">
        <v>556</v>
      </c>
      <c r="B45" s="1453"/>
      <c r="C45" s="1474"/>
      <c r="D45" s="1474"/>
      <c r="E45" s="1474"/>
      <c r="F45" s="1476"/>
      <c r="G45" s="1476"/>
      <c r="H45" s="1474"/>
      <c r="I45" s="1474"/>
      <c r="J45" s="1474"/>
      <c r="K45" s="1477"/>
      <c r="L45" s="1473"/>
      <c r="M45" s="1474"/>
      <c r="N45" s="1992"/>
      <c r="O45" s="1992"/>
      <c r="P45" s="1992"/>
      <c r="Q45" s="1993"/>
      <c r="R45" s="1981"/>
      <c r="S45" s="1981"/>
      <c r="T45" s="1981"/>
      <c r="U45" s="1981"/>
      <c r="V45" s="1981"/>
      <c r="W45" s="1981"/>
      <c r="X45" s="1981"/>
      <c r="Y45" s="1981"/>
      <c r="Z45" s="1981"/>
      <c r="AA45" s="1981"/>
      <c r="AB45" s="1981"/>
      <c r="AC45" s="1981"/>
    </row>
    <row r="46" spans="1:29" s="1256" customFormat="1" ht="15">
      <c r="A46" s="620" t="s">
        <v>512</v>
      </c>
      <c r="B46" s="621"/>
      <c r="C46" s="2441" t="str">
        <f>YEAR(C7)&amp;"-"&amp;MONTH(C7)</f>
        <v>2022-5</v>
      </c>
      <c r="D46" s="2443">
        <f>EDATE(C46,-1)</f>
        <v>44652</v>
      </c>
      <c r="E46" s="2443">
        <f t="shared" ref="E46:O46" si="16">EDATE(D46,-1)</f>
        <v>44621</v>
      </c>
      <c r="F46" s="2443">
        <f t="shared" si="16"/>
        <v>44593</v>
      </c>
      <c r="G46" s="2443">
        <f t="shared" si="16"/>
        <v>44562</v>
      </c>
      <c r="H46" s="2443">
        <f t="shared" si="16"/>
        <v>44531</v>
      </c>
      <c r="I46" s="2443">
        <f t="shared" si="16"/>
        <v>44501</v>
      </c>
      <c r="J46" s="2443">
        <f t="shared" si="16"/>
        <v>44470</v>
      </c>
      <c r="K46" s="2443">
        <f t="shared" si="16"/>
        <v>44440</v>
      </c>
      <c r="L46" s="2443">
        <f t="shared" si="16"/>
        <v>44409</v>
      </c>
      <c r="M46" s="2443">
        <f t="shared" si="16"/>
        <v>44378</v>
      </c>
      <c r="N46" s="2443">
        <f t="shared" si="16"/>
        <v>44348</v>
      </c>
      <c r="O46" s="2443">
        <f t="shared" si="16"/>
        <v>44317</v>
      </c>
      <c r="P46" s="1995"/>
      <c r="Q46" s="1996"/>
      <c r="R46" s="1996"/>
      <c r="S46" s="1996"/>
      <c r="T46" s="1996"/>
      <c r="U46" s="1996"/>
      <c r="V46" s="1996"/>
      <c r="W46" s="1996"/>
      <c r="X46" s="1996"/>
      <c r="Y46" s="1996"/>
      <c r="Z46" s="1996"/>
      <c r="AA46" s="1996"/>
      <c r="AB46" s="1996"/>
      <c r="AC46" s="1996"/>
    </row>
    <row r="47" spans="1:29" s="1167"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7"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7"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7"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7">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9"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9"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9"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9"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2272</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2273</v>
      </c>
      <c r="C65" s="2364" t="s">
        <v>2274</v>
      </c>
      <c r="D65" s="2364" t="s">
        <v>2275</v>
      </c>
      <c r="E65" s="2364" t="s">
        <v>2276</v>
      </c>
      <c r="F65" s="2364" t="s">
        <v>2277</v>
      </c>
      <c r="G65" s="2364" t="s">
        <v>2278</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7" customFormat="1" ht="15.75" thickTop="1">
      <c r="A71" s="684"/>
      <c r="B71" s="648">
        <f>B23</f>
        <v>111</v>
      </c>
      <c r="C71" s="518"/>
      <c r="D71" s="518"/>
      <c r="E71" s="518"/>
      <c r="F71" s="518"/>
      <c r="G71" s="663"/>
      <c r="H71" s="663"/>
      <c r="I71" s="663"/>
      <c r="J71" s="663"/>
      <c r="K71" s="663"/>
      <c r="L71" s="862"/>
      <c r="M71" s="863"/>
      <c r="N71" s="1997"/>
      <c r="O71" s="1997"/>
      <c r="P71" s="2000"/>
      <c r="Q71" s="1993"/>
      <c r="R71" s="1859"/>
      <c r="S71" s="1859"/>
      <c r="T71" s="1859"/>
      <c r="U71" s="1859"/>
      <c r="V71" s="1859"/>
      <c r="W71" s="1859"/>
      <c r="X71" s="1859"/>
      <c r="Y71" s="1859"/>
      <c r="Z71" s="1859"/>
      <c r="AA71" s="1859"/>
      <c r="AB71" s="1859"/>
      <c r="AC71" s="1859"/>
    </row>
    <row r="72" spans="1:29" s="1167"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7" customFormat="1" ht="15.75" thickTop="1">
      <c r="A73" s="684"/>
      <c r="B73" s="648">
        <f>B24</f>
        <v>111</v>
      </c>
      <c r="C73" s="518"/>
      <c r="D73" s="518"/>
      <c r="E73" s="518"/>
      <c r="F73" s="518"/>
      <c r="G73" s="663"/>
      <c r="H73" s="663"/>
      <c r="I73" s="663"/>
      <c r="J73" s="663"/>
      <c r="K73" s="663"/>
      <c r="L73" s="663"/>
      <c r="M73" s="863"/>
      <c r="N73" s="1997"/>
      <c r="O73" s="1997"/>
      <c r="P73" s="2000"/>
      <c r="Q73" s="1993"/>
      <c r="R73" s="1859"/>
      <c r="S73" s="1859"/>
      <c r="T73" s="1859"/>
      <c r="U73" s="1859"/>
      <c r="V73" s="1859"/>
      <c r="W73" s="1859"/>
      <c r="X73" s="1859"/>
      <c r="Y73" s="1859"/>
      <c r="Z73" s="1859"/>
      <c r="AA73" s="1859"/>
      <c r="AB73" s="1859"/>
      <c r="AC73" s="1859"/>
    </row>
    <row r="74" spans="1:29" s="1167"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9"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9"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6">
        <v>0.5</v>
      </c>
      <c r="D80" s="866">
        <v>0.6</v>
      </c>
      <c r="E80" s="866">
        <v>0.7</v>
      </c>
      <c r="F80" s="866">
        <v>0.8</v>
      </c>
      <c r="G80" s="866">
        <v>0.9</v>
      </c>
      <c r="H80" s="866">
        <v>1.0001</v>
      </c>
      <c r="I80" s="907"/>
      <c r="J80" s="907"/>
      <c r="K80" s="917"/>
      <c r="L80" s="918"/>
      <c r="M80" s="919"/>
      <c r="N80" s="1997"/>
      <c r="O80" s="1997"/>
      <c r="P80" s="2000"/>
      <c r="Q80" s="1993"/>
      <c r="R80" s="1981"/>
      <c r="S80" s="1981"/>
      <c r="T80" s="1981"/>
      <c r="U80" s="1981"/>
      <c r="V80" s="1981"/>
      <c r="W80" s="1981"/>
      <c r="X80" s="1981"/>
      <c r="Y80" s="1981"/>
      <c r="Z80" s="1981"/>
      <c r="AA80" s="1981"/>
      <c r="AB80" s="1981"/>
      <c r="AC80" s="1981"/>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9" customFormat="1" ht="15" thickTop="1">
      <c r="A89" s="703"/>
      <c r="B89" s="648" t="s">
        <v>809</v>
      </c>
      <c r="C89" s="663"/>
      <c r="D89" s="663"/>
      <c r="E89" s="663"/>
      <c r="F89" s="663"/>
      <c r="G89" s="663"/>
      <c r="H89" s="663"/>
      <c r="I89" s="663"/>
      <c r="J89" s="663"/>
      <c r="K89" s="663"/>
      <c r="L89" s="663"/>
      <c r="M89" s="863"/>
      <c r="N89" s="2002"/>
      <c r="O89" s="2002"/>
      <c r="P89" s="2003"/>
      <c r="Q89" s="2004"/>
      <c r="R89" s="2005"/>
      <c r="S89" s="2005"/>
      <c r="T89" s="2005"/>
      <c r="U89" s="2005"/>
      <c r="V89" s="2005"/>
      <c r="W89" s="2005"/>
      <c r="X89" s="2005"/>
      <c r="Y89" s="2005"/>
      <c r="Z89" s="2005"/>
      <c r="AA89" s="2005"/>
      <c r="AB89" s="2005"/>
      <c r="AC89" s="2005"/>
    </row>
    <row r="90" spans="1:29" s="1249"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9">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北京辉煌凯盛旅游产业有限公司：</v>
      </c>
    </row>
    <row r="4" spans="1:4" ht="37.5">
      <c r="A4" s="1661" t="str">
        <f>"受贵公司委托，我公司对"&amp;项目基本情况!K2&amp;项目基本情况!B9&amp;"进行了预评估。"</f>
        <v>受贵公司委托，我公司对北京市北京市延庆区张山营镇水峪村D-03地块出让国有建设用地使用权抵押价格进行了预评估。</v>
      </c>
    </row>
    <row r="5" spans="1:4" ht="18.75">
      <c r="A5" s="1664" t="s">
        <v>1701</v>
      </c>
    </row>
    <row r="6" spans="1:4" ht="93.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辉煌凯盛旅游产业有限公司使用的、位于北京市北京市延庆区张山营镇水峪村D-03地块出让国有建设用地使用权。根据《不动产权证书》[]，估价对象（分摊）出让国有建设用地使用权面积为30101.08平方米。根据《建设工程规划许可证》[]，估价对象规划建筑面积为26725.12平方米。</v>
      </c>
    </row>
    <row r="7" spans="1:4" ht="93.75">
      <c r="A7" s="2512" t="s">
        <v>2462</v>
      </c>
    </row>
    <row r="8" spans="1:4" ht="18.75">
      <c r="A8" s="1664" t="s">
        <v>1702</v>
      </c>
    </row>
    <row r="9" spans="1:4" ht="56.25">
      <c r="A9" s="1666" t="str">
        <f>IF(项目基本情况!B8="抵押",IF(项目基本情况!B5=项目基本情况!B6,定义!C51,定义!B51),定义!D51)</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4" ht="18.75">
      <c r="A10" s="1667" t="s">
        <v>1815</v>
      </c>
    </row>
    <row r="11" spans="1:4" ht="18.75">
      <c r="A11" s="1650" t="str">
        <f>TEXT(项目基本情况!D3,"yyyy年m月d日;;")&amp;IF(项目基本情况!B3=项目基本情况!D3,"（评估专业人员勘察现场之日）","")</f>
        <v>2022年5月24日（评估专业人员勘察现场之日）</v>
      </c>
    </row>
    <row r="12" spans="1:4" ht="18.75">
      <c r="A12" s="1667" t="s">
        <v>1814</v>
      </c>
    </row>
    <row r="13" spans="1:4" ht="18.75">
      <c r="A13" s="1661" t="s">
        <v>1860</v>
      </c>
    </row>
    <row r="14" spans="1:4" ht="37.5">
      <c r="A14" s="1661" t="str">
        <f>"根据"&amp;项目基本情况!F12&amp;"，本次评估估价对象证载（地类）用途为"&amp;项目基本情况!B12&amp;"。"</f>
        <v>根据《不动产权证书》[]，本次评估估价对象证载（地类）用途为商业、办公、地下仓储。</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本次评估设定用途即为证载用途酒店。</v>
      </c>
      <c r="C15" s="1651"/>
      <c r="D15" s="1652"/>
    </row>
    <row r="16" spans="1:4" ht="18.75">
      <c r="A16" s="1661" t="s">
        <v>1861</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661" t="s">
        <v>1862</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根据《不动产权证书》[]，估价对象（分摊）出让国有建设用地使用权面积为30101.08平方米。根据《建设工程规划许可证》[]，估价对象规划建筑面积为26725.12平方米。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1863</v>
      </c>
    </row>
    <row r="23" spans="1:1" ht="18.75">
      <c r="A23" s="2514" t="s">
        <v>2463</v>
      </c>
    </row>
    <row r="24" spans="1:1" ht="18.75">
      <c r="A24" s="1661" t="s">
        <v>1864</v>
      </c>
    </row>
    <row r="25" spans="1:1" ht="93.75">
      <c r="A25" s="1661" t="str">
        <f>定义!C53</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1" t="str">
        <f>IF(项目基本情况!E9="——","",定义!C57)</f>
        <v/>
      </c>
    </row>
    <row r="29" spans="1:1" ht="18.75">
      <c r="A29" s="1667" t="s">
        <v>1816</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1817</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70" zoomScaleNormal="60" zoomScaleSheetLayoutView="70" workbookViewId="0">
      <selection activeCell="K36" sqref="K36"/>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3336</v>
      </c>
      <c r="D1" s="2716" t="s">
        <v>3423</v>
      </c>
      <c r="E1" s="2196" t="s">
        <v>2158</v>
      </c>
      <c r="F1" s="2197">
        <f ca="1">J53</f>
        <v>32.880000000000003</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107593</v>
      </c>
      <c r="C2" s="3172"/>
      <c r="D2" s="3173"/>
      <c r="E2" s="3174"/>
      <c r="F2" s="3174"/>
      <c r="G2" s="3168"/>
      <c r="H2" s="1894"/>
      <c r="I2" s="1894"/>
      <c r="J2" s="1894"/>
      <c r="K2" s="1895"/>
      <c r="L2" s="1894"/>
      <c r="M2" s="1894"/>
    </row>
    <row r="3" spans="1:33" ht="18" customHeight="1" thickBot="1">
      <c r="A3" s="805" t="s">
        <v>1527</v>
      </c>
      <c r="B3" s="806">
        <f ca="1">IF(ISERROR(B2*10000/F43),0,ROUND(B2*10000/F43,0))</f>
        <v>40259</v>
      </c>
      <c r="C3" s="3172"/>
      <c r="D3" s="3173"/>
      <c r="E3" s="3174"/>
      <c r="F3" s="3174"/>
      <c r="G3" s="3168"/>
      <c r="H3" s="749" t="s">
        <v>677</v>
      </c>
      <c r="I3" s="1272"/>
      <c r="J3" s="1272"/>
      <c r="K3" s="1482"/>
      <c r="L3" s="1272"/>
      <c r="M3" s="1272"/>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2234</v>
      </c>
      <c r="C5" s="55">
        <f ca="1">C6+C10+C12</f>
        <v>11073</v>
      </c>
      <c r="D5" s="2301" t="s">
        <v>2237</v>
      </c>
      <c r="E5" s="2295"/>
      <c r="F5" s="2296"/>
      <c r="G5" s="1899"/>
      <c r="H5" s="754">
        <v>1</v>
      </c>
      <c r="I5" s="755" t="s">
        <v>2234</v>
      </c>
      <c r="J5" s="55">
        <f ca="1">J6+J10+J12</f>
        <v>0</v>
      </c>
      <c r="K5" s="2301" t="s">
        <v>2237</v>
      </c>
      <c r="L5" s="2295"/>
      <c r="M5" s="2296"/>
    </row>
    <row r="6" spans="1:33" ht="18" customHeight="1">
      <c r="A6" s="1700" t="s">
        <v>1624</v>
      </c>
      <c r="B6" s="3820" t="s">
        <v>2239</v>
      </c>
      <c r="C6" s="756">
        <f ca="1">ROUND(F6*F8*F7*(1-F9)/10000,0)</f>
        <v>11073</v>
      </c>
      <c r="D6" s="2302" t="s">
        <v>2238</v>
      </c>
      <c r="E6" s="757" t="s">
        <v>1538</v>
      </c>
      <c r="F6" s="758">
        <f ca="1">INDIRECT("'数据-取费表'!u"&amp;$G$1)</f>
        <v>110725999.99999999</v>
      </c>
      <c r="G6" s="1899"/>
      <c r="H6" s="2309" t="s">
        <v>2244</v>
      </c>
      <c r="I6" s="3820" t="s">
        <v>2239</v>
      </c>
      <c r="J6" s="756">
        <f ca="1">ROUND(M6*M8*M7*(1-M9)/10000,0)</f>
        <v>0</v>
      </c>
      <c r="K6" s="339" t="s">
        <v>1537</v>
      </c>
      <c r="L6" s="757" t="s">
        <v>1538</v>
      </c>
      <c r="M6" s="758">
        <f ca="1">INDIRECT("'数据-取费表'!z"&amp;$G$1)</f>
        <v>0</v>
      </c>
    </row>
    <row r="7" spans="1:33" ht="18" customHeight="1">
      <c r="A7" s="2305"/>
      <c r="B7" s="3821"/>
      <c r="C7" s="761"/>
      <c r="D7" s="762"/>
      <c r="E7" s="757" t="s">
        <v>1539</v>
      </c>
      <c r="F7" s="758">
        <f ca="1">IF(INDIRECT("'数据-取费表'!ah"&amp;$G$1)="",INDIRECT("'数据-取费表'!k"&amp;$G$1),INDIRECT("'数据-取费表'!ah"&amp;$G$1))</f>
        <v>1</v>
      </c>
      <c r="G7" s="1899"/>
      <c r="H7" s="2294"/>
      <c r="I7" s="3821"/>
      <c r="J7" s="761"/>
      <c r="K7" s="762"/>
      <c r="L7" s="757" t="s">
        <v>1539</v>
      </c>
      <c r="M7" s="758">
        <f ca="1">F7</f>
        <v>1</v>
      </c>
    </row>
    <row r="8" spans="1:33" ht="18" customHeight="1">
      <c r="A8" s="2298"/>
      <c r="B8" s="3822"/>
      <c r="C8" s="761"/>
      <c r="D8" s="762"/>
      <c r="E8" s="757" t="s">
        <v>1540</v>
      </c>
      <c r="F8" s="758">
        <f ca="1">INDIRECT("'数据-取费表'!ai"&amp;$G$1)</f>
        <v>1</v>
      </c>
      <c r="G8" s="1899"/>
      <c r="H8" s="2294"/>
      <c r="I8" s="3822"/>
      <c r="J8" s="761"/>
      <c r="K8" s="762"/>
      <c r="L8" s="757" t="s">
        <v>1540</v>
      </c>
      <c r="M8" s="758">
        <f ca="1">INDIRECT("'数据-取费表'!ai"&amp;$G$1)</f>
        <v>1</v>
      </c>
    </row>
    <row r="9" spans="1:33" ht="18" customHeight="1">
      <c r="A9" s="759"/>
      <c r="B9" s="3823"/>
      <c r="C9" s="761"/>
      <c r="D9" s="762"/>
      <c r="E9" s="757" t="s">
        <v>1541</v>
      </c>
      <c r="F9" s="767">
        <f ca="1">INDIRECT("'数据-取费表'!w"&amp;$G$1)</f>
        <v>0</v>
      </c>
      <c r="G9" s="1899"/>
      <c r="H9" s="2310"/>
      <c r="I9" s="3822"/>
      <c r="J9" s="761"/>
      <c r="K9" s="762"/>
      <c r="L9" s="768" t="s">
        <v>1541</v>
      </c>
      <c r="M9" s="769">
        <f ca="1">INDIRECT("'数据-取费表'!ab"&amp;$G$1)</f>
        <v>0</v>
      </c>
    </row>
    <row r="10" spans="1:33" ht="18" customHeight="1">
      <c r="A10" s="1700" t="s">
        <v>2242</v>
      </c>
      <c r="B10" s="2299" t="s">
        <v>2235</v>
      </c>
      <c r="C10" s="772">
        <f ca="1">ROUND(IF(F10="押一",C6/12*F11,IF(F10="押二",C6/12*2*F11,IF(F10="押三",C6/12*3*F11,C11*F11))),0)</f>
        <v>0</v>
      </c>
      <c r="D10" s="2306" t="s">
        <v>2660</v>
      </c>
      <c r="E10" s="2303" t="s">
        <v>2240</v>
      </c>
      <c r="F10" s="2387" t="s">
        <v>3424</v>
      </c>
      <c r="G10" s="1899"/>
      <c r="H10" s="2337" t="s">
        <v>2245</v>
      </c>
      <c r="I10" s="2342" t="s">
        <v>2235</v>
      </c>
      <c r="J10" s="756">
        <f ca="1">ROUND(IF(M10="押一",J6/12*M11,IF(M10="押二",J6/12*2*M11,IF(M10="押三",J6/12*3*M11,J11*M11))),0)</f>
        <v>0</v>
      </c>
      <c r="K10" s="2306" t="s">
        <v>2660</v>
      </c>
      <c r="L10" s="2303" t="s">
        <v>2240</v>
      </c>
      <c r="M10" s="2387"/>
    </row>
    <row r="11" spans="1:33" ht="18" customHeight="1">
      <c r="A11" s="763"/>
      <c r="B11" s="2300" t="s">
        <v>2288</v>
      </c>
      <c r="C11" s="2304"/>
      <c r="D11" s="762"/>
      <c r="E11" s="2303" t="s">
        <v>2241</v>
      </c>
      <c r="F11" s="769">
        <f ca="1">'数据-取费表'!B39</f>
        <v>1.4999999999999999E-2</v>
      </c>
      <c r="G11" s="1899"/>
      <c r="H11" s="2338"/>
      <c r="I11" s="2300" t="s">
        <v>2288</v>
      </c>
      <c r="J11" s="2304"/>
      <c r="K11" s="2339"/>
      <c r="L11" s="2303" t="s">
        <v>2241</v>
      </c>
      <c r="M11" s="2297">
        <f ca="1">'数据-取费表'!B39</f>
        <v>1.4999999999999999E-2</v>
      </c>
    </row>
    <row r="12" spans="1:33" ht="18" customHeight="1" thickBot="1">
      <c r="A12" s="2313" t="s">
        <v>2243</v>
      </c>
      <c r="B12" s="2314" t="s">
        <v>2236</v>
      </c>
      <c r="C12" s="2315"/>
      <c r="D12" s="2316"/>
      <c r="E12" s="2317"/>
      <c r="F12" s="2318"/>
      <c r="G12" s="1899"/>
      <c r="H12" s="2327" t="s">
        <v>2246</v>
      </c>
      <c r="I12" s="2340" t="s">
        <v>2236</v>
      </c>
      <c r="J12" s="2341"/>
      <c r="K12" s="2316"/>
      <c r="L12" s="2317"/>
      <c r="M12" s="2330"/>
    </row>
    <row r="13" spans="1:33" ht="18" customHeight="1" thickTop="1">
      <c r="A13" s="1699">
        <v>2</v>
      </c>
      <c r="B13" s="1697" t="s">
        <v>1542</v>
      </c>
      <c r="C13" s="765">
        <f ca="1">ROUND(C29*F13,0)</f>
        <v>47164</v>
      </c>
      <c r="D13" s="1704" t="s">
        <v>2084</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2" t="s">
        <v>1680</v>
      </c>
      <c r="B14" s="757" t="s">
        <v>627</v>
      </c>
      <c r="C14" s="777">
        <f ca="1">INDIRECT("'数据-取费表'!m"&amp;$G$1)+INDIRECT("'数据-取费表'!t"&amp;$G$1)</f>
        <v>25389</v>
      </c>
      <c r="D14" s="1847" t="s">
        <v>1545</v>
      </c>
      <c r="E14" s="1848"/>
      <c r="F14" s="778"/>
      <c r="G14" s="1899"/>
      <c r="H14" s="1533" t="s">
        <v>1630</v>
      </c>
      <c r="I14" s="2065" t="s">
        <v>2539</v>
      </c>
      <c r="J14" s="53">
        <f ca="1">C29</f>
        <v>47164</v>
      </c>
      <c r="K14" s="26"/>
      <c r="L14" s="774"/>
      <c r="M14" s="775"/>
    </row>
    <row r="15" spans="1:33" s="1901" customFormat="1" ht="18" customHeight="1" thickBot="1">
      <c r="A15" s="1532" t="s">
        <v>1681</v>
      </c>
      <c r="B15" s="757" t="s">
        <v>629</v>
      </c>
      <c r="C15" s="53">
        <f ca="1">ROUND(C14*F15,0)</f>
        <v>2539</v>
      </c>
      <c r="D15" s="779" t="s">
        <v>1546</v>
      </c>
      <c r="E15" s="779" t="s">
        <v>1547</v>
      </c>
      <c r="F15" s="780">
        <f>'数据-取费表'!B33</f>
        <v>0.1</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5146</v>
      </c>
      <c r="K16" s="1691" t="s">
        <v>1550</v>
      </c>
      <c r="L16" s="2291"/>
      <c r="M16" s="2296"/>
    </row>
    <row r="17" spans="1:33" s="1901" customFormat="1" ht="18" customHeight="1">
      <c r="A17" s="1532" t="s">
        <v>1683</v>
      </c>
      <c r="B17" s="757" t="s">
        <v>635</v>
      </c>
      <c r="C17" s="53">
        <f ca="1">ROUND(F17*(F43+INDIRECT("'数据-取费表'!S"&amp;$G$1))/10000,0)</f>
        <v>2138</v>
      </c>
      <c r="D17" s="757" t="s">
        <v>1551</v>
      </c>
      <c r="E17" s="757" t="s">
        <v>1552</v>
      </c>
      <c r="F17" s="56">
        <f>'数据-取费表'!B35</f>
        <v>800</v>
      </c>
      <c r="G17" s="3169"/>
      <c r="H17" s="1533" t="s">
        <v>1630</v>
      </c>
      <c r="I17" s="757" t="s">
        <v>638</v>
      </c>
      <c r="J17" s="2927">
        <f ca="1">ROUND(IF(AND(项目基本情况!B11="自然人",项目基本情况!B10="北京市"),J6*M17/(1+'数据-取费表'!C42),J18+J19+J20),0)</f>
        <v>3967</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2" t="s">
        <v>1684</v>
      </c>
      <c r="B18" s="757" t="s">
        <v>641</v>
      </c>
      <c r="C18" s="53">
        <f ca="1">ROUND(C14*F18,0)</f>
        <v>381</v>
      </c>
      <c r="D18" s="757" t="s">
        <v>1546</v>
      </c>
      <c r="E18" s="757" t="s">
        <v>1547</v>
      </c>
      <c r="F18" s="782">
        <f>'数据-取费表'!B36</f>
        <v>1.4999999999999999E-2</v>
      </c>
      <c r="G18" s="3169"/>
      <c r="H18" s="1532" t="s">
        <v>1680</v>
      </c>
      <c r="I18" s="757" t="s">
        <v>1555</v>
      </c>
      <c r="J18" s="53">
        <f ca="1">ROUND(J6*M18/(1+'数据-取费表'!C42),1)</f>
        <v>0</v>
      </c>
      <c r="K18" s="2289" t="s">
        <v>1556</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3" t="s">
        <v>1630</v>
      </c>
      <c r="B19" s="757" t="s">
        <v>644</v>
      </c>
      <c r="C19" s="53">
        <f ca="1">SUM(C14:C18)</f>
        <v>30447</v>
      </c>
      <c r="D19" s="259" t="s">
        <v>1557</v>
      </c>
      <c r="E19" s="1850"/>
      <c r="F19" s="56"/>
      <c r="G19" s="1899"/>
      <c r="H19" s="1532" t="s">
        <v>1681</v>
      </c>
      <c r="I19" s="757" t="s">
        <v>1558</v>
      </c>
      <c r="J19" s="53">
        <f ca="1">IF(K19="按租金收入计税",ROUND(J6*M19/(1+'数据-取费表'!C42),1),ROUND(C29*F33*0.7,1))</f>
        <v>3961.8</v>
      </c>
      <c r="K19" s="783" t="s">
        <v>647</v>
      </c>
      <c r="L19" s="757" t="s">
        <v>1547</v>
      </c>
      <c r="M19" s="782">
        <f>IF(K19="按租金收入计税",'数据-取费表'!B51,'数据-取费表'!B50)</f>
        <v>1.2E-2</v>
      </c>
    </row>
    <row r="20" spans="1:33" s="1901" customFormat="1" ht="18" customHeight="1">
      <c r="A20" s="1533" t="s">
        <v>1685</v>
      </c>
      <c r="B20" s="757" t="s">
        <v>648</v>
      </c>
      <c r="C20" s="53">
        <f ca="1">ROUND(C19*F20,0)</f>
        <v>913</v>
      </c>
      <c r="D20" s="784" t="s">
        <v>1559</v>
      </c>
      <c r="E20" s="757" t="s">
        <v>1547</v>
      </c>
      <c r="F20" s="782">
        <f>'数据-取费表'!B37</f>
        <v>0.03</v>
      </c>
      <c r="G20" s="3169"/>
      <c r="H20" s="1535" t="s">
        <v>1676</v>
      </c>
      <c r="I20" s="339" t="s">
        <v>1560</v>
      </c>
      <c r="J20" s="54">
        <f ca="1">ROUND(M20*M21/10000,0)</f>
        <v>5</v>
      </c>
      <c r="K20" s="786" t="s">
        <v>1561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3" t="s">
        <v>1686</v>
      </c>
      <c r="B21" s="757" t="s">
        <v>1563</v>
      </c>
      <c r="C21" s="53" t="s">
        <v>1564</v>
      </c>
      <c r="D21" s="784" t="s">
        <v>2085</v>
      </c>
      <c r="E21" s="757" t="s">
        <v>1565</v>
      </c>
      <c r="F21" s="782">
        <f>'数据-取费表'!B38</f>
        <v>0.03</v>
      </c>
      <c r="G21" s="3169"/>
      <c r="H21" s="2311"/>
      <c r="I21" s="766"/>
      <c r="J21" s="69"/>
      <c r="K21" s="788"/>
      <c r="L21" s="757" t="s">
        <v>1566</v>
      </c>
      <c r="M21" s="758">
        <f ca="1">INDIRECT("'数据-取费表'!r"&amp;$G$1)</f>
        <v>30101.08</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3" t="s">
        <v>1687</v>
      </c>
      <c r="B22" s="757" t="s">
        <v>1567</v>
      </c>
      <c r="C22" s="53"/>
      <c r="D22" s="2346" t="str">
        <f>IF(F23&lt;=1,"单利计息。","复利计息。")&amp;"建造成本、管理费用、销售费用产生的利息。"</f>
        <v>复利计息。建造成本、管理费用、销售费用产生的利息。</v>
      </c>
      <c r="E22" s="1850"/>
      <c r="F22" s="56"/>
      <c r="G22" s="1899"/>
      <c r="H22" s="1533" t="s">
        <v>1685</v>
      </c>
      <c r="I22" s="757" t="s">
        <v>1568</v>
      </c>
      <c r="J22" s="53">
        <f ca="1">ROUND(J14*M22,0)</f>
        <v>1179</v>
      </c>
      <c r="K22" s="2289" t="s">
        <v>1569</v>
      </c>
      <c r="L22" s="757" t="s">
        <v>1547</v>
      </c>
      <c r="M22" s="789">
        <f ca="1">INDIRECT("'数据-取费表'!Ak"&amp;$G$1)</f>
        <v>2.5000000000000001E-2</v>
      </c>
    </row>
    <row r="23" spans="1:33" s="1901" customFormat="1" ht="18" customHeight="1">
      <c r="A23" s="1532" t="s">
        <v>1631</v>
      </c>
      <c r="B23" s="757" t="s">
        <v>2250</v>
      </c>
      <c r="C23" s="53">
        <f ca="1">ROUND(IF('数据-取费表'!B22&lt;=1,(C19+C20)*F24*F23/2,(C19+C20)*(POWER((1+F24),F23/2)-1)),0)</f>
        <v>1996</v>
      </c>
      <c r="D23" s="2345" t="str">
        <f>IF(F23&lt;=1,"(建造成本+管理费用)×利率×(建设周期÷2)","(建造成本+管理费用)×((1+利率)^(建设周期÷2)-1)")</f>
        <v>(建造成本+管理费用)×((1+利率)^(建设周期÷2)-1)</v>
      </c>
      <c r="E23" s="757" t="s">
        <v>1570</v>
      </c>
      <c r="F23" s="615">
        <f>'数据-取费表'!B20</f>
        <v>3</v>
      </c>
      <c r="G23" s="3169"/>
      <c r="H23" s="1533" t="s">
        <v>1686</v>
      </c>
      <c r="I23" s="757" t="s">
        <v>661</v>
      </c>
      <c r="J23" s="53">
        <f ca="1">ROUND(J13*M23,0)</f>
        <v>0</v>
      </c>
      <c r="K23" s="2289" t="s">
        <v>1571</v>
      </c>
      <c r="L23" s="757" t="s">
        <v>1547</v>
      </c>
      <c r="M23" s="790">
        <f ca="1">INDIRECT("'数据-取费表'!Al"&amp;$G$1)</f>
        <v>3.0000000000000001E-3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2" t="s">
        <v>1632</v>
      </c>
      <c r="B24" s="757" t="s">
        <v>1572</v>
      </c>
      <c r="C24" s="53">
        <f ca="1">ROUND(IF('数据-取费表'!B22&lt;=1,F21*F24*F23/2,F21*(POWER((1+F24),F23/2)-1)),4)</f>
        <v>1.9E-3</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0.03</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4" t="s">
        <v>1640</v>
      </c>
      <c r="B25" s="757" t="s">
        <v>666</v>
      </c>
      <c r="C25" s="53"/>
      <c r="D25" s="259" t="s">
        <v>1575</v>
      </c>
      <c r="E25" s="1850"/>
      <c r="F25" s="56"/>
      <c r="G25" s="1899"/>
      <c r="H25" s="1699" t="s">
        <v>1576</v>
      </c>
      <c r="I25" s="2644" t="s">
        <v>2535</v>
      </c>
      <c r="J25" s="765">
        <f ca="1">J5-J16</f>
        <v>-5146</v>
      </c>
      <c r="K25" s="2324" t="s">
        <v>1577</v>
      </c>
      <c r="L25" s="2325"/>
      <c r="M25" s="2326"/>
    </row>
    <row r="26" spans="1:33" ht="18" customHeight="1">
      <c r="A26" s="1532" t="s">
        <v>1631</v>
      </c>
      <c r="B26" s="757" t="s">
        <v>2217</v>
      </c>
      <c r="C26" s="53">
        <f ca="1">ROUND((C19+C20)*F26,0)</f>
        <v>9408</v>
      </c>
      <c r="D26" s="784" t="s">
        <v>1578</v>
      </c>
      <c r="E26" s="768" t="s">
        <v>1579</v>
      </c>
      <c r="F26" s="767">
        <f ca="1">INDIRECT("'数据-取费表'!q"&amp;$G$1)</f>
        <v>0.3</v>
      </c>
      <c r="G26" s="1899"/>
      <c r="H26" s="2307" t="s">
        <v>1580</v>
      </c>
      <c r="I26" s="2066" t="s">
        <v>2540</v>
      </c>
      <c r="J26" s="756">
        <f ca="1">IF(J5&lt;&gt;0,ROUND(J25*(1-((1+M28)/(1+M26))^M27)/(M26-M28),0),0)</f>
        <v>0</v>
      </c>
      <c r="K26" s="786" t="s">
        <v>1581</v>
      </c>
      <c r="L26" s="757" t="s">
        <v>2203</v>
      </c>
      <c r="M26" s="767">
        <f ca="1">INDIRECT("'数据-取费表'!I"&amp;$G$1)</f>
        <v>0.06</v>
      </c>
    </row>
    <row r="27" spans="1:33" ht="18" customHeight="1">
      <c r="A27" s="1532" t="s">
        <v>1632</v>
      </c>
      <c r="B27" s="757" t="s">
        <v>668</v>
      </c>
      <c r="C27" s="53">
        <f ca="1">ROUND(F21*F26,4)</f>
        <v>8.9999999999999993E-3</v>
      </c>
      <c r="D27" s="784" t="s">
        <v>1582</v>
      </c>
      <c r="E27" s="779"/>
      <c r="F27" s="780"/>
      <c r="G27" s="1899"/>
      <c r="H27" s="2308"/>
      <c r="I27" s="760"/>
      <c r="J27" s="761"/>
      <c r="K27" s="793" t="s">
        <v>1583</v>
      </c>
      <c r="L27" s="757" t="s">
        <v>1584</v>
      </c>
      <c r="M27" s="794">
        <f ca="1">INDIRECT("'数据-取费表'!ag"&amp;$G$1)</f>
        <v>0</v>
      </c>
    </row>
    <row r="28" spans="1:33" s="1901" customFormat="1" ht="18" customHeight="1">
      <c r="A28" s="1534" t="s">
        <v>1641</v>
      </c>
      <c r="B28" s="757" t="s">
        <v>669</v>
      </c>
      <c r="C28" s="53">
        <f>ROUND(F28/(1+'数据-取费表'!C42),4)</f>
        <v>5.2400000000000002E-2</v>
      </c>
      <c r="D28" s="784" t="s">
        <v>2086</v>
      </c>
      <c r="E28" s="757" t="s">
        <v>1585</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2087</v>
      </c>
      <c r="C29" s="2320">
        <f ca="1">ROUND((C19+C20+C23+C26)/(1-F21-C24-C27-C28),0)</f>
        <v>47164</v>
      </c>
      <c r="D29" s="2321"/>
      <c r="E29" s="2322"/>
      <c r="F29" s="2323"/>
      <c r="G29" s="3169"/>
      <c r="H29" s="795" t="s">
        <v>1587</v>
      </c>
      <c r="I29" s="796" t="s">
        <v>1588</v>
      </c>
      <c r="J29" s="797">
        <f ca="1">ROUND(J26/(1+F40)^F41,0)</f>
        <v>0</v>
      </c>
      <c r="K29" s="798" t="s">
        <v>1589</v>
      </c>
      <c r="L29" s="799"/>
      <c r="M29" s="800">
        <f ca="1">INDIRECT("'数据-取费表'!k"&amp;$G$1)</f>
        <v>26725.120000000003</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3503</v>
      </c>
      <c r="D30" s="1691" t="s">
        <v>1591</v>
      </c>
      <c r="E30" s="2291"/>
      <c r="F30" s="2296"/>
      <c r="G30" s="1899"/>
      <c r="H30" s="1902"/>
      <c r="I30" s="1903"/>
      <c r="J30" s="1904"/>
      <c r="K30" s="1905"/>
      <c r="L30" s="1906"/>
      <c r="M30" s="1907"/>
    </row>
    <row r="31" spans="1:33" ht="18" customHeight="1">
      <c r="A31" s="1533" t="s">
        <v>1630</v>
      </c>
      <c r="B31" s="757" t="s">
        <v>638</v>
      </c>
      <c r="C31" s="2927">
        <f ca="1">ROUND(IF(AND(项目基本情况!B11="自然人",项目基本情况!B10="北京市"),C6*F31/(1+'数据-取费表'!C42),C32+C33+C34),0)</f>
        <v>1850</v>
      </c>
      <c r="D31" s="1847" t="s">
        <v>1592</v>
      </c>
      <c r="E31" s="1845" t="s">
        <v>1593</v>
      </c>
      <c r="F31" s="2926" t="str">
        <f>IF(项目基本情况!B11="企业","——",IF('数据-取费表'!B10="住宅",IF(F6*F7*F8/12/(1+'数据-取费表'!F30)&gt;100000,4%,2.5%),IF(F6*F7*F8/12/(1+'数据-取费表'!F30)&gt;100000,12%,7%)))</f>
        <v>——</v>
      </c>
      <c r="G31" s="1899"/>
      <c r="H31" s="3166" t="s">
        <v>2715</v>
      </c>
      <c r="I31" s="1903"/>
      <c r="J31" s="1904"/>
      <c r="K31" s="1905"/>
      <c r="L31" s="1906"/>
      <c r="M31" s="1907"/>
    </row>
    <row r="32" spans="1:33" ht="18" customHeight="1">
      <c r="A32" s="1532" t="s">
        <v>1631</v>
      </c>
      <c r="B32" s="757" t="s">
        <v>1594</v>
      </c>
      <c r="C32" s="53">
        <f ca="1">ROUND(C6*F32/(1+'数据-取费表'!C42),1)</f>
        <v>580</v>
      </c>
      <c r="D32" s="1845" t="s">
        <v>1595</v>
      </c>
      <c r="E32" s="757" t="s">
        <v>1596</v>
      </c>
      <c r="F32" s="782">
        <f>'数据-取费表'!B41</f>
        <v>5.5000000000000007E-2</v>
      </c>
      <c r="G32" s="1899"/>
      <c r="H32" s="1908"/>
      <c r="I32" s="1909"/>
      <c r="J32" s="1910"/>
      <c r="K32" s="1911"/>
      <c r="L32" s="1912"/>
      <c r="M32" s="1913"/>
    </row>
    <row r="33" spans="1:18" ht="18" customHeight="1">
      <c r="A33" s="1532" t="s">
        <v>1632</v>
      </c>
      <c r="B33" s="757" t="s">
        <v>1597</v>
      </c>
      <c r="C33" s="53">
        <f ca="1">IF(D33="按租金收入计税",ROUND(C6*F33/(1+'数据-取费表'!C42),1),IF(D33="按房产原值计税",ROUND(C29*F33*0.7,1),INDIRECT("'数据-取费表'!Aj"&amp;$G$1)))</f>
        <v>1265.5</v>
      </c>
      <c r="D33" s="783" t="s">
        <v>3425</v>
      </c>
      <c r="E33" s="757" t="s">
        <v>1596</v>
      </c>
      <c r="F33" s="782">
        <f>IF(D33="按租金收入计税",'数据-取费表'!B51,'数据-取费表'!B50)</f>
        <v>0.12</v>
      </c>
      <c r="G33" s="1899"/>
      <c r="H33" s="1914"/>
      <c r="I33" s="1914"/>
      <c r="J33" s="1914"/>
      <c r="K33" s="1915"/>
      <c r="L33" s="1914"/>
      <c r="M33" s="1914"/>
    </row>
    <row r="34" spans="1:18" ht="18" customHeight="1">
      <c r="A34" s="1535" t="s">
        <v>1633</v>
      </c>
      <c r="B34" s="339" t="s">
        <v>1598</v>
      </c>
      <c r="C34" s="54">
        <f ca="1">ROUND(F34*F35/10000,1)</f>
        <v>4.5</v>
      </c>
      <c r="D34" s="786" t="s">
        <v>1599</v>
      </c>
      <c r="E34" s="757" t="s">
        <v>1600</v>
      </c>
      <c r="F34" s="615">
        <f>'数据-取费表'!B52</f>
        <v>1.5</v>
      </c>
      <c r="G34" s="1899"/>
      <c r="H34" s="1902"/>
      <c r="I34" s="807" t="s">
        <v>1613</v>
      </c>
      <c r="J34" s="808"/>
      <c r="K34" s="1917"/>
      <c r="L34" s="1916"/>
      <c r="M34" s="1916"/>
    </row>
    <row r="35" spans="1:18" ht="18" customHeight="1">
      <c r="A35" s="787"/>
      <c r="B35" s="766"/>
      <c r="C35" s="69"/>
      <c r="D35" s="788"/>
      <c r="E35" s="757" t="s">
        <v>1601</v>
      </c>
      <c r="F35" s="758">
        <f ca="1">INDIRECT("'数据-取费表'!r"&amp;$G$1)</f>
        <v>30101.08</v>
      </c>
      <c r="G35" s="1899"/>
      <c r="H35" s="1902"/>
      <c r="I35" s="809" t="s">
        <v>1614</v>
      </c>
      <c r="J35" s="810">
        <f ca="1">ROUND(C13*J36,0)</f>
        <v>3773</v>
      </c>
      <c r="K35" s="1915"/>
      <c r="L35" s="1914"/>
      <c r="M35" s="1914"/>
    </row>
    <row r="36" spans="1:18" ht="18" customHeight="1">
      <c r="A36" s="1533" t="s">
        <v>1685</v>
      </c>
      <c r="B36" s="757" t="s">
        <v>1602</v>
      </c>
      <c r="C36" s="53">
        <f ca="1">ROUND(C29*F36,1)</f>
        <v>1179.0999999999999</v>
      </c>
      <c r="D36" s="1845" t="s">
        <v>1603</v>
      </c>
      <c r="E36" s="757" t="s">
        <v>1596</v>
      </c>
      <c r="F36" s="789">
        <f ca="1">INDIRECT("'数据-取费表'!Ak"&amp;$G$1)</f>
        <v>2.5000000000000001E-2</v>
      </c>
      <c r="G36" s="1899"/>
      <c r="H36" s="1914"/>
      <c r="I36" s="811" t="s">
        <v>1615</v>
      </c>
      <c r="J36" s="812">
        <f ca="1">INDIRECT("'数据-取费表'!j"&amp;$G$1)</f>
        <v>0.08</v>
      </c>
      <c r="K36" s="1918"/>
      <c r="L36" s="1914"/>
      <c r="M36" s="1914"/>
    </row>
    <row r="37" spans="1:18" ht="18" customHeight="1">
      <c r="A37" s="1533" t="s">
        <v>1686</v>
      </c>
      <c r="B37" s="757" t="s">
        <v>661</v>
      </c>
      <c r="C37" s="53">
        <f ca="1">ROUND(C13*F37,1)</f>
        <v>141.5</v>
      </c>
      <c r="D37" s="1845" t="s">
        <v>1604</v>
      </c>
      <c r="E37" s="757" t="s">
        <v>1596</v>
      </c>
      <c r="F37" s="790">
        <f ca="1">INDIRECT("'数据-取费表'!Al"&amp;$G$1)</f>
        <v>3.0000000000000001E-3</v>
      </c>
      <c r="G37" s="1899"/>
      <c r="H37" s="1914"/>
      <c r="I37" s="813" t="s">
        <v>1616</v>
      </c>
      <c r="J37" s="814"/>
      <c r="K37" s="1918"/>
      <c r="L37" s="1914"/>
      <c r="M37" s="1914"/>
    </row>
    <row r="38" spans="1:18" ht="18" customHeight="1" thickBot="1">
      <c r="A38" s="2327" t="s">
        <v>1687</v>
      </c>
      <c r="B38" s="2322" t="s">
        <v>648</v>
      </c>
      <c r="C38" s="2320">
        <f ca="1">ROUND(C5*F38,1)</f>
        <v>332.2</v>
      </c>
      <c r="D38" s="2321" t="s">
        <v>1605</v>
      </c>
      <c r="E38" s="2322" t="s">
        <v>1596</v>
      </c>
      <c r="F38" s="2318">
        <f ca="1">INDIRECT("'数据-取费表'!Am"&amp;$G$1)</f>
        <v>0.03</v>
      </c>
      <c r="G38" s="1899"/>
      <c r="H38" s="1914"/>
      <c r="I38" s="815" t="s">
        <v>1617</v>
      </c>
      <c r="J38" s="816"/>
      <c r="K38" s="1919"/>
      <c r="L38" s="1914"/>
      <c r="M38" s="1914"/>
    </row>
    <row r="39" spans="1:18" ht="24.6" customHeight="1" thickTop="1">
      <c r="A39" s="1699" t="s">
        <v>1690</v>
      </c>
      <c r="B39" s="2644" t="s">
        <v>2535</v>
      </c>
      <c r="C39" s="765">
        <f ca="1">C5-C30</f>
        <v>7570</v>
      </c>
      <c r="D39" s="2324" t="s">
        <v>1606</v>
      </c>
      <c r="E39" s="2325"/>
      <c r="F39" s="2326"/>
      <c r="G39" s="1899"/>
      <c r="H39" s="1914"/>
      <c r="I39" s="809" t="s">
        <v>1618</v>
      </c>
      <c r="J39" s="817">
        <f ca="1">ROUND(J35/C39,3)</f>
        <v>0.498</v>
      </c>
      <c r="K39" s="1919"/>
      <c r="L39" s="1914"/>
      <c r="M39" s="1914"/>
    </row>
    <row r="40" spans="1:18" ht="18" customHeight="1">
      <c r="A40" s="754" t="s">
        <v>1691</v>
      </c>
      <c r="B40" s="2066" t="s">
        <v>2088</v>
      </c>
      <c r="C40" s="756">
        <f ca="1">ROUND(C39*(1-((1+F42)/(1+F40))^F41)/(F40-F42),0)</f>
        <v>107593</v>
      </c>
      <c r="D40" s="786" t="s">
        <v>1607</v>
      </c>
      <c r="E40" s="757" t="s">
        <v>2203</v>
      </c>
      <c r="F40" s="767">
        <f ca="1">INDIRECT("'数据-取费表'!I"&amp;$G$1)</f>
        <v>0.06</v>
      </c>
      <c r="G40" s="1899"/>
      <c r="H40" s="1899"/>
      <c r="I40" s="809" t="s">
        <v>1619</v>
      </c>
      <c r="J40" s="817">
        <f ca="1">1-J39</f>
        <v>0.502</v>
      </c>
      <c r="K40" s="1919"/>
      <c r="L40" s="1899"/>
      <c r="M40" s="1899"/>
    </row>
    <row r="41" spans="1:18" ht="18" customHeight="1">
      <c r="A41" s="759"/>
      <c r="B41" s="760"/>
      <c r="C41" s="761"/>
      <c r="D41" s="793" t="s">
        <v>1608</v>
      </c>
      <c r="E41" s="757" t="s">
        <v>2652</v>
      </c>
      <c r="F41" s="794">
        <f ca="1">IF(INDIRECT("'数据-取费表'!af"&amp;$G$1)=0,INDIRECT("'数据-取费表'!ae"&amp;$G$1),INDIRECT("'数据-取费表'!af"&amp;$G$1))</f>
        <v>32.880000000000003</v>
      </c>
      <c r="G41" s="1899"/>
      <c r="H41" s="1854"/>
      <c r="I41" s="815" t="s">
        <v>1620</v>
      </c>
      <c r="J41" s="818"/>
      <c r="K41" s="1918"/>
      <c r="L41" s="1854"/>
      <c r="M41" s="1854"/>
    </row>
    <row r="42" spans="1:18" ht="18" customHeight="1">
      <c r="A42" s="763"/>
      <c r="B42" s="764"/>
      <c r="C42" s="765"/>
      <c r="D42" s="788"/>
      <c r="E42" s="757" t="s">
        <v>1609</v>
      </c>
      <c r="F42" s="767">
        <f ca="1">INDIRECT("'数据-取费表'!v"&amp;$G$1)</f>
        <v>0</v>
      </c>
      <c r="G42" s="1899"/>
      <c r="H42" s="1854"/>
      <c r="I42" s="819" t="s">
        <v>1621</v>
      </c>
      <c r="J42" s="817">
        <f ca="1">ROUND(C13/C40,3)</f>
        <v>0.438</v>
      </c>
      <c r="K42" s="1918"/>
      <c r="L42" s="1854"/>
      <c r="M42" s="1854"/>
    </row>
    <row r="43" spans="1:18" ht="18" customHeight="1" thickBot="1">
      <c r="A43" s="795" t="s">
        <v>1587</v>
      </c>
      <c r="B43" s="796" t="s">
        <v>1610</v>
      </c>
      <c r="C43" s="797">
        <f ca="1">ROUND(C40*10000/F43,0)</f>
        <v>40259</v>
      </c>
      <c r="D43" s="798" t="s">
        <v>1611</v>
      </c>
      <c r="E43" s="799" t="s">
        <v>1612</v>
      </c>
      <c r="F43" s="800">
        <f ca="1">INDIRECT("'数据-取费表'!k"&amp;$G$1)</f>
        <v>26725.120000000003</v>
      </c>
      <c r="G43" s="1899"/>
      <c r="H43" s="1854"/>
      <c r="I43" s="819" t="s">
        <v>1622</v>
      </c>
      <c r="J43" s="820">
        <f ca="1">1-J42</f>
        <v>0.56200000000000006</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2082</v>
      </c>
      <c r="B46" s="1921"/>
      <c r="C46" s="2348">
        <f ca="1">C67-C40</f>
        <v>-126440</v>
      </c>
      <c r="D46" s="3170"/>
      <c r="E46" s="3170"/>
      <c r="F46" s="3170"/>
      <c r="I46" s="2187" t="s">
        <v>2127</v>
      </c>
      <c r="J46" s="2188"/>
      <c r="K46" s="2189"/>
      <c r="L46" s="2729">
        <f>IF(OR(M47="住宅",D1="土地（套用方法）"),0,IF(L48&gt;J51,L60,J60))</f>
        <v>0</v>
      </c>
      <c r="M46" s="3171"/>
      <c r="O46" s="2203" t="s">
        <v>2194</v>
      </c>
      <c r="P46" s="1483"/>
      <c r="Q46" s="1491"/>
      <c r="R46" s="1483"/>
    </row>
    <row r="47" spans="1:18" s="1896" customFormat="1" ht="18" customHeight="1" thickBot="1">
      <c r="A47" s="2181">
        <v>1</v>
      </c>
      <c r="B47" s="2182" t="s">
        <v>617</v>
      </c>
      <c r="C47" s="2348">
        <f ca="1">C48+C52+C54</f>
        <v>0</v>
      </c>
      <c r="D47" s="3170"/>
      <c r="E47" s="3170"/>
      <c r="F47" s="3170"/>
      <c r="I47" s="2720" t="s">
        <v>2128</v>
      </c>
      <c r="J47" s="2190" t="s">
        <v>3426</v>
      </c>
      <c r="K47" s="2726" t="s">
        <v>2133</v>
      </c>
      <c r="L47" s="2730">
        <f ca="1">INDIRECT("'数据-取费表'!d"&amp;$G$1)</f>
        <v>40</v>
      </c>
      <c r="M47" s="1491" t="str">
        <f>IF(ISNUMBER(FIND("住宅",C1)),"住宅","非住宅")</f>
        <v>非住宅</v>
      </c>
      <c r="O47" s="2204" t="s">
        <v>2159</v>
      </c>
      <c r="P47" s="2205" t="s">
        <v>2160</v>
      </c>
      <c r="Q47" s="2206" t="s">
        <v>2161</v>
      </c>
      <c r="R47" s="2205" t="s">
        <v>2162</v>
      </c>
    </row>
    <row r="48" spans="1:18" s="1896" customFormat="1" ht="18" customHeight="1" thickBot="1">
      <c r="A48" s="2406" t="s">
        <v>2252</v>
      </c>
      <c r="B48" s="2407" t="s">
        <v>2253</v>
      </c>
      <c r="C48" s="2183">
        <f ca="1">ROUND(F48*F50*F49*(1-F51)/10000,0)</f>
        <v>0</v>
      </c>
      <c r="D48" s="2184" t="s">
        <v>618</v>
      </c>
      <c r="E48" s="2185" t="s">
        <v>2083</v>
      </c>
      <c r="F48" s="2186"/>
      <c r="G48" s="1926"/>
      <c r="I48" s="2717" t="s">
        <v>2129</v>
      </c>
      <c r="J48" s="2191" t="s">
        <v>2134</v>
      </c>
      <c r="K48" s="2727" t="s">
        <v>2135</v>
      </c>
      <c r="L48" s="1777">
        <f ca="1">INDIRECT("'数据-取费表'!f"&amp;$G$1)</f>
        <v>35.880000000000003</v>
      </c>
      <c r="M48" s="3171"/>
      <c r="O48" s="2207" t="s">
        <v>2163</v>
      </c>
      <c r="P48" s="2208" t="s">
        <v>2189</v>
      </c>
      <c r="Q48" s="2209">
        <f ca="1">C40+J29</f>
        <v>107593</v>
      </c>
      <c r="R48" s="2208" t="s">
        <v>2164</v>
      </c>
    </row>
    <row r="49" spans="1:18" s="1896" customFormat="1" ht="18" customHeight="1" thickBot="1">
      <c r="A49" s="759"/>
      <c r="B49" s="760"/>
      <c r="C49" s="761"/>
      <c r="D49" s="762"/>
      <c r="E49" s="757" t="s">
        <v>1539</v>
      </c>
      <c r="F49" s="758">
        <f ca="1">F7</f>
        <v>1</v>
      </c>
      <c r="G49" s="1926"/>
      <c r="H49" s="1929"/>
      <c r="I49" s="2717" t="s">
        <v>2130</v>
      </c>
      <c r="J49" s="2192"/>
      <c r="K49" s="2728" t="s">
        <v>2136</v>
      </c>
      <c r="L49" s="2193"/>
      <c r="M49" s="3171"/>
      <c r="O49" s="2207" t="s">
        <v>2165</v>
      </c>
      <c r="P49" s="2208" t="s">
        <v>2190</v>
      </c>
      <c r="Q49" s="2209" t="str">
        <f ca="1">J60</f>
        <v>0</v>
      </c>
      <c r="R49" s="2208" t="s">
        <v>2166</v>
      </c>
    </row>
    <row r="50" spans="1:18" s="1896" customFormat="1" ht="18" customHeight="1" thickBot="1">
      <c r="A50" s="759"/>
      <c r="B50" s="760"/>
      <c r="C50" s="761"/>
      <c r="D50" s="762"/>
      <c r="E50" s="757" t="s">
        <v>1540</v>
      </c>
      <c r="F50" s="758">
        <f ca="1">F8</f>
        <v>1</v>
      </c>
      <c r="G50" s="1931"/>
      <c r="H50" s="1929"/>
      <c r="I50" s="2717" t="s">
        <v>2131</v>
      </c>
      <c r="J50" s="2724">
        <f>SUMPRODUCT((I63:I65=J47)*(J62:L62=J48)*(J63:L65))</f>
        <v>60</v>
      </c>
      <c r="K50" s="2728" t="s">
        <v>2137</v>
      </c>
      <c r="L50" s="2193"/>
      <c r="M50" s="3171"/>
      <c r="O50" s="2210" t="s">
        <v>2167</v>
      </c>
      <c r="P50" s="2208" t="s">
        <v>2191</v>
      </c>
      <c r="Q50" s="2209">
        <f ca="1">C29</f>
        <v>47164</v>
      </c>
      <c r="R50" s="2208" t="s">
        <v>2164</v>
      </c>
    </row>
    <row r="51" spans="1:18" s="1896" customFormat="1" ht="18" customHeight="1" thickBot="1">
      <c r="A51" s="759"/>
      <c r="B51" s="760"/>
      <c r="C51" s="761"/>
      <c r="D51" s="762"/>
      <c r="E51" s="757" t="s">
        <v>622</v>
      </c>
      <c r="F51" s="2180"/>
      <c r="H51" s="1929"/>
      <c r="I51" s="2721" t="s">
        <v>2132</v>
      </c>
      <c r="J51" s="2725">
        <f>IF(J49="",J50,J49+J50-YEAR('数据-取费表'!B2))</f>
        <v>60</v>
      </c>
      <c r="K51" s="2717" t="s">
        <v>2138</v>
      </c>
      <c r="L51" s="2731">
        <f ca="1">ROUND(-PV(INDIRECT("'数据-取费表'!h"&amp;$G$1),J51,(C39-C13*J36),0),0)</f>
        <v>66255</v>
      </c>
      <c r="M51" s="3171"/>
      <c r="O51" s="2210" t="s">
        <v>2168</v>
      </c>
      <c r="P51" s="2208" t="s">
        <v>2169</v>
      </c>
      <c r="Q51" s="2211" t="e">
        <f ca="1">J58</f>
        <v>#VALUE!</v>
      </c>
      <c r="R51" s="2212"/>
    </row>
    <row r="52" spans="1:18" s="1896" customFormat="1" ht="18" customHeight="1" thickBot="1">
      <c r="A52" s="754" t="s">
        <v>2251</v>
      </c>
      <c r="B52" s="2299" t="s">
        <v>2235</v>
      </c>
      <c r="C52" s="772">
        <f ca="1">ROUND(IF(F52="押一",C48/12*F11,IF(F52="押二",C48/12*2*F11,IF(F52="押三",C48/12*3*F11,C53*F11))),0)</f>
        <v>0</v>
      </c>
      <c r="D52" s="2306" t="s">
        <v>2661</v>
      </c>
      <c r="E52" s="2303" t="s">
        <v>2240</v>
      </c>
      <c r="F52" s="2387"/>
      <c r="I52" s="2722" t="s">
        <v>2205</v>
      </c>
      <c r="J52" s="2194"/>
      <c r="K52" s="2722" t="s">
        <v>2204</v>
      </c>
      <c r="L52" s="2194"/>
      <c r="M52" s="3171"/>
      <c r="O52" s="2210" t="s">
        <v>2170</v>
      </c>
      <c r="P52" s="2208" t="s">
        <v>2171</v>
      </c>
      <c r="Q52" s="2211">
        <f>J52</f>
        <v>0</v>
      </c>
      <c r="R52" s="2212"/>
    </row>
    <row r="53" spans="1:18" s="1896" customFormat="1" ht="39.75" customHeight="1" thickBot="1">
      <c r="A53" s="759"/>
      <c r="B53" s="2300" t="s">
        <v>2288</v>
      </c>
      <c r="C53" s="2304"/>
      <c r="D53" s="2306"/>
      <c r="E53" s="2303"/>
      <c r="F53" s="773"/>
      <c r="I53" s="2723" t="s">
        <v>2664</v>
      </c>
      <c r="J53" s="2776">
        <f ca="1">IF(M47="住宅",IF(D1="——",MAX(J51,L48),MAX(J51,L48-'数据-取费表'!B20)),IF(D1="——",MIN(J51,L48),MIN(J51,L48-'数据-取费表'!B20)))</f>
        <v>32.880000000000003</v>
      </c>
      <c r="K53" s="3855" t="s">
        <v>2654</v>
      </c>
      <c r="L53" s="3856"/>
      <c r="M53" s="3171"/>
      <c r="O53" s="2210" t="s">
        <v>2172</v>
      </c>
      <c r="P53" s="2208" t="s">
        <v>2173</v>
      </c>
      <c r="Q53" s="2209">
        <f ca="1">J53</f>
        <v>32.880000000000003</v>
      </c>
      <c r="R53" s="2208" t="s">
        <v>2174</v>
      </c>
    </row>
    <row r="54" spans="1:18" s="1896" customFormat="1" ht="18" customHeight="1" thickBot="1">
      <c r="A54" s="2313" t="s">
        <v>2243</v>
      </c>
      <c r="B54" s="2314" t="s">
        <v>2236</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2175</v>
      </c>
      <c r="P54" s="2208" t="s">
        <v>2192</v>
      </c>
      <c r="Q54" s="2209">
        <f ca="1">Q48+Q49</f>
        <v>107593</v>
      </c>
      <c r="R54" s="2212" t="s">
        <v>2176</v>
      </c>
    </row>
    <row r="55" spans="1:18" s="1896" customFormat="1" ht="18" customHeight="1" thickTop="1" thickBot="1">
      <c r="A55" s="770">
        <v>2</v>
      </c>
      <c r="B55" s="771" t="s">
        <v>626</v>
      </c>
      <c r="C55" s="772">
        <f ca="1">C13</f>
        <v>47164</v>
      </c>
      <c r="D55" s="768"/>
      <c r="E55" s="768"/>
      <c r="F55" s="773"/>
      <c r="I55" s="2734" t="s">
        <v>2139</v>
      </c>
      <c r="J55" s="2706" t="e">
        <f ca="1">ROUND(IF(J47="钢混",J57/J50,1-(1-2%)*(J50-J57)/J50),3)</f>
        <v>#VALUE!</v>
      </c>
      <c r="K55" s="2735" t="s">
        <v>2140</v>
      </c>
      <c r="L55" s="2195"/>
      <c r="M55" s="3171"/>
      <c r="O55" s="2213" t="s">
        <v>2195</v>
      </c>
      <c r="P55" s="1483"/>
      <c r="Q55" s="1491"/>
      <c r="R55" s="1483"/>
    </row>
    <row r="56" spans="1:18" s="1896" customFormat="1" ht="42.75" customHeight="1" thickBot="1">
      <c r="A56" s="1534"/>
      <c r="B56" s="2065" t="s">
        <v>2089</v>
      </c>
      <c r="C56" s="53">
        <f ca="1">C29</f>
        <v>47164</v>
      </c>
      <c r="D56" s="2403"/>
      <c r="E56" s="757"/>
      <c r="F56" s="782"/>
      <c r="I56" s="2736" t="s">
        <v>2141</v>
      </c>
      <c r="J56" s="2746" t="s">
        <v>1478</v>
      </c>
      <c r="K56" s="2717" t="s">
        <v>2146</v>
      </c>
      <c r="L56" s="1777" t="str">
        <f ca="1">IF(L48&lt;J51,"——",L48-J51)</f>
        <v>——</v>
      </c>
      <c r="M56" s="3171"/>
      <c r="O56" s="2204" t="s">
        <v>2159</v>
      </c>
      <c r="P56" s="2205" t="s">
        <v>2160</v>
      </c>
      <c r="Q56" s="2206" t="s">
        <v>2161</v>
      </c>
      <c r="R56" s="2205" t="s">
        <v>2162</v>
      </c>
    </row>
    <row r="57" spans="1:18" s="1896" customFormat="1" ht="28.5" customHeight="1" thickBot="1">
      <c r="A57" s="770" t="s">
        <v>1548</v>
      </c>
      <c r="B57" s="771" t="s">
        <v>633</v>
      </c>
      <c r="C57" s="772">
        <f ca="1">ROUND(C58+C63+C64+C65,0)</f>
        <v>1326</v>
      </c>
      <c r="D57" s="26" t="s">
        <v>1550</v>
      </c>
      <c r="E57" s="2404"/>
      <c r="F57" s="56"/>
      <c r="I57" s="2737" t="s">
        <v>2142</v>
      </c>
      <c r="J57" s="2738" t="str">
        <f ca="1">IF(OR(M47="住宅",J51&lt;L48,J56="是"),"——",J51-L48)</f>
        <v>——</v>
      </c>
      <c r="K57" s="2717" t="s">
        <v>2147</v>
      </c>
      <c r="L57" s="1777" t="str">
        <f ca="1">IF(L48&lt;J51,"——",IF(L55="比较法",L49,IF(L55="基准地价",L50,L51)))</f>
        <v>——</v>
      </c>
      <c r="M57" s="3171"/>
      <c r="O57" s="2207" t="s">
        <v>2163</v>
      </c>
      <c r="P57" s="2208" t="s">
        <v>2193</v>
      </c>
      <c r="Q57" s="2209">
        <f ca="1">C40+J29</f>
        <v>107593</v>
      </c>
      <c r="R57" s="2208" t="s">
        <v>2164</v>
      </c>
    </row>
    <row r="58" spans="1:18" s="1896" customFormat="1" ht="28.5" customHeight="1" thickBot="1">
      <c r="A58" s="1533" t="s">
        <v>1624</v>
      </c>
      <c r="B58" s="757" t="s">
        <v>638</v>
      </c>
      <c r="C58" s="2927">
        <f ca="1">ROUND(IF(AND(项目基本情况!B11="自然人",项目基本情况!B10="北京市"),C48*F58/(1+'数据-取费表'!C42),C59+C60+C61),0)</f>
        <v>5</v>
      </c>
      <c r="D58" s="2402" t="s">
        <v>639</v>
      </c>
      <c r="E58" s="2403" t="s">
        <v>672</v>
      </c>
      <c r="F58" s="2926" t="str">
        <f>IF(项目基本情况!B11="企业","——",IF('数据-取费表'!B10="住宅",IF(F48*F49*F50/12/(1+'数据-取费表'!F30)&gt;100000,4%,2.5%),IF(F48*F49*F50/12/(1+'数据-取费表'!F30)&gt;100000,12%,7%)))</f>
        <v>——</v>
      </c>
      <c r="I58" s="2737" t="s">
        <v>2143</v>
      </c>
      <c r="J58" s="2707" t="e">
        <f ca="1">IF(J55&lt;0.4,0.4,J55)</f>
        <v>#VALUE!</v>
      </c>
      <c r="K58" s="2717" t="s">
        <v>2148</v>
      </c>
      <c r="L58" s="1777" t="e">
        <f ca="1">ROUND(POWER(1+L52,L47-L48)*(POWER(1+L52,L48)-1)/(POWER(1+L52,L47)-1),4)</f>
        <v>#DIV/0!</v>
      </c>
      <c r="M58" s="3171"/>
      <c r="O58" s="2207" t="s">
        <v>2165</v>
      </c>
      <c r="P58" s="2208" t="s">
        <v>2196</v>
      </c>
      <c r="Q58" s="2209">
        <f ca="1">L60</f>
        <v>0</v>
      </c>
      <c r="R58" s="2212" t="s">
        <v>2198</v>
      </c>
    </row>
    <row r="59" spans="1:18" s="1896" customFormat="1" ht="28.5" customHeight="1" thickBot="1">
      <c r="A59" s="1532" t="s">
        <v>1631</v>
      </c>
      <c r="B59" s="757" t="s">
        <v>642</v>
      </c>
      <c r="C59" s="53">
        <f ca="1">ROUND(C47*F59/1.05,1)</f>
        <v>0</v>
      </c>
      <c r="D59" s="2403" t="s">
        <v>1556</v>
      </c>
      <c r="E59" s="757" t="s">
        <v>1547</v>
      </c>
      <c r="F59" s="782">
        <f t="shared" ref="F59:F65" si="0">F32</f>
        <v>5.5000000000000007E-2</v>
      </c>
      <c r="I59" s="2737" t="s">
        <v>2144</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2167</v>
      </c>
      <c r="P59" s="2208" t="s">
        <v>2197</v>
      </c>
      <c r="Q59" s="2209">
        <f>IF(L55="比较法",L49,IF(L55="基准地价",L50,0))</f>
        <v>0</v>
      </c>
      <c r="R59" s="2208" t="s">
        <v>2164</v>
      </c>
    </row>
    <row r="60" spans="1:18" s="1896" customFormat="1" ht="18" customHeight="1" thickBot="1">
      <c r="A60" s="1532"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9" t="s">
        <v>2145</v>
      </c>
      <c r="J60" s="2740" t="str">
        <f ca="1">IF(OR(M47="住宅",J51&lt;L48,J56="是"),"0",ROUND(J59/(1+J52)^J53,0))</f>
        <v>0</v>
      </c>
      <c r="K60" s="2741" t="s">
        <v>2150</v>
      </c>
      <c r="L60" s="2740">
        <f ca="1">IF(OR(M47="住宅",L48&lt;J51),0,ROUND(L57*(L58/L59-1),0))</f>
        <v>0</v>
      </c>
      <c r="M60" s="3171"/>
      <c r="O60" s="2210" t="s">
        <v>2168</v>
      </c>
      <c r="P60" s="2208" t="s">
        <v>2177</v>
      </c>
      <c r="Q60" s="2211">
        <f>L52</f>
        <v>0</v>
      </c>
      <c r="R60" s="2212"/>
    </row>
    <row r="61" spans="1:18" s="1896" customFormat="1" ht="18" customHeight="1" thickBot="1">
      <c r="A61" s="1535" t="s">
        <v>1633</v>
      </c>
      <c r="B61" s="339" t="s">
        <v>650</v>
      </c>
      <c r="C61" s="54">
        <f ca="1">ROUND(F61*F62/10000,1)</f>
        <v>4.5</v>
      </c>
      <c r="D61" s="786" t="s">
        <v>651</v>
      </c>
      <c r="E61" s="757" t="s">
        <v>652</v>
      </c>
      <c r="F61" s="615">
        <f t="shared" si="0"/>
        <v>1.5</v>
      </c>
      <c r="K61" s="1922"/>
      <c r="O61" s="2210" t="s">
        <v>2170</v>
      </c>
      <c r="P61" s="2208" t="s">
        <v>2178</v>
      </c>
      <c r="Q61" s="2209" t="e">
        <f ca="1">L58</f>
        <v>#DIV/0!</v>
      </c>
      <c r="R61" s="2212" t="s">
        <v>2179</v>
      </c>
    </row>
    <row r="62" spans="1:18" s="1896" customFormat="1" ht="15.75" thickBot="1">
      <c r="A62" s="787"/>
      <c r="B62" s="766"/>
      <c r="C62" s="69"/>
      <c r="D62" s="788"/>
      <c r="E62" s="757" t="s">
        <v>656</v>
      </c>
      <c r="F62" s="758">
        <f t="shared" ca="1" si="0"/>
        <v>30101.08</v>
      </c>
      <c r="I62" s="2742" t="s">
        <v>2151</v>
      </c>
      <c r="J62" s="2743" t="s">
        <v>2152</v>
      </c>
      <c r="K62" s="2743" t="s">
        <v>2153</v>
      </c>
      <c r="L62" s="2743" t="s">
        <v>2134</v>
      </c>
      <c r="M62" s="2744" t="s">
        <v>2633</v>
      </c>
      <c r="O62" s="2210" t="s">
        <v>2172</v>
      </c>
      <c r="P62" s="2208" t="str">
        <f>K59</f>
        <v>建设期及建筑物耐用年限下的土地年期修正系数Kn</v>
      </c>
      <c r="Q62" s="2209" t="e">
        <f ca="1">L59</f>
        <v>#DIV/0!</v>
      </c>
      <c r="R62" s="2212" t="s">
        <v>2181</v>
      </c>
    </row>
    <row r="63" spans="1:18" s="1896" customFormat="1" ht="15.75" thickBot="1">
      <c r="A63" s="1533" t="s">
        <v>1685</v>
      </c>
      <c r="B63" s="757" t="s">
        <v>658</v>
      </c>
      <c r="C63" s="53">
        <f ca="1">ROUND(C56*F63,1)</f>
        <v>1179.0999999999999</v>
      </c>
      <c r="D63" s="2403" t="s">
        <v>1603</v>
      </c>
      <c r="E63" s="757" t="s">
        <v>1547</v>
      </c>
      <c r="F63" s="789">
        <f t="shared" ca="1" si="0"/>
        <v>2.5000000000000001E-2</v>
      </c>
      <c r="I63" s="2742" t="s">
        <v>2154</v>
      </c>
      <c r="J63" s="2743">
        <v>70</v>
      </c>
      <c r="K63" s="2743">
        <v>50</v>
      </c>
      <c r="L63" s="2743">
        <v>80</v>
      </c>
      <c r="M63" s="2745">
        <v>0.02</v>
      </c>
      <c r="O63" s="2207" t="s">
        <v>2175</v>
      </c>
      <c r="P63" s="2208" t="s">
        <v>2192</v>
      </c>
      <c r="Q63" s="2209">
        <f ca="1">Q57+Q58</f>
        <v>107593</v>
      </c>
      <c r="R63" s="2212" t="s">
        <v>2176</v>
      </c>
    </row>
    <row r="64" spans="1:18" s="1896" customFormat="1" ht="16.5" thickBot="1">
      <c r="A64" s="1533" t="s">
        <v>1686</v>
      </c>
      <c r="B64" s="757" t="s">
        <v>661</v>
      </c>
      <c r="C64" s="53">
        <f ca="1">ROUND(C55*F64,1)</f>
        <v>141.5</v>
      </c>
      <c r="D64" s="2403" t="s">
        <v>662</v>
      </c>
      <c r="E64" s="757" t="s">
        <v>1547</v>
      </c>
      <c r="F64" s="790">
        <f t="shared" ca="1" si="0"/>
        <v>3.0000000000000001E-3</v>
      </c>
      <c r="I64" s="2742" t="s">
        <v>2155</v>
      </c>
      <c r="J64" s="2743">
        <v>50</v>
      </c>
      <c r="K64" s="2743">
        <v>35</v>
      </c>
      <c r="L64" s="2743">
        <v>60</v>
      </c>
      <c r="M64" s="818">
        <v>0</v>
      </c>
      <c r="O64" s="2213" t="s">
        <v>2199</v>
      </c>
      <c r="P64" s="1483"/>
      <c r="Q64" s="1491"/>
      <c r="R64" s="1483"/>
    </row>
    <row r="65" spans="1:18" s="1896" customFormat="1" ht="15.75" thickBot="1">
      <c r="A65" s="1533" t="s">
        <v>1687</v>
      </c>
      <c r="B65" s="757" t="s">
        <v>648</v>
      </c>
      <c r="C65" s="53">
        <f ca="1">ROUND(C47*F65,1)</f>
        <v>0</v>
      </c>
      <c r="D65" s="2403" t="s">
        <v>665</v>
      </c>
      <c r="E65" s="757" t="s">
        <v>1547</v>
      </c>
      <c r="F65" s="767">
        <f t="shared" ca="1" si="0"/>
        <v>0.03</v>
      </c>
      <c r="I65" s="2742" t="s">
        <v>2156</v>
      </c>
      <c r="J65" s="2743">
        <v>40</v>
      </c>
      <c r="K65" s="2743">
        <v>30</v>
      </c>
      <c r="L65" s="2743">
        <v>50</v>
      </c>
      <c r="M65" s="2745">
        <v>0.02</v>
      </c>
      <c r="O65" s="2204" t="s">
        <v>2159</v>
      </c>
      <c r="P65" s="2205" t="s">
        <v>2160</v>
      </c>
      <c r="Q65" s="2206" t="s">
        <v>2161</v>
      </c>
      <c r="R65" s="2205" t="s">
        <v>2162</v>
      </c>
    </row>
    <row r="66" spans="1:18" s="1896" customFormat="1" ht="24.75" thickBot="1">
      <c r="A66" s="770" t="s">
        <v>1576</v>
      </c>
      <c r="B66" s="2645" t="s">
        <v>2535</v>
      </c>
      <c r="C66" s="772">
        <f ca="1">C47-C57</f>
        <v>-1326</v>
      </c>
      <c r="D66" s="2402" t="s">
        <v>682</v>
      </c>
      <c r="E66" s="2401"/>
      <c r="F66" s="792"/>
      <c r="K66" s="1922"/>
      <c r="O66" s="2207" t="s">
        <v>2163</v>
      </c>
      <c r="P66" s="2208" t="s">
        <v>2193</v>
      </c>
      <c r="Q66" s="2209">
        <f ca="1">C40+J29</f>
        <v>107593</v>
      </c>
      <c r="R66" s="2208" t="s">
        <v>2164</v>
      </c>
    </row>
    <row r="67" spans="1:18" s="1896" customFormat="1" ht="20.25" thickBot="1">
      <c r="A67" s="754" t="s">
        <v>1580</v>
      </c>
      <c r="B67" s="2066" t="s">
        <v>2088</v>
      </c>
      <c r="C67" s="756">
        <f ca="1">ROUND(C66*(1-((1+F69)/(1+F67))^F68)/(F67-F69),0)</f>
        <v>-18847</v>
      </c>
      <c r="D67" s="786" t="s">
        <v>686</v>
      </c>
      <c r="E67" s="757" t="s">
        <v>687</v>
      </c>
      <c r="F67" s="767">
        <f ca="1">F40</f>
        <v>0.06</v>
      </c>
      <c r="K67" s="1922"/>
      <c r="O67" s="2207" t="s">
        <v>2165</v>
      </c>
      <c r="P67" s="2208" t="s">
        <v>2196</v>
      </c>
      <c r="Q67" s="2209">
        <f ca="1">L60</f>
        <v>0</v>
      </c>
      <c r="R67" s="2212" t="s">
        <v>2198</v>
      </c>
    </row>
    <row r="68" spans="1:18" ht="21.75" thickBot="1">
      <c r="A68" s="759"/>
      <c r="B68" s="760"/>
      <c r="C68" s="761"/>
      <c r="D68" s="793" t="s">
        <v>1608</v>
      </c>
      <c r="E68" s="757" t="s">
        <v>1584</v>
      </c>
      <c r="F68" s="794">
        <f ca="1">F41</f>
        <v>32.880000000000003</v>
      </c>
      <c r="O68" s="2210" t="s">
        <v>2167</v>
      </c>
      <c r="P68" s="2208" t="s">
        <v>2197</v>
      </c>
      <c r="Q68" s="2214">
        <f ca="1">L51</f>
        <v>66255</v>
      </c>
      <c r="R68" s="2215" t="s">
        <v>2200</v>
      </c>
    </row>
    <row r="69" spans="1:18" ht="20.25" thickBot="1">
      <c r="A69" s="763"/>
      <c r="B69" s="764"/>
      <c r="C69" s="765"/>
      <c r="D69" s="788"/>
      <c r="E69" s="757" t="s">
        <v>692</v>
      </c>
      <c r="F69" s="2180"/>
      <c r="O69" s="2210" t="s">
        <v>2168</v>
      </c>
      <c r="P69" s="2216" t="s">
        <v>2182</v>
      </c>
      <c r="Q69" s="2209">
        <f ca="1">ROUND(Q70-Q71*Q72,0)</f>
        <v>3797</v>
      </c>
      <c r="R69" s="2212"/>
    </row>
    <row r="70" spans="1:18" ht="15.75" thickBot="1">
      <c r="A70" s="795" t="s">
        <v>1587</v>
      </c>
      <c r="B70" s="796" t="s">
        <v>1610</v>
      </c>
      <c r="C70" s="797">
        <f ca="1">ROUND(C67*10000/F70,0)</f>
        <v>-7052</v>
      </c>
      <c r="D70" s="798" t="s">
        <v>1611</v>
      </c>
      <c r="E70" s="799" t="s">
        <v>1612</v>
      </c>
      <c r="F70" s="800">
        <f ca="1">F43</f>
        <v>26725.120000000003</v>
      </c>
      <c r="O70" s="2210" t="s">
        <v>2183</v>
      </c>
      <c r="P70" s="2216" t="s">
        <v>2184</v>
      </c>
      <c r="Q70" s="2209">
        <f ca="1">C39</f>
        <v>7570</v>
      </c>
      <c r="R70" s="2208" t="s">
        <v>2164</v>
      </c>
    </row>
    <row r="71" spans="1:18" ht="15.75" thickBot="1">
      <c r="O71" s="2210" t="s">
        <v>2185</v>
      </c>
      <c r="P71" s="2216" t="s">
        <v>2186</v>
      </c>
      <c r="Q71" s="2209">
        <f ca="1">C13</f>
        <v>47164</v>
      </c>
      <c r="R71" s="2208" t="s">
        <v>2164</v>
      </c>
    </row>
    <row r="72" spans="1:18" ht="15.75" thickBot="1">
      <c r="O72" s="2210" t="s">
        <v>2187</v>
      </c>
      <c r="P72" s="2216" t="s">
        <v>2188</v>
      </c>
      <c r="Q72" s="2211">
        <f ca="1">J36</f>
        <v>0.08</v>
      </c>
      <c r="R72" s="2212"/>
    </row>
    <row r="73" spans="1:18" ht="15.75" thickBot="1">
      <c r="O73" s="2210" t="s">
        <v>2170</v>
      </c>
      <c r="P73" s="2208" t="s">
        <v>2177</v>
      </c>
      <c r="Q73" s="2211">
        <f>L52</f>
        <v>0</v>
      </c>
      <c r="R73" s="2212"/>
    </row>
    <row r="74" spans="1:18" ht="20.25" thickBot="1">
      <c r="O74" s="2210" t="s">
        <v>2172</v>
      </c>
      <c r="P74" s="2208" t="s">
        <v>2178</v>
      </c>
      <c r="Q74" s="2209" t="e">
        <f ca="1">L58</f>
        <v>#DIV/0!</v>
      </c>
      <c r="R74" s="2212" t="s">
        <v>2179</v>
      </c>
    </row>
    <row r="75" spans="1:18" ht="15.75" thickBot="1">
      <c r="O75" s="2210" t="s">
        <v>2201</v>
      </c>
      <c r="P75" s="2208" t="str">
        <f>K59</f>
        <v>建设期及建筑物耐用年限下的土地年期修正系数Kn</v>
      </c>
      <c r="Q75" s="2209" t="e">
        <f ca="1">L59</f>
        <v>#DIV/0!</v>
      </c>
      <c r="R75" s="2212" t="s">
        <v>2181</v>
      </c>
    </row>
    <row r="76" spans="1:18" ht="15.75" thickBot="1">
      <c r="O76" s="2207" t="s">
        <v>2175</v>
      </c>
      <c r="P76" s="2208" t="s">
        <v>2192</v>
      </c>
      <c r="Q76" s="2209">
        <f ca="1">Q66+Q67</f>
        <v>107593</v>
      </c>
      <c r="R76" s="2212" t="s">
        <v>2176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7" priority="7">
      <formula>$L$48&gt;$J$51</formula>
    </cfRule>
  </conditionalFormatting>
  <conditionalFormatting sqref="I55">
    <cfRule type="expression" dxfId="6" priority="8">
      <formula>$J$51&gt;$L$48</formula>
    </cfRule>
  </conditionalFormatting>
  <conditionalFormatting sqref="I60">
    <cfRule type="expression" dxfId="5" priority="6">
      <formula>$J$51&gt;$L$48</formula>
    </cfRule>
  </conditionalFormatting>
  <conditionalFormatting sqref="K60">
    <cfRule type="expression" dxfId="4" priority="5">
      <formula>$L$48&gt;$J$51</formula>
    </cfRule>
  </conditionalFormatting>
  <conditionalFormatting sqref="C11">
    <cfRule type="expression" dxfId="3" priority="4">
      <formula>$F$10="自定义"</formula>
    </cfRule>
  </conditionalFormatting>
  <conditionalFormatting sqref="J11">
    <cfRule type="expression" dxfId="2" priority="2">
      <formula>$M$10="自定义"</formula>
    </cfRule>
  </conditionalFormatting>
  <conditionalFormatting sqref="C53">
    <cfRule type="expression" dxfId="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8"/>
  <sheetViews>
    <sheetView topLeftCell="A56" workbookViewId="0">
      <selection activeCell="G76" sqref="G76"/>
    </sheetView>
  </sheetViews>
  <sheetFormatPr defaultRowHeight="13.5"/>
  <cols>
    <col min="1" max="1" width="9" style="1663"/>
    <col min="2" max="2" width="35.625" style="1663" customWidth="1"/>
    <col min="3" max="3" width="10.5" bestFit="1" customWidth="1"/>
    <col min="4" max="4" width="11.875" customWidth="1"/>
    <col min="8" max="9" width="9.5" bestFit="1" customWidth="1"/>
  </cols>
  <sheetData>
    <row r="1" spans="1:2">
      <c r="A1" s="3452" t="s">
        <v>3100</v>
      </c>
    </row>
    <row r="2" spans="1:2">
      <c r="A2" s="3446" t="s">
        <v>3101</v>
      </c>
      <c r="B2" s="3446" t="s">
        <v>3102</v>
      </c>
    </row>
    <row r="3" spans="1:2">
      <c r="A3" s="3446" t="s">
        <v>3103</v>
      </c>
      <c r="B3" s="1663">
        <v>335760.22100000002</v>
      </c>
    </row>
    <row r="4" spans="1:2">
      <c r="A4" s="3446" t="s">
        <v>3104</v>
      </c>
      <c r="B4" s="3446" t="s">
        <v>3105</v>
      </c>
    </row>
    <row r="5" spans="1:2">
      <c r="A5" s="3446" t="s">
        <v>3106</v>
      </c>
      <c r="B5" s="3446" t="s">
        <v>3107</v>
      </c>
    </row>
    <row r="6" spans="1:2">
      <c r="A6" s="3446" t="s">
        <v>3108</v>
      </c>
      <c r="B6" s="1663">
        <v>232306.65</v>
      </c>
    </row>
    <row r="7" spans="1:2">
      <c r="A7" s="3446" t="s">
        <v>3109</v>
      </c>
      <c r="B7" s="3447">
        <v>43193</v>
      </c>
    </row>
    <row r="8" spans="1:2">
      <c r="A8" s="3446" t="s">
        <v>3110</v>
      </c>
      <c r="B8" s="3446" t="s">
        <v>3111</v>
      </c>
    </row>
    <row r="9" spans="1:2">
      <c r="A9" s="3446" t="s">
        <v>3112</v>
      </c>
      <c r="B9" s="1663">
        <v>232306.65</v>
      </c>
    </row>
    <row r="10" spans="1:2">
      <c r="A10" s="3446" t="s">
        <v>3113</v>
      </c>
      <c r="B10" s="1663">
        <v>230806.65</v>
      </c>
    </row>
    <row r="11" spans="1:2">
      <c r="A11" s="3446" t="s">
        <v>3114</v>
      </c>
    </row>
    <row r="12" spans="1:2">
      <c r="A12" s="3446" t="s">
        <v>3115</v>
      </c>
      <c r="B12" s="1663">
        <v>230806.65</v>
      </c>
    </row>
    <row r="13" spans="1:2">
      <c r="B13" s="3446" t="s">
        <v>3116</v>
      </c>
    </row>
    <row r="14" spans="1:2">
      <c r="A14" s="3446" t="s">
        <v>3117</v>
      </c>
      <c r="B14" s="3446" t="s">
        <v>3118</v>
      </c>
    </row>
    <row r="15" spans="1:2">
      <c r="A15" s="3446" t="s">
        <v>3119</v>
      </c>
      <c r="B15" s="3446" t="s">
        <v>3120</v>
      </c>
    </row>
    <row r="16" spans="1:2">
      <c r="A16" s="3446" t="s">
        <v>3121</v>
      </c>
      <c r="B16" s="3449" t="s">
        <v>3124</v>
      </c>
    </row>
    <row r="17" spans="1:2">
      <c r="A17" s="3446" t="s">
        <v>3122</v>
      </c>
      <c r="B17" s="3446" t="s">
        <v>3123</v>
      </c>
    </row>
    <row r="18" spans="1:2">
      <c r="A18" s="3446" t="s">
        <v>3125</v>
      </c>
      <c r="B18" s="3448">
        <v>43539</v>
      </c>
    </row>
    <row r="19" spans="1:2">
      <c r="A19" s="3446" t="s">
        <v>3126</v>
      </c>
      <c r="B19" s="3448">
        <v>44635</v>
      </c>
    </row>
    <row r="25" spans="1:2">
      <c r="A25" s="3446" t="s">
        <v>3127</v>
      </c>
      <c r="B25" s="3446" t="s">
        <v>3128</v>
      </c>
    </row>
    <row r="26" spans="1:2">
      <c r="A26" s="3446" t="s">
        <v>3129</v>
      </c>
      <c r="B26" s="3446" t="s">
        <v>3130</v>
      </c>
    </row>
    <row r="27" spans="1:2">
      <c r="A27" s="3446" t="s">
        <v>3131</v>
      </c>
      <c r="B27" s="1663" t="str">
        <f>B25</f>
        <v>补充协议</v>
      </c>
    </row>
    <row r="28" spans="1:2">
      <c r="A28" s="3446" t="s">
        <v>3132</v>
      </c>
      <c r="B28" s="1663">
        <v>242561.99</v>
      </c>
    </row>
    <row r="29" spans="1:2">
      <c r="A29" s="3446" t="s">
        <v>3133</v>
      </c>
    </row>
    <row r="30" spans="1:2">
      <c r="A30" s="3446" t="s">
        <v>3134</v>
      </c>
      <c r="B30" s="1663">
        <v>230806.65</v>
      </c>
    </row>
    <row r="31" spans="1:2">
      <c r="A31" s="3446" t="s">
        <v>3135</v>
      </c>
      <c r="B31" s="1663">
        <v>187836.11</v>
      </c>
    </row>
    <row r="32" spans="1:2">
      <c r="A32" s="3446" t="s">
        <v>3136</v>
      </c>
      <c r="B32" s="1663">
        <v>18700.82</v>
      </c>
    </row>
    <row r="33" spans="1:2">
      <c r="A33" s="3446" t="s">
        <v>3137</v>
      </c>
      <c r="B33" s="1663">
        <v>18499.419999999998</v>
      </c>
    </row>
    <row r="34" spans="1:2">
      <c r="A34" s="3446" t="s">
        <v>3138</v>
      </c>
      <c r="B34" s="1663">
        <v>3548.15</v>
      </c>
    </row>
    <row r="35" spans="1:2">
      <c r="A35" s="3446" t="s">
        <v>3139</v>
      </c>
      <c r="B35" s="1663">
        <v>2222.15</v>
      </c>
    </row>
    <row r="36" spans="1:2">
      <c r="A36" s="3446" t="s">
        <v>3140</v>
      </c>
      <c r="B36" s="1663">
        <v>11755.34</v>
      </c>
    </row>
    <row r="37" spans="1:2">
      <c r="A37" s="3446" t="s">
        <v>3141</v>
      </c>
      <c r="B37" s="1663">
        <v>120.14</v>
      </c>
    </row>
    <row r="38" spans="1:2">
      <c r="A38" s="3446" t="s">
        <v>3142</v>
      </c>
      <c r="B38" s="1663">
        <v>178.03</v>
      </c>
    </row>
    <row r="39" spans="1:2">
      <c r="A39" s="3446" t="s">
        <v>3143</v>
      </c>
      <c r="B39" s="1663">
        <v>8328.4599999999991</v>
      </c>
    </row>
    <row r="40" spans="1:2">
      <c r="A40" s="3446" t="s">
        <v>3144</v>
      </c>
      <c r="B40" s="1663">
        <v>3128.71</v>
      </c>
    </row>
    <row r="41" spans="1:2">
      <c r="A41" s="3446" t="s">
        <v>3145</v>
      </c>
      <c r="B41" s="3446" t="s">
        <v>3146</v>
      </c>
    </row>
    <row r="42" spans="1:2">
      <c r="A42" s="3446" t="s">
        <v>3147</v>
      </c>
      <c r="B42" s="3446" t="s">
        <v>3148</v>
      </c>
    </row>
    <row r="43" spans="1:2">
      <c r="A43" s="3446" t="s">
        <v>3149</v>
      </c>
      <c r="B43" s="3446" t="s">
        <v>3150</v>
      </c>
    </row>
    <row r="44" spans="1:2">
      <c r="A44" s="3446" t="s">
        <v>3151</v>
      </c>
      <c r="B44" s="3446" t="s">
        <v>3152</v>
      </c>
    </row>
    <row r="45" spans="1:2">
      <c r="A45" s="3446" t="s">
        <v>3153</v>
      </c>
      <c r="B45" s="3450">
        <v>489.86880000000002</v>
      </c>
    </row>
    <row r="46" spans="1:2">
      <c r="A46" s="3446" t="s">
        <v>3154</v>
      </c>
      <c r="B46" s="3447">
        <v>44036</v>
      </c>
    </row>
    <row r="47" spans="1:2">
      <c r="A47" s="3446" t="s">
        <v>3155</v>
      </c>
      <c r="B47" s="1663" t="str">
        <f>B27</f>
        <v>补充协议</v>
      </c>
    </row>
    <row r="48" spans="1:2">
      <c r="A48" s="3446" t="s">
        <v>3156</v>
      </c>
      <c r="B48" s="3446" t="s">
        <v>3157</v>
      </c>
    </row>
    <row r="49" spans="1:4">
      <c r="A49" s="3446" t="s">
        <v>3158</v>
      </c>
      <c r="B49" s="1663">
        <v>259840.57</v>
      </c>
    </row>
    <row r="50" spans="1:4">
      <c r="A50" s="3446" t="s">
        <v>3159</v>
      </c>
      <c r="B50" s="1663">
        <v>230806.65</v>
      </c>
    </row>
    <row r="51" spans="1:4">
      <c r="A51" s="3446" t="s">
        <v>3160</v>
      </c>
      <c r="B51" s="1663">
        <v>164433.71</v>
      </c>
    </row>
    <row r="52" spans="1:4">
      <c r="A52" s="3446" t="s">
        <v>3161</v>
      </c>
      <c r="B52" s="1663">
        <v>18700.82</v>
      </c>
    </row>
    <row r="53" spans="1:4">
      <c r="A53" s="3446" t="s">
        <v>3162</v>
      </c>
      <c r="B53" s="1663">
        <v>18499.419999999998</v>
      </c>
    </row>
    <row r="54" spans="1:4">
      <c r="A54" s="3446" t="s">
        <v>3138</v>
      </c>
      <c r="B54" s="1663">
        <v>3548.15</v>
      </c>
    </row>
    <row r="55" spans="1:4">
      <c r="A55" s="3446" t="s">
        <v>3163</v>
      </c>
      <c r="B55" s="1663">
        <v>2222.15</v>
      </c>
      <c r="D55" s="3451">
        <v>0.03</v>
      </c>
    </row>
    <row r="56" spans="1:4">
      <c r="A56" s="3446" t="s">
        <v>3164</v>
      </c>
      <c r="B56" s="1663">
        <v>23402.400000000001</v>
      </c>
      <c r="C56" s="3156" t="s">
        <v>3174</v>
      </c>
      <c r="D56" s="3156" t="s">
        <v>3175</v>
      </c>
    </row>
    <row r="57" spans="1:4">
      <c r="A57" s="3446" t="s">
        <v>3165</v>
      </c>
      <c r="B57" s="1663">
        <v>29033.919999999998</v>
      </c>
      <c r="C57">
        <v>502877200</v>
      </c>
      <c r="D57">
        <v>26850000</v>
      </c>
    </row>
    <row r="58" spans="1:4">
      <c r="A58" s="3446" t="s">
        <v>3166</v>
      </c>
      <c r="B58" s="1663">
        <v>1189.24</v>
      </c>
      <c r="C58">
        <v>270000000</v>
      </c>
      <c r="D58">
        <v>146960.64000000001</v>
      </c>
    </row>
    <row r="59" spans="1:4">
      <c r="A59" s="3446" t="s">
        <v>3142</v>
      </c>
      <c r="B59" s="1663">
        <v>588.74</v>
      </c>
      <c r="C59">
        <v>122122800</v>
      </c>
      <c r="D59">
        <v>37109.97</v>
      </c>
    </row>
    <row r="60" spans="1:4">
      <c r="A60" s="3446" t="s">
        <v>3167</v>
      </c>
      <c r="B60" s="1663">
        <v>8343.23</v>
      </c>
      <c r="C60">
        <v>4898688</v>
      </c>
    </row>
    <row r="61" spans="1:4">
      <c r="A61" s="3446" t="s">
        <v>3168</v>
      </c>
      <c r="B61" s="1663">
        <v>3240.26</v>
      </c>
      <c r="C61">
        <v>1236999</v>
      </c>
    </row>
    <row r="62" spans="1:4">
      <c r="A62" s="3446" t="s">
        <v>3144</v>
      </c>
      <c r="B62" s="1663">
        <v>15672.45</v>
      </c>
      <c r="C62">
        <f>SUM(C57:C61)</f>
        <v>901135687</v>
      </c>
      <c r="D62">
        <f>ROUND(C62*D55,2)</f>
        <v>27034070.609999999</v>
      </c>
    </row>
    <row r="63" spans="1:4">
      <c r="A63" s="1663" t="str">
        <f>A41</f>
        <v>公共配套</v>
      </c>
      <c r="B63" s="1663" t="str">
        <f>B41</f>
        <v>1500不在出让建筑面积内</v>
      </c>
    </row>
    <row r="64" spans="1:4">
      <c r="A64" s="1663" t="str">
        <f>A44</f>
        <v>政府土地收益</v>
      </c>
      <c r="B64" s="3446" t="s">
        <v>3169</v>
      </c>
    </row>
    <row r="65" spans="1:9">
      <c r="A65" s="1663" t="str">
        <f>A45</f>
        <v>新增</v>
      </c>
      <c r="B65" s="3450">
        <v>123.6999</v>
      </c>
    </row>
    <row r="66" spans="1:9">
      <c r="A66" s="3446" t="s">
        <v>3170</v>
      </c>
      <c r="B66" s="3447">
        <v>44323</v>
      </c>
    </row>
    <row r="67" spans="1:9">
      <c r="A67" s="3446" t="s">
        <v>3171</v>
      </c>
      <c r="B67" s="1663" t="str">
        <f>B47</f>
        <v>补充协议</v>
      </c>
    </row>
    <row r="68" spans="1:9">
      <c r="A68" s="3446" t="s">
        <v>3172</v>
      </c>
      <c r="B68" s="3447">
        <v>45000</v>
      </c>
    </row>
    <row r="69" spans="1:9">
      <c r="A69" s="3446" t="s">
        <v>3173</v>
      </c>
      <c r="B69" s="3447">
        <v>44629</v>
      </c>
    </row>
    <row r="71" spans="1:9">
      <c r="A71" s="3452" t="s">
        <v>3176</v>
      </c>
      <c r="B71" s="3446" t="s">
        <v>3177</v>
      </c>
      <c r="C71" s="3156" t="s">
        <v>3180</v>
      </c>
      <c r="D71" s="3156" t="s">
        <v>3181</v>
      </c>
      <c r="E71" s="3156" t="s">
        <v>3183</v>
      </c>
      <c r="F71" s="3156" t="s">
        <v>3186</v>
      </c>
      <c r="G71" s="3156" t="s">
        <v>3188</v>
      </c>
      <c r="H71" s="3156" t="s">
        <v>3189</v>
      </c>
    </row>
    <row r="72" spans="1:9">
      <c r="A72" s="3446" t="s">
        <v>3178</v>
      </c>
      <c r="B72" s="3446" t="s">
        <v>3179</v>
      </c>
      <c r="C72" s="3156" t="s">
        <v>3585</v>
      </c>
      <c r="D72" s="3156" t="s">
        <v>3182</v>
      </c>
      <c r="E72" s="3156" t="s">
        <v>3185</v>
      </c>
      <c r="F72" s="3156" t="s">
        <v>3187</v>
      </c>
      <c r="G72">
        <v>3040.41</v>
      </c>
      <c r="H72" s="3453">
        <v>57802</v>
      </c>
      <c r="I72" s="3453">
        <v>61455</v>
      </c>
    </row>
    <row r="73" spans="1:9">
      <c r="A73" s="3446" t="s">
        <v>3190</v>
      </c>
      <c r="B73" s="3446" t="s">
        <v>3191</v>
      </c>
      <c r="C73" t="str">
        <f>C72</f>
        <v>北京辉煌凯盛旅游产业有限公司</v>
      </c>
      <c r="D73" s="3156" t="s">
        <v>3586</v>
      </c>
      <c r="E73" t="str">
        <f t="shared" ref="E73:F75" si="0">E72</f>
        <v>出让</v>
      </c>
      <c r="F73" t="str">
        <f t="shared" si="0"/>
        <v>商业、办公、地下仓储</v>
      </c>
      <c r="G73">
        <v>3220.89</v>
      </c>
      <c r="H73" s="3453">
        <f t="shared" ref="H73:I75" si="1">H72</f>
        <v>57802</v>
      </c>
      <c r="I73" s="3453">
        <f t="shared" si="1"/>
        <v>61455</v>
      </c>
    </row>
    <row r="74" spans="1:9">
      <c r="A74" s="3446" t="s">
        <v>3192</v>
      </c>
      <c r="B74" s="3446" t="s">
        <v>3193</v>
      </c>
      <c r="C74" t="str">
        <f>C73</f>
        <v>北京辉煌凯盛旅游产业有限公司</v>
      </c>
      <c r="D74" s="3156" t="s">
        <v>3194</v>
      </c>
      <c r="E74" t="str">
        <f t="shared" si="0"/>
        <v>出让</v>
      </c>
      <c r="F74" t="str">
        <f t="shared" si="0"/>
        <v>商业、办公、地下仓储</v>
      </c>
      <c r="G74">
        <v>8626.16</v>
      </c>
      <c r="H74" s="3453">
        <f t="shared" si="1"/>
        <v>57802</v>
      </c>
      <c r="I74" s="3453">
        <f t="shared" si="1"/>
        <v>61455</v>
      </c>
    </row>
    <row r="75" spans="1:9">
      <c r="A75" s="3446" t="s">
        <v>3195</v>
      </c>
      <c r="B75" s="3446" t="s">
        <v>3196</v>
      </c>
      <c r="C75" t="str">
        <f>C74</f>
        <v>北京辉煌凯盛旅游产业有限公司</v>
      </c>
      <c r="D75" s="3156" t="s">
        <v>3587</v>
      </c>
      <c r="E75" t="str">
        <f t="shared" si="0"/>
        <v>出让</v>
      </c>
      <c r="F75" t="str">
        <f t="shared" si="0"/>
        <v>商业、办公、地下仓储</v>
      </c>
      <c r="G75">
        <v>15213.62</v>
      </c>
      <c r="H75" s="3453">
        <f t="shared" si="1"/>
        <v>57802</v>
      </c>
      <c r="I75" s="3453">
        <f t="shared" si="1"/>
        <v>61455</v>
      </c>
    </row>
    <row r="76" spans="1:9">
      <c r="G76">
        <f>SUM(G72:G75)</f>
        <v>30101.08</v>
      </c>
    </row>
    <row r="78" spans="1:9" ht="94.5">
      <c r="C78" s="3454" t="s">
        <v>3542</v>
      </c>
      <c r="D78" s="3454" t="s">
        <v>3539</v>
      </c>
      <c r="E78" s="3454" t="s">
        <v>3540</v>
      </c>
      <c r="F78" s="3454" t="s">
        <v>3541</v>
      </c>
      <c r="G78" s="3454" t="s">
        <v>3543</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topLeftCell="E1" workbookViewId="0">
      <selection activeCell="W29" sqref="W29"/>
    </sheetView>
  </sheetViews>
  <sheetFormatPr defaultColWidth="9" defaultRowHeight="14.25"/>
  <cols>
    <col min="1" max="1" width="20" style="3455" customWidth="1"/>
    <col min="2" max="2" width="7.375" style="3455" customWidth="1"/>
    <col min="3" max="3" width="10.625" style="3455" customWidth="1"/>
    <col min="4" max="4" width="15.5" style="3455" customWidth="1"/>
    <col min="5" max="5" width="9.75" style="3455" customWidth="1"/>
    <col min="6" max="6" width="10.375" style="3455" customWidth="1"/>
    <col min="7" max="7" width="9" style="3455" customWidth="1"/>
    <col min="8" max="8" width="14.375" style="3455" customWidth="1"/>
    <col min="9" max="9" width="11.5" style="3455" customWidth="1"/>
    <col min="10" max="10" width="16.5" style="3455" customWidth="1"/>
    <col min="11" max="11" width="20" style="3455" customWidth="1"/>
    <col min="12" max="12" width="11.25" style="3455" customWidth="1"/>
    <col min="13" max="13" width="9.25" style="3455" customWidth="1"/>
    <col min="14" max="14" width="8.75" style="3455" customWidth="1"/>
    <col min="15" max="15" width="8.125" style="3455" customWidth="1"/>
    <col min="16" max="16" width="8.375" style="3455" customWidth="1"/>
    <col min="17" max="17" width="18.625" style="3455" customWidth="1"/>
    <col min="18" max="18" width="20" style="3455" customWidth="1"/>
    <col min="19" max="16384" width="9" style="3455"/>
  </cols>
  <sheetData>
    <row r="1" spans="1:17">
      <c r="A1" s="3455" t="s">
        <v>3197</v>
      </c>
      <c r="B1" s="3455" t="s">
        <v>3198</v>
      </c>
      <c r="C1" s="3455" t="s">
        <v>3199</v>
      </c>
      <c r="D1" s="3455" t="s">
        <v>3200</v>
      </c>
      <c r="E1" s="3455" t="s">
        <v>3201</v>
      </c>
      <c r="F1" s="3455" t="s">
        <v>3202</v>
      </c>
      <c r="G1" s="3455" t="s">
        <v>1821</v>
      </c>
      <c r="H1" s="3455" t="s">
        <v>3203</v>
      </c>
      <c r="I1" s="3455" t="s">
        <v>3204</v>
      </c>
      <c r="J1" s="3455" t="s">
        <v>3205</v>
      </c>
      <c r="K1" s="3455" t="s">
        <v>3206</v>
      </c>
      <c r="L1" s="3455" t="s">
        <v>3207</v>
      </c>
      <c r="M1" s="3455" t="s">
        <v>3208</v>
      </c>
      <c r="N1" s="3455" t="s">
        <v>3209</v>
      </c>
      <c r="O1" s="3455" t="s">
        <v>3210</v>
      </c>
      <c r="P1" s="3455" t="s">
        <v>3211</v>
      </c>
      <c r="Q1" s="3455" t="s">
        <v>3212</v>
      </c>
    </row>
    <row r="2" spans="1:17">
      <c r="A2" s="3459" t="s">
        <v>3562</v>
      </c>
      <c r="B2" s="3459" t="s">
        <v>3290</v>
      </c>
      <c r="C2" s="3459" t="s">
        <v>3291</v>
      </c>
      <c r="D2" s="3459" t="s">
        <v>3216</v>
      </c>
      <c r="E2" s="3459">
        <v>28547.88</v>
      </c>
      <c r="F2" s="3459">
        <v>51828.53</v>
      </c>
      <c r="G2" s="3459">
        <v>1.82</v>
      </c>
      <c r="H2" s="3459" t="s">
        <v>3218</v>
      </c>
      <c r="J2" s="3460">
        <v>44580.000497685185</v>
      </c>
      <c r="K2" s="3459" t="s">
        <v>3299</v>
      </c>
      <c r="L2" s="3459" t="s">
        <v>3303</v>
      </c>
      <c r="M2" s="3459">
        <v>37700</v>
      </c>
      <c r="N2" s="3459">
        <v>880.39</v>
      </c>
      <c r="O2" s="3459">
        <v>7274</v>
      </c>
      <c r="P2" s="3459">
        <v>0</v>
      </c>
      <c r="Q2" s="3459" t="s">
        <v>3222</v>
      </c>
    </row>
    <row r="3" spans="1:17">
      <c r="A3" s="3455" t="s">
        <v>3563</v>
      </c>
      <c r="B3" s="3455" t="s">
        <v>3214</v>
      </c>
      <c r="C3" s="3455" t="s">
        <v>3215</v>
      </c>
      <c r="D3" s="3455" t="s">
        <v>3216</v>
      </c>
      <c r="E3" s="3455">
        <v>26197.17</v>
      </c>
      <c r="F3" s="3455">
        <v>26500</v>
      </c>
      <c r="G3" s="3455">
        <v>1.01</v>
      </c>
      <c r="H3" s="3455" t="s">
        <v>3218</v>
      </c>
      <c r="I3" s="3455" t="s">
        <v>3219</v>
      </c>
      <c r="J3" s="3456">
        <v>44172.000497685185</v>
      </c>
      <c r="K3" s="3455" t="s">
        <v>3220</v>
      </c>
      <c r="L3" s="3455" t="s">
        <v>3221</v>
      </c>
      <c r="M3" s="3455">
        <v>20986.799999999999</v>
      </c>
      <c r="N3" s="3455">
        <v>534.07000000000005</v>
      </c>
      <c r="O3" s="3455">
        <v>7920</v>
      </c>
      <c r="P3" s="3455">
        <v>0</v>
      </c>
      <c r="Q3" s="3455" t="s">
        <v>3222</v>
      </c>
    </row>
    <row r="4" spans="1:17">
      <c r="A4" s="3459" t="s">
        <v>3561</v>
      </c>
      <c r="B4" s="3459" t="s">
        <v>3290</v>
      </c>
      <c r="C4" s="3459" t="s">
        <v>3291</v>
      </c>
      <c r="D4" s="3459" t="s">
        <v>3216</v>
      </c>
      <c r="E4" s="3459">
        <v>63225.37</v>
      </c>
      <c r="F4" s="3459">
        <v>120200</v>
      </c>
      <c r="G4" s="3459">
        <v>1.9</v>
      </c>
      <c r="H4" s="3459" t="s">
        <v>3218</v>
      </c>
      <c r="J4" s="3460">
        <v>44138.000497685185</v>
      </c>
      <c r="K4" s="3459" t="s">
        <v>3301</v>
      </c>
      <c r="L4" s="3459" t="s">
        <v>3303</v>
      </c>
      <c r="M4" s="3459">
        <v>88100</v>
      </c>
      <c r="N4" s="3459">
        <v>928.95</v>
      </c>
      <c r="O4" s="3459">
        <v>7329</v>
      </c>
      <c r="P4" s="3459">
        <v>0</v>
      </c>
      <c r="Q4" s="3459" t="s">
        <v>3222</v>
      </c>
    </row>
    <row r="6" spans="1:17">
      <c r="A6" s="3455" t="s">
        <v>3197</v>
      </c>
      <c r="B6" s="3455" t="s">
        <v>3198</v>
      </c>
      <c r="C6" s="3455" t="s">
        <v>3199</v>
      </c>
      <c r="D6" s="3455" t="s">
        <v>3200</v>
      </c>
      <c r="E6" s="3455" t="s">
        <v>3201</v>
      </c>
      <c r="F6" s="3455" t="s">
        <v>3202</v>
      </c>
      <c r="G6" s="3455" t="s">
        <v>1821</v>
      </c>
      <c r="H6" s="3455" t="s">
        <v>3203</v>
      </c>
      <c r="I6" s="3455" t="s">
        <v>3204</v>
      </c>
      <c r="J6" s="3455" t="s">
        <v>3205</v>
      </c>
      <c r="K6" s="3455" t="s">
        <v>3206</v>
      </c>
      <c r="L6" s="3455" t="s">
        <v>3207</v>
      </c>
      <c r="M6" s="3455" t="s">
        <v>3208</v>
      </c>
      <c r="N6" s="3455" t="s">
        <v>3209</v>
      </c>
      <c r="O6" s="3455" t="s">
        <v>3210</v>
      </c>
      <c r="P6" s="3455" t="s">
        <v>3211</v>
      </c>
      <c r="Q6" s="3455" t="s">
        <v>3212</v>
      </c>
    </row>
    <row r="7" spans="1:17">
      <c r="A7" s="3455" t="s">
        <v>3213</v>
      </c>
      <c r="B7" s="3455" t="s">
        <v>3214</v>
      </c>
      <c r="C7" s="3455" t="s">
        <v>3215</v>
      </c>
      <c r="D7" s="3455" t="s">
        <v>3216</v>
      </c>
      <c r="E7" s="3455">
        <v>26197.17</v>
      </c>
      <c r="F7" s="3455">
        <v>26500</v>
      </c>
      <c r="G7" s="3455" t="s">
        <v>3217</v>
      </c>
      <c r="H7" s="3455" t="s">
        <v>3218</v>
      </c>
      <c r="I7" s="3455" t="s">
        <v>3219</v>
      </c>
      <c r="J7" s="3456">
        <v>44172.000497685185</v>
      </c>
      <c r="K7" s="3455" t="s">
        <v>3220</v>
      </c>
      <c r="L7" s="3455" t="s">
        <v>3221</v>
      </c>
      <c r="M7" s="3455">
        <v>20986.799999999999</v>
      </c>
      <c r="N7" s="3455">
        <v>534.07000000000005</v>
      </c>
      <c r="O7" s="3455">
        <v>7920</v>
      </c>
      <c r="P7" s="3455">
        <v>0</v>
      </c>
      <c r="Q7" s="3455" t="s">
        <v>3222</v>
      </c>
    </row>
    <row r="8" spans="1:17">
      <c r="A8" s="3455" t="s">
        <v>3223</v>
      </c>
      <c r="B8" s="3455" t="s">
        <v>3214</v>
      </c>
      <c r="C8" s="3455" t="s">
        <v>3224</v>
      </c>
      <c r="D8" s="3455" t="s">
        <v>3216</v>
      </c>
      <c r="E8" s="3455">
        <v>28725.47</v>
      </c>
      <c r="F8" s="3455">
        <v>71814</v>
      </c>
      <c r="G8" s="3455" t="s">
        <v>3225</v>
      </c>
      <c r="H8" s="3455" t="s">
        <v>3226</v>
      </c>
      <c r="I8" s="3455" t="s">
        <v>3227</v>
      </c>
      <c r="J8" s="3456">
        <v>43419.000497685185</v>
      </c>
      <c r="K8" s="3455" t="s">
        <v>3228</v>
      </c>
      <c r="L8" s="3455" t="s">
        <v>3229</v>
      </c>
      <c r="M8" s="3455">
        <v>32000</v>
      </c>
      <c r="N8" s="3455">
        <v>742.66</v>
      </c>
      <c r="O8" s="3455">
        <v>4456</v>
      </c>
      <c r="P8" s="3455">
        <v>0</v>
      </c>
      <c r="Q8" s="3455" t="s">
        <v>3222</v>
      </c>
    </row>
    <row r="9" spans="1:17" s="3457" customFormat="1">
      <c r="A9" s="3457" t="s">
        <v>3230</v>
      </c>
      <c r="B9" s="3457" t="s">
        <v>3214</v>
      </c>
      <c r="C9" s="3457" t="s">
        <v>3215</v>
      </c>
      <c r="D9" s="3457" t="s">
        <v>3216</v>
      </c>
      <c r="E9" s="3457">
        <v>338760.2</v>
      </c>
      <c r="F9" s="3457">
        <v>232306.7</v>
      </c>
      <c r="G9" s="3457" t="s">
        <v>3231</v>
      </c>
      <c r="H9" s="3457" t="s">
        <v>3232</v>
      </c>
      <c r="I9" s="3457" t="s">
        <v>3219</v>
      </c>
      <c r="J9" s="3458">
        <v>43160.000497685185</v>
      </c>
      <c r="K9" s="3457" t="s">
        <v>3233</v>
      </c>
      <c r="L9" s="3457" t="s">
        <v>3234</v>
      </c>
      <c r="M9" s="3457">
        <v>89500</v>
      </c>
      <c r="N9" s="3457">
        <v>176.13</v>
      </c>
      <c r="O9" s="3457">
        <v>3853</v>
      </c>
      <c r="P9" s="3457">
        <v>0</v>
      </c>
      <c r="Q9" s="3457" t="s">
        <v>3222</v>
      </c>
    </row>
    <row r="10" spans="1:17">
      <c r="A10" s="3455" t="s">
        <v>3235</v>
      </c>
      <c r="B10" s="3455" t="s">
        <v>3214</v>
      </c>
      <c r="C10" s="3455" t="s">
        <v>3236</v>
      </c>
      <c r="D10" s="3455" t="s">
        <v>3216</v>
      </c>
      <c r="E10" s="3455">
        <v>12344</v>
      </c>
      <c r="F10" s="3455">
        <v>8641</v>
      </c>
      <c r="G10" s="3455" t="s">
        <v>3237</v>
      </c>
      <c r="H10" s="3455" t="s">
        <v>3238</v>
      </c>
      <c r="I10" s="3455" t="s">
        <v>3219</v>
      </c>
      <c r="J10" s="3456">
        <v>41934.000497685185</v>
      </c>
      <c r="K10" s="3455" t="s">
        <v>3239</v>
      </c>
      <c r="L10" s="3455" t="s">
        <v>3219</v>
      </c>
      <c r="M10" s="3455">
        <v>800</v>
      </c>
      <c r="N10" s="3455">
        <v>43.21</v>
      </c>
      <c r="O10" s="3455">
        <v>926</v>
      </c>
      <c r="P10" s="3455">
        <v>0</v>
      </c>
      <c r="Q10" s="3455" t="s">
        <v>3240</v>
      </c>
    </row>
    <row r="11" spans="1:17">
      <c r="A11" s="3455" t="s">
        <v>3241</v>
      </c>
      <c r="B11" s="3455" t="s">
        <v>3214</v>
      </c>
      <c r="C11" s="3455" t="s">
        <v>3215</v>
      </c>
      <c r="D11" s="3455" t="s">
        <v>3216</v>
      </c>
      <c r="E11" s="3455">
        <v>36645.68</v>
      </c>
      <c r="F11" s="3455">
        <v>29017</v>
      </c>
      <c r="G11" s="3455" t="s">
        <v>3242</v>
      </c>
      <c r="H11" s="3455" t="s">
        <v>3243</v>
      </c>
      <c r="I11" s="3455" t="s">
        <v>3219</v>
      </c>
      <c r="J11" s="3456">
        <v>41596.000497685185</v>
      </c>
      <c r="K11" s="3455" t="s">
        <v>3244</v>
      </c>
      <c r="L11" s="3455" t="s">
        <v>3219</v>
      </c>
      <c r="M11" s="3455">
        <v>2320</v>
      </c>
      <c r="N11" s="3455">
        <v>42.21</v>
      </c>
      <c r="O11" s="3455">
        <v>800</v>
      </c>
      <c r="P11" s="3455">
        <v>0</v>
      </c>
      <c r="Q11" s="3455" t="s">
        <v>3245</v>
      </c>
    </row>
    <row r="12" spans="1:17">
      <c r="A12" s="3455" t="s">
        <v>3246</v>
      </c>
      <c r="B12" s="3455" t="s">
        <v>3214</v>
      </c>
      <c r="C12" s="3455" t="s">
        <v>3215</v>
      </c>
      <c r="D12" s="3455" t="s">
        <v>3216</v>
      </c>
      <c r="E12" s="3455">
        <v>14868.1</v>
      </c>
      <c r="F12" s="3455">
        <v>10408</v>
      </c>
      <c r="G12" s="3455" t="s">
        <v>3237</v>
      </c>
      <c r="H12" s="3455" t="s">
        <v>3238</v>
      </c>
      <c r="I12" s="3455" t="s">
        <v>3219</v>
      </c>
      <c r="J12" s="3456">
        <v>41596.000497685185</v>
      </c>
      <c r="K12" s="3455" t="s">
        <v>3247</v>
      </c>
      <c r="L12" s="3455" t="s">
        <v>3219</v>
      </c>
      <c r="M12" s="3455">
        <v>981</v>
      </c>
      <c r="N12" s="3455">
        <v>43.99</v>
      </c>
      <c r="O12" s="3455">
        <v>943</v>
      </c>
      <c r="P12" s="3455">
        <v>0</v>
      </c>
      <c r="Q12" s="3455" t="s">
        <v>3245</v>
      </c>
    </row>
    <row r="13" spans="1:17">
      <c r="A13" s="3455" t="s">
        <v>3248</v>
      </c>
      <c r="B13" s="3455" t="s">
        <v>3214</v>
      </c>
      <c r="C13" s="3455" t="s">
        <v>3249</v>
      </c>
      <c r="D13" s="3455" t="s">
        <v>3216</v>
      </c>
      <c r="E13" s="3455">
        <v>6004.56</v>
      </c>
      <c r="F13" s="3455">
        <v>3002</v>
      </c>
      <c r="G13" s="3455" t="s">
        <v>3250</v>
      </c>
      <c r="H13" s="3455" t="s">
        <v>3238</v>
      </c>
      <c r="I13" s="3455" t="s">
        <v>3219</v>
      </c>
      <c r="J13" s="3456">
        <v>41596.000497685185</v>
      </c>
      <c r="K13" s="3455" t="s">
        <v>3251</v>
      </c>
      <c r="L13" s="3455" t="s">
        <v>3219</v>
      </c>
      <c r="M13" s="3455">
        <v>396</v>
      </c>
      <c r="N13" s="3455">
        <v>43.97</v>
      </c>
      <c r="O13" s="3455">
        <v>1319</v>
      </c>
      <c r="P13" s="3455">
        <v>0</v>
      </c>
      <c r="Q13" s="3455" t="s">
        <v>3245</v>
      </c>
    </row>
    <row r="14" spans="1:17">
      <c r="A14" s="3455" t="s">
        <v>3252</v>
      </c>
      <c r="B14" s="3455" t="s">
        <v>3214</v>
      </c>
      <c r="C14" s="3455" t="s">
        <v>3215</v>
      </c>
      <c r="D14" s="3455" t="s">
        <v>3216</v>
      </c>
      <c r="E14" s="3455">
        <v>67640.2</v>
      </c>
      <c r="F14" s="3455">
        <v>79743</v>
      </c>
      <c r="G14" s="3455" t="s">
        <v>3253</v>
      </c>
      <c r="H14" s="3455" t="s">
        <v>3243</v>
      </c>
      <c r="I14" s="3455" t="s">
        <v>3219</v>
      </c>
      <c r="J14" s="3456">
        <v>41596.000497685185</v>
      </c>
      <c r="K14" s="3455" t="s">
        <v>3254</v>
      </c>
      <c r="L14" s="3455" t="s">
        <v>3219</v>
      </c>
      <c r="M14" s="3455">
        <v>5168</v>
      </c>
      <c r="N14" s="3455">
        <v>50.94</v>
      </c>
      <c r="O14" s="3455">
        <v>648</v>
      </c>
      <c r="P14" s="3455">
        <v>0</v>
      </c>
      <c r="Q14" s="3455" t="s">
        <v>3245</v>
      </c>
    </row>
    <row r="15" spans="1:17">
      <c r="A15" s="3455" t="s">
        <v>3255</v>
      </c>
      <c r="B15" s="3455" t="s">
        <v>3214</v>
      </c>
      <c r="C15" s="3455" t="s">
        <v>3224</v>
      </c>
      <c r="D15" s="3455" t="s">
        <v>3216</v>
      </c>
      <c r="E15" s="3455">
        <v>174185</v>
      </c>
      <c r="F15" s="3455">
        <v>139349</v>
      </c>
      <c r="G15" s="3455" t="s">
        <v>3219</v>
      </c>
      <c r="H15" s="3455" t="s">
        <v>3256</v>
      </c>
      <c r="I15" s="3455" t="s">
        <v>3219</v>
      </c>
      <c r="J15" s="3456">
        <v>40311.000497685185</v>
      </c>
      <c r="K15" s="3455" t="s">
        <v>3257</v>
      </c>
      <c r="L15" s="3455" t="s">
        <v>3219</v>
      </c>
      <c r="M15" s="3455">
        <v>15100</v>
      </c>
      <c r="N15" s="3455">
        <v>57.79</v>
      </c>
      <c r="O15" s="3455">
        <v>1084</v>
      </c>
      <c r="P15" s="3455">
        <v>0</v>
      </c>
      <c r="Q15" s="3455" t="s">
        <v>3240</v>
      </c>
    </row>
    <row r="16" spans="1:17">
      <c r="A16" s="3455" t="s">
        <v>3258</v>
      </c>
      <c r="B16" s="3455" t="s">
        <v>3214</v>
      </c>
      <c r="C16" s="3455" t="s">
        <v>3215</v>
      </c>
      <c r="D16" s="3455" t="s">
        <v>3216</v>
      </c>
      <c r="E16" s="3455">
        <v>37563.68</v>
      </c>
      <c r="F16" s="3455">
        <v>34558.589999999997</v>
      </c>
      <c r="G16" s="3455" t="s">
        <v>3259</v>
      </c>
      <c r="H16" s="3455" t="s">
        <v>3260</v>
      </c>
      <c r="I16" s="3455" t="s">
        <v>3219</v>
      </c>
      <c r="J16" s="3456">
        <v>39884.000497685185</v>
      </c>
      <c r="K16" s="3455" t="s">
        <v>3261</v>
      </c>
      <c r="L16" s="3455" t="s">
        <v>3219</v>
      </c>
      <c r="M16" s="3455">
        <v>1143</v>
      </c>
      <c r="N16" s="3455">
        <v>20.29</v>
      </c>
      <c r="O16" s="3455">
        <v>331</v>
      </c>
      <c r="P16" s="3455">
        <v>0</v>
      </c>
      <c r="Q16" s="3455" t="s">
        <v>3262</v>
      </c>
    </row>
    <row r="17" spans="1:17">
      <c r="A17" s="3455" t="s">
        <v>3263</v>
      </c>
      <c r="B17" s="3455" t="s">
        <v>3214</v>
      </c>
      <c r="C17" s="3455" t="s">
        <v>3215</v>
      </c>
      <c r="D17" s="3455" t="s">
        <v>3216</v>
      </c>
      <c r="E17" s="3455">
        <v>112909</v>
      </c>
      <c r="F17" s="3455">
        <v>49888.65</v>
      </c>
      <c r="G17" s="3455" t="s">
        <v>3264</v>
      </c>
      <c r="H17" s="3455" t="s">
        <v>3265</v>
      </c>
      <c r="I17" s="3455" t="s">
        <v>3219</v>
      </c>
      <c r="J17" s="3456">
        <v>39471.000497685185</v>
      </c>
      <c r="K17" s="3455" t="s">
        <v>3266</v>
      </c>
      <c r="L17" s="3455" t="s">
        <v>3219</v>
      </c>
      <c r="M17" s="3455">
        <v>3206</v>
      </c>
      <c r="N17" s="3455">
        <v>18.93</v>
      </c>
      <c r="O17" s="3455">
        <v>643</v>
      </c>
      <c r="P17" s="3455">
        <v>3.42</v>
      </c>
      <c r="Q17" s="3455" t="s">
        <v>3262</v>
      </c>
    </row>
    <row r="18" spans="1:17">
      <c r="A18" s="3455" t="s">
        <v>3267</v>
      </c>
      <c r="B18" s="3455" t="s">
        <v>3214</v>
      </c>
      <c r="C18" s="3455" t="s">
        <v>3224</v>
      </c>
      <c r="D18" s="3455" t="s">
        <v>3216</v>
      </c>
      <c r="E18" s="3455">
        <v>2934.91</v>
      </c>
      <c r="F18" s="3455">
        <v>5869.82</v>
      </c>
      <c r="G18" s="3455" t="s">
        <v>3268</v>
      </c>
      <c r="H18" s="3455" t="s">
        <v>3269</v>
      </c>
      <c r="I18" s="3455" t="s">
        <v>3219</v>
      </c>
      <c r="J18" s="3456">
        <v>39420.000497685185</v>
      </c>
      <c r="K18" s="3455" t="s">
        <v>3270</v>
      </c>
      <c r="L18" s="3455" t="s">
        <v>3219</v>
      </c>
      <c r="M18" s="3455">
        <v>1560</v>
      </c>
      <c r="N18" s="3455">
        <v>354.35</v>
      </c>
      <c r="O18" s="3455">
        <v>2658</v>
      </c>
      <c r="P18" s="3455">
        <v>235.57</v>
      </c>
      <c r="Q18" s="3455" t="s">
        <v>3271</v>
      </c>
    </row>
    <row r="19" spans="1:17">
      <c r="A19" s="3455" t="s">
        <v>3272</v>
      </c>
      <c r="B19" s="3455" t="s">
        <v>3214</v>
      </c>
      <c r="C19" s="3455" t="s">
        <v>3224</v>
      </c>
      <c r="D19" s="3455" t="s">
        <v>3216</v>
      </c>
      <c r="E19" s="3455">
        <v>13857.26</v>
      </c>
      <c r="F19" s="3455">
        <v>24943.06</v>
      </c>
      <c r="G19" s="3455" t="s">
        <v>3273</v>
      </c>
      <c r="H19" s="3455" t="s">
        <v>3274</v>
      </c>
      <c r="I19" s="3455" t="s">
        <v>3219</v>
      </c>
      <c r="J19" s="3456">
        <v>38866.000497685185</v>
      </c>
      <c r="K19" s="3455" t="s">
        <v>3275</v>
      </c>
      <c r="L19" s="3455" t="s">
        <v>3219</v>
      </c>
      <c r="M19" s="3455">
        <v>1085.1500000000001</v>
      </c>
      <c r="N19" s="3455">
        <v>52.21</v>
      </c>
      <c r="O19" s="3455">
        <v>435</v>
      </c>
      <c r="P19" s="3455">
        <v>0</v>
      </c>
      <c r="Q19" s="3455" t="s">
        <v>3276</v>
      </c>
    </row>
    <row r="20" spans="1:17">
      <c r="A20" s="3455" t="s">
        <v>3277</v>
      </c>
      <c r="B20" s="3455" t="s">
        <v>3214</v>
      </c>
      <c r="C20" s="3455" t="s">
        <v>3224</v>
      </c>
      <c r="D20" s="3455" t="s">
        <v>3216</v>
      </c>
      <c r="E20" s="3455">
        <v>55868</v>
      </c>
      <c r="F20" s="3455">
        <v>83802</v>
      </c>
      <c r="G20" s="3455" t="s">
        <v>3278</v>
      </c>
      <c r="H20" s="3455" t="s">
        <v>3274</v>
      </c>
      <c r="I20" s="3455" t="s">
        <v>3219</v>
      </c>
      <c r="J20" s="3456">
        <v>38691.000497685185</v>
      </c>
      <c r="K20" s="3455" t="s">
        <v>3279</v>
      </c>
      <c r="L20" s="3455" t="s">
        <v>3219</v>
      </c>
      <c r="M20" s="3455">
        <v>3705.03</v>
      </c>
      <c r="N20" s="3455">
        <v>44.21</v>
      </c>
      <c r="O20" s="3455">
        <v>442</v>
      </c>
      <c r="P20" s="3455">
        <v>0</v>
      </c>
      <c r="Q20" s="3455" t="s">
        <v>3262</v>
      </c>
    </row>
    <row r="21" spans="1:17">
      <c r="A21" s="3455" t="s">
        <v>3280</v>
      </c>
      <c r="B21" s="3455" t="s">
        <v>3214</v>
      </c>
      <c r="C21" s="3455" t="s">
        <v>3224</v>
      </c>
      <c r="D21" s="3455" t="s">
        <v>3216</v>
      </c>
      <c r="E21" s="3455">
        <v>22575</v>
      </c>
      <c r="F21" s="3455">
        <v>37000</v>
      </c>
      <c r="G21" s="3455" t="s">
        <v>3281</v>
      </c>
      <c r="H21" s="3455" t="s">
        <v>3282</v>
      </c>
      <c r="I21" s="3455" t="s">
        <v>3219</v>
      </c>
      <c r="J21" s="3456">
        <v>37942.000497685185</v>
      </c>
      <c r="K21" s="3455" t="s">
        <v>3283</v>
      </c>
      <c r="L21" s="3455" t="s">
        <v>3219</v>
      </c>
      <c r="M21" s="3455">
        <v>1869.5</v>
      </c>
      <c r="N21" s="3455">
        <v>55.21</v>
      </c>
      <c r="O21" s="3455">
        <v>505</v>
      </c>
      <c r="P21" s="3455">
        <v>0</v>
      </c>
      <c r="Q21" s="3455" t="s">
        <v>3219</v>
      </c>
    </row>
    <row r="22" spans="1:17">
      <c r="A22" s="3459" t="s">
        <v>3284</v>
      </c>
      <c r="B22" s="3459" t="s">
        <v>3290</v>
      </c>
      <c r="C22" s="3459" t="s">
        <v>3291</v>
      </c>
      <c r="D22" s="3459" t="s">
        <v>3216</v>
      </c>
      <c r="E22" s="3459">
        <v>19258.580000000002</v>
      </c>
      <c r="F22" s="3459">
        <v>38517.17</v>
      </c>
      <c r="G22" s="3459">
        <v>2</v>
      </c>
      <c r="H22" s="3459" t="s">
        <v>3218</v>
      </c>
      <c r="J22" s="3460">
        <v>44580.000497685185</v>
      </c>
      <c r="K22" s="3459" t="s">
        <v>3298</v>
      </c>
      <c r="L22" s="3459" t="s">
        <v>3219</v>
      </c>
      <c r="M22" s="3459">
        <v>28400</v>
      </c>
      <c r="N22" s="3459">
        <v>983.11</v>
      </c>
      <c r="O22" s="3459">
        <v>7373</v>
      </c>
      <c r="P22" s="3459">
        <v>0</v>
      </c>
      <c r="Q22" s="3459" t="s">
        <v>3222</v>
      </c>
    </row>
    <row r="23" spans="1:17">
      <c r="A23" s="3459" t="s">
        <v>3285</v>
      </c>
      <c r="B23" s="3459" t="s">
        <v>3290</v>
      </c>
      <c r="C23" s="3459" t="s">
        <v>3291</v>
      </c>
      <c r="D23" s="3459" t="s">
        <v>3216</v>
      </c>
      <c r="E23" s="3459">
        <v>28547.88</v>
      </c>
      <c r="F23" s="3459">
        <v>51828.53</v>
      </c>
      <c r="G23" s="3459">
        <v>1.82</v>
      </c>
      <c r="H23" s="3459" t="s">
        <v>3218</v>
      </c>
      <c r="J23" s="3460">
        <v>44580.000497685185</v>
      </c>
      <c r="K23" s="3459" t="s">
        <v>3299</v>
      </c>
      <c r="L23" s="3459" t="s">
        <v>3303</v>
      </c>
      <c r="M23" s="3459">
        <v>37700</v>
      </c>
      <c r="N23" s="3459">
        <v>880.39</v>
      </c>
      <c r="O23" s="3459">
        <v>7274</v>
      </c>
      <c r="P23" s="3459">
        <v>0</v>
      </c>
      <c r="Q23" s="3459" t="s">
        <v>3222</v>
      </c>
    </row>
    <row r="24" spans="1:17">
      <c r="A24" s="3459" t="s">
        <v>3286</v>
      </c>
      <c r="B24" s="3459" t="s">
        <v>3290</v>
      </c>
      <c r="C24" s="3459" t="s">
        <v>3291</v>
      </c>
      <c r="D24" s="3459" t="s">
        <v>3216</v>
      </c>
      <c r="E24" s="3459">
        <v>1676.22</v>
      </c>
      <c r="F24" s="3459">
        <v>753.4</v>
      </c>
      <c r="G24" s="3459" t="s">
        <v>3293</v>
      </c>
      <c r="H24" s="3459" t="s">
        <v>3297</v>
      </c>
      <c r="J24" s="3460">
        <v>44224.000497685185</v>
      </c>
      <c r="K24" s="3459" t="s">
        <v>3300</v>
      </c>
      <c r="L24" s="3459" t="s">
        <v>3219</v>
      </c>
      <c r="M24" s="3459">
        <v>550</v>
      </c>
      <c r="N24" s="3459">
        <v>218.75</v>
      </c>
      <c r="O24" s="3459">
        <v>7300</v>
      </c>
      <c r="P24" s="3459">
        <v>0</v>
      </c>
      <c r="Q24" s="3459" t="s">
        <v>3222</v>
      </c>
    </row>
    <row r="25" spans="1:17">
      <c r="A25" s="3459" t="s">
        <v>3287</v>
      </c>
      <c r="B25" s="3459" t="s">
        <v>3290</v>
      </c>
      <c r="C25" s="3459" t="s">
        <v>3291</v>
      </c>
      <c r="D25" s="3459" t="s">
        <v>3216</v>
      </c>
      <c r="E25" s="3459">
        <v>63225.37</v>
      </c>
      <c r="F25" s="3459">
        <v>120200</v>
      </c>
      <c r="G25" s="3459" t="s">
        <v>3294</v>
      </c>
      <c r="H25" s="3459" t="s">
        <v>3218</v>
      </c>
      <c r="J25" s="3460">
        <v>44138.000497685185</v>
      </c>
      <c r="K25" s="3459" t="s">
        <v>3301</v>
      </c>
      <c r="L25" s="3459" t="s">
        <v>3303</v>
      </c>
      <c r="M25" s="3459">
        <v>88100</v>
      </c>
      <c r="N25" s="3459">
        <v>928.95</v>
      </c>
      <c r="O25" s="3459">
        <v>7329</v>
      </c>
      <c r="P25" s="3459">
        <v>0</v>
      </c>
      <c r="Q25" s="3459" t="s">
        <v>3222</v>
      </c>
    </row>
    <row r="26" spans="1:17">
      <c r="A26" s="3459" t="s">
        <v>3288</v>
      </c>
      <c r="B26" s="3459" t="s">
        <v>3290</v>
      </c>
      <c r="C26" s="3459" t="s">
        <v>3292</v>
      </c>
      <c r="D26" s="3459" t="s">
        <v>3216</v>
      </c>
      <c r="E26" s="3459">
        <v>5352.65</v>
      </c>
      <c r="F26" s="3459">
        <v>843</v>
      </c>
      <c r="G26" s="3459" t="s">
        <v>3295</v>
      </c>
      <c r="H26" s="3459" t="s">
        <v>3297</v>
      </c>
      <c r="J26" s="3460">
        <v>44116.000497685185</v>
      </c>
      <c r="K26" s="3459" t="s">
        <v>3300</v>
      </c>
      <c r="L26" s="3459" t="s">
        <v>3219</v>
      </c>
      <c r="M26" s="3459">
        <v>1310</v>
      </c>
      <c r="N26" s="3459">
        <v>163.16</v>
      </c>
      <c r="O26" s="3459">
        <v>15540</v>
      </c>
      <c r="P26" s="3459">
        <v>0</v>
      </c>
      <c r="Q26" s="3459" t="s">
        <v>3222</v>
      </c>
    </row>
    <row r="27" spans="1:17">
      <c r="A27" s="3459" t="s">
        <v>3289</v>
      </c>
      <c r="B27" s="3459" t="s">
        <v>3290</v>
      </c>
      <c r="C27" s="3459" t="s">
        <v>3292</v>
      </c>
      <c r="D27" s="3459" t="s">
        <v>3216</v>
      </c>
      <c r="E27" s="3459">
        <v>36823.82</v>
      </c>
      <c r="F27" s="3459">
        <v>25187</v>
      </c>
      <c r="G27" s="3459" t="s">
        <v>3296</v>
      </c>
      <c r="H27" s="3459" t="s">
        <v>3218</v>
      </c>
      <c r="J27" s="3460">
        <v>44116.000497685185</v>
      </c>
      <c r="K27" s="3459" t="s">
        <v>3302</v>
      </c>
      <c r="L27" s="3459" t="s">
        <v>3221</v>
      </c>
      <c r="M27" s="3459">
        <v>29500</v>
      </c>
      <c r="N27" s="3459">
        <v>534.07000000000005</v>
      </c>
      <c r="O27" s="3459">
        <v>11712</v>
      </c>
      <c r="P27" s="3459">
        <v>0</v>
      </c>
      <c r="Q27" s="3459" t="s">
        <v>3222</v>
      </c>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8" t="s">
        <v>2090</v>
      </c>
      <c r="C1" s="3860" t="s">
        <v>2091</v>
      </c>
      <c r="D1" s="3861"/>
      <c r="E1" s="3861"/>
      <c r="F1" s="3861"/>
      <c r="G1" s="3861"/>
      <c r="H1" s="3861"/>
      <c r="I1" s="3861"/>
      <c r="J1" s="3861"/>
      <c r="K1" s="3861"/>
      <c r="L1" s="3861"/>
      <c r="M1" s="3861"/>
      <c r="N1" s="3861"/>
      <c r="O1" s="3861"/>
      <c r="P1" s="3861"/>
      <c r="Q1" s="3861"/>
      <c r="R1" s="3861"/>
      <c r="S1" s="3862"/>
      <c r="T1" s="2068" t="s">
        <v>2092</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2093</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0" t="str">
        <f>S3&amp;"(含)"&amp;"-"</f>
        <v>(含)-</v>
      </c>
      <c r="T2" s="923"/>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4"/>
      <c r="C3" s="925"/>
      <c r="D3" s="926"/>
      <c r="E3" s="926"/>
      <c r="F3" s="926"/>
      <c r="G3" s="926"/>
      <c r="H3" s="926"/>
      <c r="I3" s="926"/>
      <c r="J3" s="927"/>
      <c r="K3" s="927"/>
      <c r="L3" s="928"/>
      <c r="M3" s="2073"/>
      <c r="N3" s="2074"/>
      <c r="O3" s="926"/>
      <c r="P3" s="926"/>
      <c r="Q3" s="926"/>
      <c r="R3" s="926"/>
      <c r="S3" s="2075"/>
      <c r="T3" s="929"/>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2619</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2618</v>
      </c>
      <c r="C7" s="1829"/>
      <c r="D7" s="1830"/>
      <c r="E7" s="1830"/>
      <c r="F7" s="1830"/>
      <c r="G7" s="1830"/>
      <c r="H7" s="1830"/>
      <c r="I7" s="1830"/>
      <c r="J7" s="1830"/>
      <c r="K7" s="1830"/>
      <c r="L7" s="1830"/>
      <c r="M7" s="2093"/>
      <c r="N7" s="2094"/>
      <c r="O7" s="2095"/>
      <c r="P7" s="2096"/>
      <c r="Q7" s="2097"/>
      <c r="R7" s="2098"/>
      <c r="S7" s="2099"/>
      <c r="T7" s="930"/>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2617</v>
      </c>
      <c r="C9" s="1829"/>
      <c r="D9" s="1830"/>
      <c r="E9" s="1830"/>
      <c r="F9" s="1830"/>
      <c r="G9" s="1830"/>
      <c r="H9" s="1830"/>
      <c r="I9" s="1830"/>
      <c r="J9" s="1830"/>
      <c r="K9" s="1830"/>
      <c r="L9" s="1831"/>
      <c r="M9" s="2093"/>
      <c r="N9" s="2094"/>
      <c r="O9" s="2095"/>
      <c r="P9" s="2096"/>
      <c r="Q9" s="2097"/>
      <c r="R9" s="2098"/>
      <c r="S9" s="2099"/>
      <c r="T9" s="930"/>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2630</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2616</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2615</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2094</v>
      </c>
      <c r="B17" s="2112" t="s">
        <v>2095</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20"/>
      <c r="C19" s="1856"/>
      <c r="D19" s="1856"/>
      <c r="E19" s="1856"/>
      <c r="F19" s="1856"/>
      <c r="G19" s="1856"/>
      <c r="H19" s="1856"/>
      <c r="I19" s="1856"/>
      <c r="J19" s="1856"/>
      <c r="K19" s="1856"/>
      <c r="L19" s="1856"/>
      <c r="M19" s="1856"/>
      <c r="N19" s="1856"/>
      <c r="O19" s="1856"/>
      <c r="P19" s="1856"/>
      <c r="Q19" s="1856"/>
      <c r="R19" s="2059"/>
      <c r="S19" s="1865"/>
    </row>
    <row r="20" spans="1:45" ht="15.75">
      <c r="A20" s="931"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1"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857" t="s">
        <v>20</v>
      </c>
      <c r="D22" s="3858"/>
      <c r="E22" s="3858"/>
      <c r="F22" s="3858"/>
      <c r="G22" s="3858"/>
      <c r="H22" s="3858"/>
      <c r="I22" s="3858"/>
      <c r="J22" s="3858"/>
      <c r="K22" s="3858"/>
      <c r="L22" s="3858"/>
      <c r="M22" s="3858"/>
      <c r="N22" s="3858"/>
      <c r="O22" s="3858"/>
      <c r="P22" s="3858"/>
      <c r="Q22" s="3859"/>
      <c r="R22" s="474" t="e">
        <f>ROUND(S22*10000/B22,0)</f>
        <v>#DIV/0!</v>
      </c>
      <c r="S22" s="53">
        <f>SUM(S24:S10000)</f>
        <v>0</v>
      </c>
    </row>
    <row r="23" spans="1:45" s="1499" customFormat="1" ht="24">
      <c r="A23" s="17" t="s">
        <v>812</v>
      </c>
      <c r="B23" s="2779" t="s">
        <v>2638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4">
        <v>1</v>
      </c>
      <c r="D24" s="3185"/>
      <c r="E24" s="3184">
        <v>1</v>
      </c>
      <c r="F24" s="3185"/>
      <c r="G24" s="3184">
        <v>1</v>
      </c>
      <c r="H24" s="3185"/>
      <c r="I24" s="3184">
        <v>1</v>
      </c>
      <c r="J24" s="3185"/>
      <c r="K24" s="3184">
        <v>1</v>
      </c>
      <c r="L24" s="3185"/>
      <c r="M24" s="3184">
        <v>1</v>
      </c>
      <c r="N24" s="3185"/>
      <c r="O24" s="3184">
        <v>1</v>
      </c>
      <c r="P24" s="3185"/>
      <c r="Q24" s="3184">
        <v>1</v>
      </c>
      <c r="R24" s="935"/>
      <c r="S24" s="933">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11" sqref="F11"/>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2501</v>
      </c>
      <c r="C1" s="2642">
        <f>项目基本情况!D3</f>
        <v>44705</v>
      </c>
      <c r="H1" s="2577">
        <f>IF(C1&gt;C13,0,MATCH(C1,C$13:C$108,-1))+IF(SUMIF(C13:C108,C1,D13:D108)=0,13,12)</f>
        <v>13</v>
      </c>
      <c r="I1" s="2577">
        <f ca="1">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2532</v>
      </c>
      <c r="C2" s="2643">
        <f>'数据-取费表'!B22</f>
        <v>3</v>
      </c>
      <c r="D2" s="2638" t="s">
        <v>2502</v>
      </c>
      <c r="E2" s="2641">
        <f ca="1">INDIRECT("I"&amp;$I$1)/100</f>
        <v>3.7000000000000005E-2</v>
      </c>
      <c r="G2" s="2579"/>
      <c r="H2" s="2579"/>
      <c r="I2" s="2579" t="s">
        <v>2503</v>
      </c>
      <c r="K2" s="2579"/>
      <c r="L2" s="2579"/>
      <c r="M2" s="2579"/>
      <c r="N2" s="2579" t="s">
        <v>2504</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2534</v>
      </c>
      <c r="C3" s="2640">
        <f>'数据-取费表'!B19</f>
        <v>0</v>
      </c>
      <c r="D3" s="2638" t="s">
        <v>2502</v>
      </c>
      <c r="E3" s="2641">
        <f ca="1">INDIRECT("J"&amp;$J$1)/100</f>
        <v>0</v>
      </c>
      <c r="G3" s="2581" t="s">
        <v>2505</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2533</v>
      </c>
      <c r="C4" s="2641">
        <f ca="1">N4/100</f>
        <v>1.4999999999999999E-2</v>
      </c>
      <c r="G4" s="2587" t="s">
        <v>2506</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2507</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2508</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2509</v>
      </c>
      <c r="H7" s="2593">
        <v>5</v>
      </c>
      <c r="I7" s="2594">
        <f ca="1">INDIRECT("h"&amp;$H$1)</f>
        <v>4.45</v>
      </c>
      <c r="J7" s="2594">
        <f ca="1">INDIRECT("h"&amp;$H$1)</f>
        <v>4.45</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2510</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2511</v>
      </c>
      <c r="C10" s="2606"/>
      <c r="D10" s="2606"/>
      <c r="E10" s="2606"/>
      <c r="F10" s="2606"/>
      <c r="G10" s="2606"/>
      <c r="H10" s="2606"/>
      <c r="I10" s="2580"/>
      <c r="J10" s="2580"/>
      <c r="K10" s="2606"/>
      <c r="L10" s="2607" t="s">
        <v>2512</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2513</v>
      </c>
      <c r="C11" s="2611" t="s">
        <v>2514</v>
      </c>
      <c r="D11" s="2612" t="s">
        <v>2515</v>
      </c>
      <c r="E11" s="2613"/>
      <c r="F11" s="2612" t="s">
        <v>2516</v>
      </c>
      <c r="G11" s="2614"/>
      <c r="H11" s="2613"/>
      <c r="I11" s="2612" t="s">
        <v>2517</v>
      </c>
      <c r="J11" s="2613"/>
      <c r="K11" s="2609"/>
      <c r="L11" s="2610" t="s">
        <v>2513</v>
      </c>
      <c r="M11" s="2611" t="s">
        <v>2514</v>
      </c>
      <c r="N11" s="2610" t="s">
        <v>2518</v>
      </c>
      <c r="O11" s="2612" t="s">
        <v>2519</v>
      </c>
      <c r="P11" s="2614"/>
      <c r="Q11" s="2614"/>
      <c r="R11" s="2614"/>
      <c r="S11" s="2614"/>
      <c r="T11" s="2613"/>
      <c r="U11" s="2612" t="s">
        <v>2520</v>
      </c>
      <c r="V11" s="2614"/>
      <c r="W11" s="2613"/>
      <c r="X11" s="2610" t="s">
        <v>2521</v>
      </c>
      <c r="Y11" s="2610" t="s">
        <v>2522</v>
      </c>
      <c r="Z11" s="2610" t="s">
        <v>2523</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2524</v>
      </c>
      <c r="E12" s="2619" t="s">
        <v>2525</v>
      </c>
      <c r="F12" s="2619" t="s">
        <v>2526</v>
      </c>
      <c r="G12" s="2619" t="s">
        <v>2527</v>
      </c>
      <c r="H12" s="2619" t="s">
        <v>2509</v>
      </c>
      <c r="I12" s="2620" t="s">
        <v>2528</v>
      </c>
      <c r="J12" s="2620" t="s">
        <v>2528</v>
      </c>
      <c r="K12" s="2616"/>
      <c r="L12" s="2617"/>
      <c r="M12" s="2618"/>
      <c r="N12" s="2617"/>
      <c r="O12" s="2620" t="s">
        <v>2529</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2530</v>
      </c>
      <c r="C13" s="2624">
        <v>44701</v>
      </c>
      <c r="D13" s="2625">
        <v>3.7</v>
      </c>
      <c r="E13" s="2625">
        <f>D13</f>
        <v>3.7</v>
      </c>
      <c r="F13" s="2625">
        <f>D13</f>
        <v>3.7</v>
      </c>
      <c r="G13" s="2625">
        <f>D13</f>
        <v>3.7</v>
      </c>
      <c r="H13" s="2625">
        <v>4.45</v>
      </c>
      <c r="I13" s="2625"/>
      <c r="J13" s="2625"/>
      <c r="K13" s="2622"/>
      <c r="L13" s="2623" t="s">
        <v>2530</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24">
        <v>44581</v>
      </c>
      <c r="D14" s="2625">
        <v>3.7</v>
      </c>
      <c r="E14" s="2625">
        <f>D14</f>
        <v>3.7</v>
      </c>
      <c r="F14" s="2625">
        <f>D14</f>
        <v>3.7</v>
      </c>
      <c r="G14" s="2625">
        <f>D14</f>
        <v>3.7</v>
      </c>
      <c r="H14" s="2625">
        <v>4.5999999999999996</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44550</v>
      </c>
      <c r="D15" s="2629">
        <v>3.8</v>
      </c>
      <c r="E15" s="2629">
        <f>D15</f>
        <v>3.8</v>
      </c>
      <c r="F15" s="2629">
        <f>D15</f>
        <v>3.8</v>
      </c>
      <c r="G15" s="2629">
        <f>D15</f>
        <v>3.8</v>
      </c>
      <c r="H15" s="2629">
        <v>4.6500000000000004</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43941</v>
      </c>
      <c r="D16" s="2629">
        <v>3.85</v>
      </c>
      <c r="E16" s="2629">
        <v>3.85</v>
      </c>
      <c r="F16" s="2629">
        <v>3.85</v>
      </c>
      <c r="G16" s="2629">
        <v>3.85</v>
      </c>
      <c r="H16" s="2629">
        <v>4.6500000000000004</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43881</v>
      </c>
      <c r="D17" s="2629">
        <v>4.05</v>
      </c>
      <c r="E17" s="2629">
        <v>4.05</v>
      </c>
      <c r="F17" s="2629">
        <v>4.05</v>
      </c>
      <c r="G17" s="2629">
        <v>4.05</v>
      </c>
      <c r="H17" s="2629">
        <v>4.75</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43789</v>
      </c>
      <c r="D18" s="2629">
        <v>4.1500000000000004</v>
      </c>
      <c r="E18" s="2629">
        <v>4.1500000000000004</v>
      </c>
      <c r="F18" s="2629">
        <v>4.1500000000000004</v>
      </c>
      <c r="G18" s="2629">
        <v>4.1500000000000004</v>
      </c>
      <c r="H18" s="2629">
        <v>4.8</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43728</v>
      </c>
      <c r="D19" s="2629">
        <v>4.2</v>
      </c>
      <c r="E19" s="2629">
        <v>4.2</v>
      </c>
      <c r="F19" s="2629">
        <v>4.2</v>
      </c>
      <c r="G19" s="2629">
        <v>4.2</v>
      </c>
      <c r="H19" s="2629">
        <v>4.8499999999999996</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3" t="s">
        <v>2721</v>
      </c>
      <c r="C20" s="2631">
        <v>43697</v>
      </c>
      <c r="D20" s="3186">
        <v>4.25</v>
      </c>
      <c r="E20" s="3186">
        <v>4.25</v>
      </c>
      <c r="F20" s="3186">
        <v>4.25</v>
      </c>
      <c r="G20" s="3186">
        <v>4.25</v>
      </c>
      <c r="H20" s="3186">
        <v>4.8499999999999996</v>
      </c>
      <c r="I20" s="3186"/>
      <c r="J20" s="3186"/>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3189"/>
      <c r="B21" s="3190"/>
      <c r="C21" s="3191">
        <v>42301</v>
      </c>
      <c r="D21" s="3192">
        <v>4.3499999999999996</v>
      </c>
      <c r="E21" s="3192">
        <v>4.3499999999999996</v>
      </c>
      <c r="F21" s="3192">
        <v>4.75</v>
      </c>
      <c r="G21" s="3192">
        <v>4.75</v>
      </c>
      <c r="H21" s="3192">
        <v>4.9000000000000004</v>
      </c>
      <c r="I21" s="3192"/>
      <c r="J21" s="3192"/>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42242</v>
      </c>
      <c r="D22" s="2629">
        <v>4.5999999999999996</v>
      </c>
      <c r="E22" s="2629">
        <v>4.5999999999999996</v>
      </c>
      <c r="F22" s="2629">
        <v>5</v>
      </c>
      <c r="G22" s="2629">
        <v>5</v>
      </c>
      <c r="H22" s="2629">
        <v>5.15</v>
      </c>
      <c r="I22" s="2629">
        <v>2.75</v>
      </c>
      <c r="J22" s="2629">
        <v>3.25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42183</v>
      </c>
      <c r="D23" s="2629">
        <v>4.8499999999999996</v>
      </c>
      <c r="E23" s="2629">
        <v>4.8499999999999996</v>
      </c>
      <c r="F23" s="2629">
        <v>5.25</v>
      </c>
      <c r="G23" s="2629">
        <v>5.25</v>
      </c>
      <c r="H23" s="2629">
        <v>5.4</v>
      </c>
      <c r="I23" s="2629">
        <v>3</v>
      </c>
      <c r="J23" s="2629">
        <v>3.5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42135</v>
      </c>
      <c r="D24" s="2629">
        <v>5.0999999999999996</v>
      </c>
      <c r="E24" s="2629">
        <v>5.0999999999999996</v>
      </c>
      <c r="F24" s="2629">
        <v>5.5</v>
      </c>
      <c r="G24" s="2629">
        <v>5.5</v>
      </c>
      <c r="H24" s="2629">
        <v>5.65</v>
      </c>
      <c r="I24" s="2629">
        <v>3.25</v>
      </c>
      <c r="J24" s="2629">
        <v>3.75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42064</v>
      </c>
      <c r="D25" s="2629">
        <v>5.35</v>
      </c>
      <c r="E25" s="2629">
        <v>5.35</v>
      </c>
      <c r="F25" s="2629">
        <v>5.75</v>
      </c>
      <c r="G25" s="2629">
        <v>5.75</v>
      </c>
      <c r="H25" s="2629">
        <v>5.9</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41965</v>
      </c>
      <c r="D26" s="2629">
        <v>5.6</v>
      </c>
      <c r="E26" s="2629">
        <v>5.6</v>
      </c>
      <c r="F26" s="2629">
        <v>6</v>
      </c>
      <c r="G26" s="2629">
        <v>6</v>
      </c>
      <c r="H26" s="2629">
        <v>6.15</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41096</v>
      </c>
      <c r="D27" s="2629">
        <v>5.6</v>
      </c>
      <c r="E27" s="2629">
        <v>6</v>
      </c>
      <c r="F27" s="2629">
        <v>6.15</v>
      </c>
      <c r="G27" s="2629">
        <v>6.4</v>
      </c>
      <c r="H27" s="2629">
        <v>6.55</v>
      </c>
      <c r="I27" s="2629">
        <v>4</v>
      </c>
      <c r="J27" s="2629">
        <v>4.5</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41068</v>
      </c>
      <c r="D28" s="2629">
        <v>5.85</v>
      </c>
      <c r="E28" s="2629">
        <v>6.31</v>
      </c>
      <c r="F28" s="2629">
        <v>6.4</v>
      </c>
      <c r="G28" s="2629">
        <v>6.65</v>
      </c>
      <c r="H28" s="2629">
        <v>6.8</v>
      </c>
      <c r="I28" s="2629">
        <v>4.2</v>
      </c>
      <c r="J28" s="2629">
        <v>4.7</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40731</v>
      </c>
      <c r="D29" s="2629">
        <v>6.1</v>
      </c>
      <c r="E29" s="2629">
        <v>6.56</v>
      </c>
      <c r="F29" s="2629">
        <v>6.65</v>
      </c>
      <c r="G29" s="2629">
        <v>6.9</v>
      </c>
      <c r="H29" s="2629">
        <v>7.05</v>
      </c>
      <c r="I29" s="2629">
        <v>4.45</v>
      </c>
      <c r="J29" s="2629">
        <v>4.9000000000000004</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40639</v>
      </c>
      <c r="D30" s="2629">
        <v>5.85</v>
      </c>
      <c r="E30" s="2629">
        <v>6.31</v>
      </c>
      <c r="F30" s="2629">
        <v>6.4</v>
      </c>
      <c r="G30" s="2629">
        <v>6.65</v>
      </c>
      <c r="H30" s="2629">
        <v>6.8</v>
      </c>
      <c r="I30" s="2629">
        <v>4.2</v>
      </c>
      <c r="J30" s="2629">
        <v>4.7</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40583</v>
      </c>
      <c r="D31" s="2629">
        <v>5.6</v>
      </c>
      <c r="E31" s="2629">
        <v>6.06</v>
      </c>
      <c r="F31" s="2629">
        <v>6.1</v>
      </c>
      <c r="G31" s="2629">
        <v>6.45</v>
      </c>
      <c r="H31" s="2629">
        <v>6.6</v>
      </c>
      <c r="I31" s="2629">
        <v>4</v>
      </c>
      <c r="J31" s="2629">
        <v>4.5</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40538</v>
      </c>
      <c r="D32" s="2629">
        <v>5.35</v>
      </c>
      <c r="E32" s="2629">
        <v>5.81</v>
      </c>
      <c r="F32" s="2629">
        <v>5.85</v>
      </c>
      <c r="G32" s="2629">
        <v>6.22</v>
      </c>
      <c r="H32" s="2629">
        <v>6.4</v>
      </c>
      <c r="I32" s="2629">
        <v>3.75</v>
      </c>
      <c r="J32" s="2629">
        <v>4.3</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40471</v>
      </c>
      <c r="D33" s="2629">
        <v>5.0999999999999996</v>
      </c>
      <c r="E33" s="2629">
        <v>5.56</v>
      </c>
      <c r="F33" s="2629">
        <v>5.6</v>
      </c>
      <c r="G33" s="2629">
        <v>5.96</v>
      </c>
      <c r="H33" s="2629">
        <v>6.14</v>
      </c>
      <c r="I33" s="2629">
        <v>3.5</v>
      </c>
      <c r="J33" s="2629">
        <v>4.05</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39805</v>
      </c>
      <c r="D34" s="2629">
        <v>4.8600000000000003</v>
      </c>
      <c r="E34" s="2629">
        <v>5.31</v>
      </c>
      <c r="F34" s="2629">
        <v>5.4</v>
      </c>
      <c r="G34" s="2629">
        <v>5.76</v>
      </c>
      <c r="H34" s="2629">
        <v>5.94</v>
      </c>
      <c r="I34" s="2629">
        <v>3.33</v>
      </c>
      <c r="J34" s="2629">
        <v>3.87</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39779</v>
      </c>
      <c r="D35" s="2629">
        <v>5.04</v>
      </c>
      <c r="E35" s="2629">
        <v>5.58</v>
      </c>
      <c r="F35" s="2629">
        <v>5.67</v>
      </c>
      <c r="G35" s="2629">
        <v>5.94</v>
      </c>
      <c r="H35" s="2629">
        <v>6.12</v>
      </c>
      <c r="I35" s="2629">
        <v>3.51</v>
      </c>
      <c r="J35" s="2629">
        <v>4.05</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39751</v>
      </c>
      <c r="D36" s="2629">
        <v>6.03</v>
      </c>
      <c r="E36" s="2629">
        <v>6.66</v>
      </c>
      <c r="F36" s="2629">
        <v>6.75</v>
      </c>
      <c r="G36" s="2629">
        <v>7.02</v>
      </c>
      <c r="H36" s="2629">
        <v>7.2</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1">
        <v>39748</v>
      </c>
      <c r="D37" s="2629">
        <v>6.12</v>
      </c>
      <c r="E37" s="2629">
        <v>6.93</v>
      </c>
      <c r="F37" s="2629">
        <v>7.02</v>
      </c>
      <c r="G37" s="2629">
        <v>7.29</v>
      </c>
      <c r="H37" s="2629">
        <v>7.47</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39730</v>
      </c>
      <c r="D38" s="2629">
        <v>6.12</v>
      </c>
      <c r="E38" s="2629">
        <v>6.93</v>
      </c>
      <c r="F38" s="2629">
        <v>7.02</v>
      </c>
      <c r="G38" s="2629">
        <v>7.29</v>
      </c>
      <c r="H38" s="2629">
        <v>7.47</v>
      </c>
      <c r="I38" s="2629">
        <v>4.32</v>
      </c>
      <c r="J38" s="2629">
        <v>4.8600000000000003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39707</v>
      </c>
      <c r="D39" s="2629">
        <v>6.21</v>
      </c>
      <c r="E39" s="2629">
        <v>7.2</v>
      </c>
      <c r="F39" s="2629">
        <v>7.29</v>
      </c>
      <c r="G39" s="2629">
        <v>7.56</v>
      </c>
      <c r="H39" s="2629">
        <v>7.74</v>
      </c>
      <c r="I39" s="2629">
        <v>4.59</v>
      </c>
      <c r="J39" s="2629">
        <v>5.13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39437</v>
      </c>
      <c r="D40" s="2629">
        <v>6.57</v>
      </c>
      <c r="E40" s="2629">
        <v>7.47</v>
      </c>
      <c r="F40" s="2629">
        <v>7.56</v>
      </c>
      <c r="G40" s="2629">
        <v>7.74</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39340</v>
      </c>
      <c r="D41" s="2629">
        <v>6.48</v>
      </c>
      <c r="E41" s="2629">
        <v>7.29</v>
      </c>
      <c r="F41" s="2629">
        <v>7.47</v>
      </c>
      <c r="G41" s="2629">
        <v>7.65</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39316</v>
      </c>
      <c r="D42" s="2629">
        <v>6.21</v>
      </c>
      <c r="E42" s="2629">
        <v>7.02</v>
      </c>
      <c r="F42" s="2629">
        <v>7.2</v>
      </c>
      <c r="G42" s="2629">
        <v>7.38</v>
      </c>
      <c r="H42" s="2629">
        <v>7.56</v>
      </c>
      <c r="I42" s="2629">
        <v>4.59</v>
      </c>
      <c r="J42" s="2629">
        <v>5.04</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2531</v>
      </c>
      <c r="Y42" s="2629" t="s">
        <v>2531</v>
      </c>
      <c r="Z42" s="2629" t="s">
        <v>2531</v>
      </c>
    </row>
    <row r="43" spans="2:26">
      <c r="B43" s="2629"/>
      <c r="C43" s="2630">
        <v>39284</v>
      </c>
      <c r="D43" s="2629">
        <v>6.03</v>
      </c>
      <c r="E43" s="2629">
        <v>6.84</v>
      </c>
      <c r="F43" s="2629">
        <v>7.02</v>
      </c>
      <c r="G43" s="2629">
        <v>7.2</v>
      </c>
      <c r="H43" s="2629">
        <v>7.38</v>
      </c>
      <c r="I43" s="2629">
        <v>4.5</v>
      </c>
      <c r="J43" s="2629">
        <v>4.95</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2531</v>
      </c>
      <c r="Y43" s="2629" t="s">
        <v>2531</v>
      </c>
      <c r="Z43" s="2629" t="s">
        <v>2531</v>
      </c>
    </row>
    <row r="44" spans="2:26">
      <c r="B44" s="2629"/>
      <c r="C44" s="2630">
        <v>39221</v>
      </c>
      <c r="D44" s="2629">
        <v>5.85</v>
      </c>
      <c r="E44" s="2629">
        <v>6.57</v>
      </c>
      <c r="F44" s="2629">
        <v>6.75</v>
      </c>
      <c r="G44" s="2629">
        <v>6.93</v>
      </c>
      <c r="H44" s="2629">
        <v>7.2</v>
      </c>
      <c r="I44" s="2629">
        <v>4.41</v>
      </c>
      <c r="J44" s="2629">
        <v>4.8600000000000003</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2531</v>
      </c>
      <c r="Y44" s="2629" t="s">
        <v>2531</v>
      </c>
      <c r="Z44" s="2629" t="s">
        <v>2531</v>
      </c>
    </row>
    <row r="45" spans="2:26">
      <c r="B45" s="2629"/>
      <c r="C45" s="2630">
        <v>39159</v>
      </c>
      <c r="D45" s="2629">
        <v>5.67</v>
      </c>
      <c r="E45" s="2629">
        <v>6.39</v>
      </c>
      <c r="F45" s="2629">
        <v>6.57</v>
      </c>
      <c r="G45" s="2629">
        <v>6.75</v>
      </c>
      <c r="H45" s="2629">
        <v>7.11</v>
      </c>
      <c r="I45" s="2629">
        <v>4.32</v>
      </c>
      <c r="J45" s="2629">
        <v>4.7699999999999996</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2531</v>
      </c>
      <c r="Y45" s="2629" t="s">
        <v>2531</v>
      </c>
      <c r="Z45" s="2629" t="s">
        <v>2531</v>
      </c>
    </row>
    <row r="46" spans="2:26">
      <c r="B46" s="2629"/>
      <c r="C46" s="2630">
        <v>38948</v>
      </c>
      <c r="D46" s="2629">
        <v>5.58</v>
      </c>
      <c r="E46" s="2629">
        <v>6.12</v>
      </c>
      <c r="F46" s="2629">
        <v>6.3</v>
      </c>
      <c r="G46" s="2629">
        <v>6.48</v>
      </c>
      <c r="H46" s="2629">
        <v>6.84</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2531</v>
      </c>
      <c r="Y46" s="2629" t="s">
        <v>2531</v>
      </c>
      <c r="Z46" s="2629" t="s">
        <v>2531</v>
      </c>
    </row>
    <row r="47" spans="2:26">
      <c r="B47" s="2629"/>
      <c r="C47" s="2630">
        <v>38835</v>
      </c>
      <c r="D47" s="2629">
        <v>5.4</v>
      </c>
      <c r="E47" s="2629">
        <v>5.85</v>
      </c>
      <c r="F47" s="2629">
        <v>6.03</v>
      </c>
      <c r="G47" s="2629">
        <v>6.12</v>
      </c>
      <c r="H47" s="2629">
        <v>6.39</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2531</v>
      </c>
      <c r="Y47" s="2629" t="s">
        <v>2531</v>
      </c>
      <c r="Z47" s="2629" t="s">
        <v>2531</v>
      </c>
    </row>
    <row r="48" spans="2:26">
      <c r="B48" s="2629"/>
      <c r="C48" s="2630">
        <v>38428</v>
      </c>
      <c r="D48" s="2629">
        <v>5.22</v>
      </c>
      <c r="E48" s="2629">
        <v>5.58</v>
      </c>
      <c r="F48" s="2629">
        <v>5.76</v>
      </c>
      <c r="G48" s="2629">
        <v>5.85</v>
      </c>
      <c r="H48" s="2629">
        <v>6.12</v>
      </c>
      <c r="I48" s="2629">
        <v>3.96</v>
      </c>
      <c r="J48" s="2629">
        <v>4.41</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2531</v>
      </c>
      <c r="Y48" s="2629" t="s">
        <v>2531</v>
      </c>
      <c r="Z48" s="2629" t="s">
        <v>2531</v>
      </c>
    </row>
    <row r="49" spans="2:26">
      <c r="B49" s="2629"/>
      <c r="C49" s="2630">
        <v>38289</v>
      </c>
      <c r="D49" s="2629">
        <v>5.22</v>
      </c>
      <c r="E49" s="2629">
        <v>5.58</v>
      </c>
      <c r="F49" s="2629">
        <v>5.76</v>
      </c>
      <c r="G49" s="2629">
        <v>5.85</v>
      </c>
      <c r="H49" s="2629">
        <v>6.12</v>
      </c>
      <c r="I49" s="2629">
        <v>3.78</v>
      </c>
      <c r="J49" s="2629">
        <v>4.2300000000000004</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2531</v>
      </c>
      <c r="Y49" s="2629" t="s">
        <v>2531</v>
      </c>
      <c r="Z49" s="2629" t="s">
        <v>2531</v>
      </c>
    </row>
    <row r="50" spans="2:26">
      <c r="B50" s="2629"/>
      <c r="C50" s="2630">
        <v>37308</v>
      </c>
      <c r="D50" s="2629">
        <v>5.04</v>
      </c>
      <c r="E50" s="2629">
        <v>5.31</v>
      </c>
      <c r="F50" s="2629">
        <v>5.49</v>
      </c>
      <c r="G50" s="2629">
        <v>5.58</v>
      </c>
      <c r="H50" s="2629">
        <v>5.76</v>
      </c>
      <c r="I50" s="2629">
        <v>3.6</v>
      </c>
      <c r="J50" s="2629">
        <v>4.05</v>
      </c>
      <c r="L50" s="2629"/>
      <c r="M50" s="2630">
        <v>33106</v>
      </c>
      <c r="N50" s="2629">
        <v>2.16</v>
      </c>
      <c r="O50" s="2629">
        <v>4.32</v>
      </c>
      <c r="P50" s="2629">
        <v>6.48</v>
      </c>
      <c r="Q50" s="2629">
        <v>8.64</v>
      </c>
      <c r="R50" s="2629">
        <v>9.36</v>
      </c>
      <c r="S50" s="2629">
        <v>10.08</v>
      </c>
      <c r="T50" s="2629">
        <v>11.52</v>
      </c>
      <c r="U50" s="2629">
        <v>7.2</v>
      </c>
      <c r="V50" s="2629">
        <v>8.64</v>
      </c>
      <c r="W50" s="2629">
        <v>10.08</v>
      </c>
      <c r="X50" s="2629" t="s">
        <v>2531</v>
      </c>
      <c r="Y50" s="2629" t="s">
        <v>2531</v>
      </c>
      <c r="Z50" s="2629" t="s">
        <v>2531</v>
      </c>
    </row>
    <row r="51" spans="2:26">
      <c r="B51" s="2629"/>
      <c r="C51" s="2630">
        <v>36321</v>
      </c>
      <c r="D51" s="2629">
        <v>5.58</v>
      </c>
      <c r="E51" s="2629">
        <v>5.85</v>
      </c>
      <c r="F51" s="2629">
        <v>5.94</v>
      </c>
      <c r="G51" s="2629">
        <v>6.03</v>
      </c>
      <c r="H51" s="2629">
        <v>6.21</v>
      </c>
      <c r="I51" s="2629">
        <v>4.1399999999999997</v>
      </c>
      <c r="J51" s="2629">
        <v>4.59</v>
      </c>
      <c r="L51" s="2629"/>
      <c r="M51" s="2630">
        <v>32978</v>
      </c>
      <c r="N51" s="2629">
        <v>2.88</v>
      </c>
      <c r="O51" s="2629">
        <v>6.3</v>
      </c>
      <c r="P51" s="2629">
        <v>7.74</v>
      </c>
      <c r="Q51" s="2629">
        <v>10.08</v>
      </c>
      <c r="R51" s="2629">
        <v>10.98</v>
      </c>
      <c r="S51" s="2629">
        <v>11.88</v>
      </c>
      <c r="T51" s="2629">
        <v>13.68</v>
      </c>
      <c r="U51" s="2629" t="s">
        <v>2531</v>
      </c>
      <c r="V51" s="2629" t="s">
        <v>2531</v>
      </c>
      <c r="W51" s="2629" t="s">
        <v>2531</v>
      </c>
      <c r="X51" s="2629" t="s">
        <v>2531</v>
      </c>
      <c r="Y51" s="2629" t="s">
        <v>2531</v>
      </c>
      <c r="Z51" s="2629" t="s">
        <v>2531</v>
      </c>
    </row>
    <row r="52" spans="2:26">
      <c r="B52" s="2629"/>
      <c r="C52" s="2630">
        <v>36136</v>
      </c>
      <c r="D52" s="2629">
        <v>6.12</v>
      </c>
      <c r="E52" s="2629">
        <v>6.39</v>
      </c>
      <c r="F52" s="2629">
        <v>6.66</v>
      </c>
      <c r="G52" s="2629">
        <v>7.2</v>
      </c>
      <c r="H52" s="2629">
        <v>7.56</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35977</v>
      </c>
      <c r="D53" s="2629">
        <v>6.57</v>
      </c>
      <c r="E53" s="2629">
        <v>6.93</v>
      </c>
      <c r="F53" s="2629">
        <v>7.11</v>
      </c>
      <c r="G53" s="2629">
        <v>7.65</v>
      </c>
      <c r="H53" s="2629">
        <v>8.01</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35879</v>
      </c>
      <c r="D54" s="2629">
        <v>7.02</v>
      </c>
      <c r="E54" s="2629">
        <v>7.92</v>
      </c>
      <c r="F54" s="2629">
        <v>9</v>
      </c>
      <c r="G54" s="2629">
        <v>9.7200000000000006</v>
      </c>
      <c r="H54" s="2629">
        <v>10.35</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35726</v>
      </c>
      <c r="D55" s="2629">
        <v>7.65</v>
      </c>
      <c r="E55" s="2629">
        <v>8.64</v>
      </c>
      <c r="F55" s="2629">
        <v>9.36</v>
      </c>
      <c r="G55" s="2629">
        <v>9.9</v>
      </c>
      <c r="H55" s="2629">
        <v>10.53</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35300</v>
      </c>
      <c r="D56" s="2629">
        <v>9.18</v>
      </c>
      <c r="E56" s="2629">
        <v>10.08</v>
      </c>
      <c r="F56" s="2629">
        <v>10.98</v>
      </c>
      <c r="G56" s="2629">
        <v>11.7</v>
      </c>
      <c r="H56" s="2629">
        <v>12.42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35186</v>
      </c>
      <c r="D57" s="2629">
        <v>9.7200000000000006</v>
      </c>
      <c r="E57" s="2629">
        <v>10.98</v>
      </c>
      <c r="F57" s="2629">
        <v>13.14</v>
      </c>
      <c r="G57" s="2629">
        <v>14.94</v>
      </c>
      <c r="H57" s="2629">
        <v>15.12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34881</v>
      </c>
      <c r="D58" s="2629">
        <v>10.08</v>
      </c>
      <c r="E58" s="2629">
        <v>12.06</v>
      </c>
      <c r="F58" s="2629">
        <v>13.5</v>
      </c>
      <c r="G58" s="2629">
        <v>15.12</v>
      </c>
      <c r="H58" s="2629">
        <v>15.3</v>
      </c>
      <c r="I58" s="2629">
        <v>0</v>
      </c>
      <c r="J58" s="2629">
        <v>0</v>
      </c>
    </row>
    <row r="59" spans="2:26">
      <c r="B59" s="2629"/>
      <c r="C59" s="2630">
        <v>34700</v>
      </c>
      <c r="D59" s="2629">
        <v>9</v>
      </c>
      <c r="E59" s="2629">
        <v>10.98</v>
      </c>
      <c r="F59" s="2629">
        <v>12.96</v>
      </c>
      <c r="G59" s="2629">
        <v>14.58</v>
      </c>
      <c r="H59" s="2629">
        <v>14.76</v>
      </c>
      <c r="I59" s="2629">
        <v>0</v>
      </c>
      <c r="J59" s="2629">
        <v>0</v>
      </c>
    </row>
    <row r="60" spans="2:26">
      <c r="B60" s="2629"/>
      <c r="C60" s="2630">
        <v>34161</v>
      </c>
      <c r="D60" s="2629">
        <v>9</v>
      </c>
      <c r="E60" s="2629">
        <v>10.98</v>
      </c>
      <c r="F60" s="2629">
        <v>12.24</v>
      </c>
      <c r="G60" s="2629">
        <v>13.86</v>
      </c>
      <c r="H60" s="2629">
        <v>14.04</v>
      </c>
      <c r="I60" s="2629">
        <v>0</v>
      </c>
      <c r="J60" s="2629">
        <v>0</v>
      </c>
    </row>
    <row r="61" spans="2:26">
      <c r="B61" s="2629"/>
      <c r="C61" s="2630">
        <v>34104</v>
      </c>
      <c r="D61" s="2629">
        <v>8.82</v>
      </c>
      <c r="E61" s="2629">
        <v>9.36</v>
      </c>
      <c r="F61" s="2629">
        <v>10.8</v>
      </c>
      <c r="G61" s="2629">
        <v>12.06</v>
      </c>
      <c r="H61" s="2629">
        <v>12.24</v>
      </c>
      <c r="I61" s="2629">
        <v>0</v>
      </c>
      <c r="J61" s="2629">
        <v>0</v>
      </c>
    </row>
    <row r="62" spans="2:26">
      <c r="B62" s="2629"/>
      <c r="C62" s="2630">
        <v>33349</v>
      </c>
      <c r="D62" s="2629">
        <v>8.1</v>
      </c>
      <c r="E62" s="2629">
        <v>8.64</v>
      </c>
      <c r="F62" s="2629">
        <v>9</v>
      </c>
      <c r="G62" s="2629">
        <v>9.5399999999999991</v>
      </c>
      <c r="H62" s="2629">
        <v>9.7200000000000006</v>
      </c>
      <c r="I62" s="2629">
        <v>0</v>
      </c>
      <c r="J62" s="2629">
        <v>0</v>
      </c>
    </row>
    <row r="63" spans="2:26">
      <c r="B63" s="2629"/>
      <c r="C63" s="2630">
        <v>33318</v>
      </c>
      <c r="D63" s="2629">
        <v>9</v>
      </c>
      <c r="E63" s="2629">
        <v>10.08</v>
      </c>
      <c r="F63" s="2629">
        <v>10.8</v>
      </c>
      <c r="G63" s="2629">
        <v>11.52</v>
      </c>
      <c r="H63" s="2629">
        <v>11.88</v>
      </c>
      <c r="I63" s="2629" t="s">
        <v>2531</v>
      </c>
      <c r="J63" s="2629" t="s">
        <v>2531</v>
      </c>
    </row>
    <row r="64" spans="2:26">
      <c r="B64" s="2629"/>
      <c r="C64" s="2630">
        <v>33106</v>
      </c>
      <c r="D64" s="2629">
        <v>8.64</v>
      </c>
      <c r="E64" s="2629">
        <v>9.36</v>
      </c>
      <c r="F64" s="2629">
        <v>10.08</v>
      </c>
      <c r="G64" s="2629">
        <v>10.8</v>
      </c>
      <c r="H64" s="2629">
        <v>11.16</v>
      </c>
      <c r="I64" s="2629">
        <v>0</v>
      </c>
      <c r="J64" s="2629">
        <v>0</v>
      </c>
    </row>
    <row r="65" spans="2:10">
      <c r="B65" s="2629"/>
      <c r="C65" s="2630">
        <v>32540</v>
      </c>
      <c r="D65" s="2629">
        <v>11.34</v>
      </c>
      <c r="E65" s="2629">
        <v>11.34</v>
      </c>
      <c r="F65" s="2629">
        <v>12.78</v>
      </c>
      <c r="G65" s="2629">
        <v>14.4</v>
      </c>
      <c r="H65" s="2629">
        <v>19.260000000000002</v>
      </c>
      <c r="I65" s="2629">
        <v>0</v>
      </c>
      <c r="J65" s="2629">
        <v>0</v>
      </c>
    </row>
    <row r="66" spans="2:10">
      <c r="B66" s="2629"/>
      <c r="C66" s="2630"/>
      <c r="D66" s="2629"/>
      <c r="E66" s="2629"/>
      <c r="F66" s="2629"/>
      <c r="G66" s="2629"/>
      <c r="H66" s="2629"/>
      <c r="I66" s="2629"/>
      <c r="J66" s="2629"/>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580"/>
      <c r="C70" s="2580"/>
      <c r="D70" s="2580"/>
      <c r="E70" s="2580"/>
      <c r="F70" s="2580"/>
      <c r="G70" s="2580"/>
      <c r="H70" s="2580"/>
      <c r="I70" s="2580"/>
      <c r="J70" s="2580"/>
    </row>
    <row r="71" spans="2:10">
      <c r="B71" s="2580"/>
      <c r="C71" s="2580"/>
      <c r="D71" s="2580"/>
      <c r="E71" s="2580"/>
      <c r="F71" s="2580"/>
      <c r="G71" s="2580"/>
      <c r="H71" s="2580"/>
      <c r="I71" s="2580"/>
      <c r="J71" s="258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3" t="s">
        <v>1827</v>
      </c>
      <c r="B1" s="3533"/>
      <c r="C1" s="3533"/>
      <c r="D1" s="3533"/>
      <c r="E1" s="3533"/>
      <c r="F1" s="3533"/>
      <c r="G1" s="3533"/>
      <c r="H1" s="3533"/>
      <c r="I1" s="3533"/>
      <c r="J1" s="3533"/>
      <c r="K1" s="3533"/>
      <c r="L1" s="3533"/>
      <c r="M1" s="3533"/>
      <c r="N1" s="3533"/>
      <c r="O1" s="3533"/>
      <c r="P1" s="3533"/>
      <c r="Q1" s="3533"/>
      <c r="R1" s="3533"/>
    </row>
    <row r="2" spans="1:18">
      <c r="A2" s="1677" t="s">
        <v>1829</v>
      </c>
      <c r="B2" s="1677"/>
      <c r="C2" s="1677"/>
      <c r="D2" s="1677"/>
      <c r="E2" s="1677"/>
      <c r="F2" s="1677"/>
      <c r="G2" s="1677"/>
      <c r="H2" s="1677"/>
      <c r="I2" s="1678"/>
      <c r="J2" s="1678"/>
      <c r="K2" s="1679" t="str">
        <f>"估价期日："&amp;TEXT(项目基本情况!D3,"yyyy年m月d日;;")</f>
        <v>估价期日：2022年5月24日</v>
      </c>
      <c r="L2" s="1677"/>
      <c r="M2" s="1677"/>
      <c r="N2" s="1677"/>
      <c r="O2" s="1677"/>
      <c r="P2" s="1677"/>
      <c r="Q2" s="1677"/>
      <c r="R2" s="1679" t="str">
        <f>"估价期日的国有建设用地使用权性质："&amp;项目基本情况!B16</f>
        <v>估价期日的国有建设用地使用权性质：出让</v>
      </c>
    </row>
    <row r="3" spans="1:18" ht="23.25" customHeight="1">
      <c r="A3" s="3534" t="s">
        <v>1818</v>
      </c>
      <c r="B3" s="3534" t="s">
        <v>2445</v>
      </c>
      <c r="C3" s="3535" t="s">
        <v>1819</v>
      </c>
      <c r="D3" s="3534" t="s">
        <v>2449</v>
      </c>
      <c r="E3" s="3537" t="s">
        <v>1820</v>
      </c>
      <c r="F3" s="3537"/>
      <c r="G3" s="3537"/>
      <c r="H3" s="3537" t="s">
        <v>1821</v>
      </c>
      <c r="I3" s="3537"/>
      <c r="J3" s="3537"/>
      <c r="K3" s="3535" t="s">
        <v>1822</v>
      </c>
      <c r="L3" s="3535" t="s">
        <v>1823</v>
      </c>
      <c r="M3" s="3534" t="s">
        <v>2446</v>
      </c>
      <c r="N3" s="3536" t="str">
        <f>"（分摊）"&amp;项目基本情况!B16&amp;"国有建设用地使用权面积/㎡"</f>
        <v>（分摊）出让国有建设用地使用权面积/㎡</v>
      </c>
      <c r="O3" s="3534" t="s">
        <v>1852</v>
      </c>
      <c r="P3" s="3535" t="s">
        <v>1832</v>
      </c>
      <c r="Q3" s="3535" t="s">
        <v>1853</v>
      </c>
      <c r="R3" s="3535" t="s">
        <v>1824</v>
      </c>
    </row>
    <row r="4" spans="1:18" ht="36.75" customHeight="1">
      <c r="A4" s="3534"/>
      <c r="B4" s="3534"/>
      <c r="C4" s="3535"/>
      <c r="D4" s="3534"/>
      <c r="E4" s="2413" t="s">
        <v>1831</v>
      </c>
      <c r="F4" s="2413" t="s">
        <v>2458</v>
      </c>
      <c r="G4" s="2413" t="s">
        <v>1825</v>
      </c>
      <c r="H4" s="2413" t="s">
        <v>1826</v>
      </c>
      <c r="I4" s="2413" t="s">
        <v>2459</v>
      </c>
      <c r="J4" s="2413" t="s">
        <v>1825</v>
      </c>
      <c r="K4" s="3535"/>
      <c r="L4" s="3535"/>
      <c r="M4" s="3534"/>
      <c r="N4" s="3536"/>
      <c r="O4" s="3534"/>
      <c r="P4" s="3535"/>
      <c r="Q4" s="3535"/>
      <c r="R4" s="3535"/>
    </row>
    <row r="5" spans="1:18" ht="135" customHeight="1">
      <c r="A5" s="1812" t="s">
        <v>2369</v>
      </c>
      <c r="B5" s="2506" t="s">
        <v>2367</v>
      </c>
      <c r="C5" s="2412">
        <v>22</v>
      </c>
      <c r="D5" s="2411" t="s">
        <v>2368</v>
      </c>
      <c r="E5" s="1680" t="str">
        <f>项目基本情况!B12</f>
        <v>商业、办公、地下仓储</v>
      </c>
      <c r="F5" s="2411">
        <v>258</v>
      </c>
      <c r="G5" s="1680" t="str">
        <f>项目基本情况!B13</f>
        <v>酒店</v>
      </c>
      <c r="H5" s="2411">
        <v>1.5</v>
      </c>
      <c r="I5" s="2411">
        <v>1.5</v>
      </c>
      <c r="J5" s="2411">
        <v>1.5</v>
      </c>
      <c r="K5" s="1680" t="str">
        <f>"红线外"&amp;项目基本情况!T40&amp;"、宗地红线内"&amp;项目基本情况!B35</f>
        <v>红线外六通、宗地红线内场地平整</v>
      </c>
      <c r="L5" s="1680" t="str">
        <f>"红线外"&amp;项目基本情况!T40&amp;"、宗地红线内场地"&amp;项目基本情况!D36</f>
        <v>红线外六通、宗地红线内场地平整</v>
      </c>
      <c r="M5" s="1680">
        <f>IF(项目基本情况!B16="出让",项目基本情况!D20,"——")</f>
        <v>0</v>
      </c>
      <c r="N5" s="1680">
        <f>项目基本情况!C22</f>
        <v>30101.08</v>
      </c>
      <c r="O5" s="1680">
        <f>项目基本情况!C21</f>
        <v>26725.120000000003</v>
      </c>
      <c r="P5" s="1680">
        <f ca="1">结果表!E42</f>
        <v>5649</v>
      </c>
      <c r="Q5" s="1680">
        <f ca="1">结果表!D42</f>
        <v>6362</v>
      </c>
      <c r="R5" s="1681">
        <f ca="1">结果表!C42</f>
        <v>17003</v>
      </c>
    </row>
    <row r="6" spans="1:18">
      <c r="A6" s="3530" t="str">
        <f>IF(项目基本情况!B9="市场价格","——","抵押价格")</f>
        <v>抵押价格</v>
      </c>
      <c r="B6" s="3531"/>
      <c r="C6" s="3531"/>
      <c r="D6" s="3531"/>
      <c r="E6" s="3531"/>
      <c r="F6" s="3531"/>
      <c r="G6" s="3531"/>
      <c r="H6" s="3531"/>
      <c r="I6" s="3531"/>
      <c r="J6" s="3531"/>
      <c r="K6" s="3531"/>
      <c r="L6" s="3531"/>
      <c r="M6" s="3531"/>
      <c r="N6" s="3531"/>
      <c r="O6" s="3531"/>
      <c r="P6" s="3531"/>
      <c r="Q6" s="3532"/>
      <c r="R6" s="1682">
        <f ca="1">结果表!O39</f>
        <v>17003</v>
      </c>
    </row>
    <row r="7" spans="1:18">
      <c r="A7" s="3530" t="str">
        <f>IF(项目基本情况!B9="市场价格","——",IF(项目基本情况!E8="已注销及未注销","抵押担保权已注销时的抵押价格","——"))</f>
        <v>——</v>
      </c>
      <c r="B7" s="3531"/>
      <c r="C7" s="3531"/>
      <c r="D7" s="3531"/>
      <c r="E7" s="3531"/>
      <c r="F7" s="3531"/>
      <c r="G7" s="3531"/>
      <c r="H7" s="3531"/>
      <c r="I7" s="3531"/>
      <c r="J7" s="3531"/>
      <c r="K7" s="3531"/>
      <c r="L7" s="3531"/>
      <c r="M7" s="3531"/>
      <c r="N7" s="3531"/>
      <c r="O7" s="3531"/>
      <c r="P7" s="3531"/>
      <c r="Q7" s="3532"/>
      <c r="R7" s="1682" t="str">
        <f>结果表!O40</f>
        <v>——</v>
      </c>
    </row>
    <row r="8" spans="1:18">
      <c r="A8" s="3530" t="str">
        <f>IF(项目基本情况!B9="市场价格","——",项目基本情况!E9)</f>
        <v>——</v>
      </c>
      <c r="B8" s="3531"/>
      <c r="C8" s="3531"/>
      <c r="D8" s="3531"/>
      <c r="E8" s="3531"/>
      <c r="F8" s="3531"/>
      <c r="G8" s="3531"/>
      <c r="H8" s="3531"/>
      <c r="I8" s="3531"/>
      <c r="J8" s="3531"/>
      <c r="K8" s="3531"/>
      <c r="L8" s="3531"/>
      <c r="M8" s="3531"/>
      <c r="N8" s="3531"/>
      <c r="O8" s="3531"/>
      <c r="P8" s="3531"/>
      <c r="Q8" s="3532"/>
      <c r="R8" s="1682" t="str">
        <f>结果表!O41</f>
        <v>——</v>
      </c>
    </row>
    <row r="9" spans="1:18">
      <c r="A9" s="1683" t="s">
        <v>1830</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1817</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539" t="s">
        <v>1854</v>
      </c>
      <c r="B1" s="3539"/>
      <c r="C1" s="3539"/>
      <c r="D1" s="3539"/>
    </row>
    <row r="2" spans="1:4" ht="47.25" customHeight="1">
      <c r="A2" s="3540" t="str">
        <f>"1.权利限制："&amp;项目基本情况!L24&amp;"未设定租赁等其他他项权利。"</f>
        <v>1.权利限制：根据估价对象《不动产权证书》复印件、，截至估价期日，估价对象抵押权未见登记。未设定租赁等其他他项权利。</v>
      </c>
      <c r="B2" s="3540"/>
      <c r="C2" s="3540"/>
      <c r="D2" s="3540"/>
    </row>
    <row r="3" spans="1:4" ht="48" customHeight="1">
      <c r="A3" s="3539"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539"/>
      <c r="C3" s="3539"/>
      <c r="D3" s="3539"/>
    </row>
    <row r="4" spans="1:4" ht="36.75" customHeight="1">
      <c r="A4" s="3539" t="str">
        <f>"3.估价规划限制条件：详见"&amp;项目基本情况!E21&amp;"。"</f>
        <v>3.估价规划限制条件：详见《建设工程规划许可证》[]。</v>
      </c>
      <c r="B4" s="3539"/>
      <c r="C4" s="3539"/>
      <c r="D4" s="3539"/>
    </row>
    <row r="5" spans="1:4">
      <c r="A5" s="3538" t="s">
        <v>1855</v>
      </c>
      <c r="B5" s="3538"/>
      <c r="C5" s="3538"/>
      <c r="D5" s="3538"/>
    </row>
    <row r="6" spans="1:4">
      <c r="A6" s="3539" t="s">
        <v>1833</v>
      </c>
      <c r="B6" s="3539"/>
      <c r="C6" s="3539"/>
      <c r="D6" s="3539"/>
    </row>
    <row r="7" spans="1:4" ht="33" customHeight="1">
      <c r="A7" s="3539" t="s">
        <v>2289</v>
      </c>
      <c r="B7" s="3539"/>
      <c r="C7" s="3539"/>
      <c r="D7" s="3539"/>
    </row>
    <row r="8" spans="1:4" ht="32.25" customHeight="1">
      <c r="A8" s="35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9"/>
      <c r="C8" s="3539"/>
      <c r="D8" s="3539"/>
    </row>
    <row r="9" spans="1:4" ht="33.75" customHeight="1">
      <c r="A9" s="35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9"/>
      <c r="C9" s="3539"/>
      <c r="D9" s="3539"/>
    </row>
    <row r="10" spans="1:4">
      <c r="A10" s="3539" t="str">
        <f>IF(项目基本情况!B8="抵押","4.估价师所知悉的法定优先受偿款情况为：","——")</f>
        <v>4.估价师所知悉的法定优先受偿款情况为：</v>
      </c>
      <c r="B10" s="3539"/>
      <c r="C10" s="3539"/>
      <c r="D10" s="3539"/>
    </row>
    <row r="11" spans="1:4" ht="37.5" customHeight="1">
      <c r="A11" s="3541" t="str">
        <f>IF(项目基本情况!B8="抵押","（1）"&amp;CONCATENATE(项目基本情况!L24,项目基本情况!L25,项目基本情况!L26),"——")</f>
        <v>（1）根据估价对象《不动产权证书》复印件、，截至估价期日，估价对象抵押权未见登记。</v>
      </c>
      <c r="B11" s="3541"/>
      <c r="C11" s="3541"/>
      <c r="D11" s="3541"/>
    </row>
    <row r="12" spans="1:4" ht="168" customHeight="1">
      <c r="A12" s="3538" t="s">
        <v>1857</v>
      </c>
      <c r="B12" s="3538"/>
      <c r="C12" s="3538"/>
      <c r="D12" s="3538"/>
    </row>
    <row r="13" spans="1:4">
      <c r="A13" s="3542" t="s">
        <v>2460</v>
      </c>
      <c r="B13" s="3542"/>
      <c r="C13" s="3542"/>
      <c r="D13" s="3542"/>
    </row>
    <row r="14" spans="1:4">
      <c r="A14" s="3541" t="str">
        <f>IF(项目基本情况!B8="抵押","综上，"&amp;结果表!K47,"——")</f>
        <v>综上，本次评估不存在估价师知悉的法定优先受偿款</v>
      </c>
      <c r="B14" s="3541"/>
      <c r="C14" s="3541"/>
      <c r="D14" s="3541"/>
    </row>
    <row r="15" spans="1:4" ht="58.5" customHeight="1">
      <c r="A15" s="35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9"/>
      <c r="C15" s="3539"/>
      <c r="D15" s="3539"/>
    </row>
    <row r="16" spans="1:4" ht="70.5" customHeight="1">
      <c r="A16" s="35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9"/>
      <c r="C16" s="3539"/>
      <c r="D16" s="3539"/>
    </row>
    <row r="17" spans="1:4">
      <c r="A17" s="3539" t="s">
        <v>2416</v>
      </c>
      <c r="B17" s="3539"/>
      <c r="C17" s="3539"/>
      <c r="D17" s="3539"/>
    </row>
    <row r="18" spans="1:4">
      <c r="A18" s="3539" t="s">
        <v>2408</v>
      </c>
      <c r="B18" s="3539"/>
      <c r="C18" s="3539"/>
      <c r="D18" s="3539"/>
    </row>
    <row r="19" spans="1:4">
      <c r="A19" s="2507" t="s">
        <v>2409</v>
      </c>
      <c r="B19" s="2507" t="s">
        <v>2410</v>
      </c>
      <c r="C19" s="2507" t="s">
        <v>2411</v>
      </c>
      <c r="D19" s="2507" t="s">
        <v>2412</v>
      </c>
    </row>
    <row r="20" spans="1:4">
      <c r="A20" s="2507" t="str">
        <f>项目基本情况!B4</f>
        <v>崔锴</v>
      </c>
      <c r="B20" s="2507">
        <f ca="1">项目基本情况!C4</f>
        <v>2010110070</v>
      </c>
      <c r="C20" s="2509"/>
      <c r="D20" s="1670" t="s">
        <v>2417</v>
      </c>
    </row>
    <row r="21" spans="1:4">
      <c r="A21" s="2507" t="str">
        <f>项目基本情况!D4</f>
        <v>郑燚</v>
      </c>
      <c r="B21" s="2507">
        <f ca="1">项目基本情况!E4</f>
        <v>2014110011</v>
      </c>
      <c r="C21" s="2509"/>
      <c r="D21" s="1670" t="s">
        <v>2418</v>
      </c>
    </row>
    <row r="23" spans="1:4">
      <c r="A23" s="3539" t="s">
        <v>2413</v>
      </c>
      <c r="B23" s="3539"/>
      <c r="C23" s="3539"/>
      <c r="D23" s="3539"/>
    </row>
    <row r="24" spans="1:4">
      <c r="A24" s="2507" t="s">
        <v>2409</v>
      </c>
      <c r="B24" s="2507" t="s">
        <v>2414</v>
      </c>
      <c r="C24" s="2507" t="s">
        <v>2411</v>
      </c>
      <c r="D24" s="2507" t="s">
        <v>2412</v>
      </c>
    </row>
    <row r="25" spans="1:4">
      <c r="A25" s="2510" t="s">
        <v>2415</v>
      </c>
      <c r="B25" s="2507" t="s">
        <v>931</v>
      </c>
      <c r="C25" s="2509"/>
      <c r="D25" s="1670" t="s">
        <v>2418</v>
      </c>
    </row>
    <row r="29" spans="1:4">
      <c r="D29" s="2508" t="s">
        <v>1828</v>
      </c>
    </row>
    <row r="30" spans="1:4">
      <c r="D30" s="25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550" t="s">
        <v>53</v>
      </c>
      <c r="B15" s="3551" t="s">
        <v>826</v>
      </c>
      <c r="C15" s="3547"/>
    </row>
    <row r="16" spans="1:7" ht="14.25">
      <c r="A16" s="3550"/>
      <c r="B16" s="3548" t="s">
        <v>54</v>
      </c>
      <c r="C16" s="1119" t="s">
        <v>53</v>
      </c>
    </row>
    <row r="17" spans="1:3" ht="14.25">
      <c r="A17" s="3550"/>
      <c r="B17" s="3548"/>
      <c r="C17" s="1119" t="s">
        <v>55</v>
      </c>
    </row>
    <row r="18" spans="1:3" ht="14.25">
      <c r="A18" s="3550"/>
      <c r="B18" s="3548"/>
      <c r="C18" s="1119" t="s">
        <v>56</v>
      </c>
    </row>
    <row r="19" spans="1:3" ht="14.25">
      <c r="A19" s="3550"/>
      <c r="B19" s="3546" t="s">
        <v>57</v>
      </c>
      <c r="C19" s="3547"/>
    </row>
    <row r="20" spans="1:3" ht="14.25">
      <c r="A20" s="1120" t="s">
        <v>58</v>
      </c>
      <c r="B20" s="1121"/>
      <c r="C20" s="1122"/>
    </row>
    <row r="21" spans="1:3" ht="14.25">
      <c r="A21" s="3549" t="s">
        <v>59</v>
      </c>
      <c r="B21" s="3546" t="s">
        <v>60</v>
      </c>
      <c r="C21" s="3547"/>
    </row>
    <row r="22" spans="1:3" ht="14.25">
      <c r="A22" s="3549"/>
      <c r="B22" s="3546" t="s">
        <v>61</v>
      </c>
      <c r="C22" s="3547"/>
    </row>
    <row r="23" spans="1:3" ht="14.25">
      <c r="A23" s="3549"/>
      <c r="B23" s="3546" t="s">
        <v>62</v>
      </c>
      <c r="C23" s="3547"/>
    </row>
    <row r="24" spans="1:3" ht="14.25">
      <c r="A24" s="3549"/>
      <c r="B24" s="3552" t="s">
        <v>63</v>
      </c>
      <c r="C24" s="1123" t="s">
        <v>817</v>
      </c>
    </row>
    <row r="25" spans="1:3" ht="14.25">
      <c r="A25" s="3549"/>
      <c r="B25" s="3553"/>
      <c r="C25" s="1123" t="s">
        <v>818</v>
      </c>
    </row>
    <row r="26" spans="1:3" ht="14.25">
      <c r="A26" s="3549"/>
      <c r="B26" s="3553"/>
      <c r="C26" s="1123" t="s">
        <v>819</v>
      </c>
    </row>
    <row r="27" spans="1:3" ht="14.25">
      <c r="A27" s="3549"/>
      <c r="B27" s="3553"/>
      <c r="C27" s="1123" t="s">
        <v>820</v>
      </c>
    </row>
    <row r="28" spans="1:3" ht="14.25">
      <c r="A28" s="3549"/>
      <c r="B28" s="3553"/>
      <c r="C28" s="1123" t="s">
        <v>821</v>
      </c>
    </row>
    <row r="29" spans="1:3" ht="14.25">
      <c r="A29" s="3549"/>
      <c r="B29" s="3553"/>
      <c r="C29" s="1123" t="s">
        <v>822</v>
      </c>
    </row>
    <row r="30" spans="1:3" ht="14.25">
      <c r="A30" s="3549"/>
      <c r="B30" s="3553"/>
      <c r="C30" s="1123" t="s">
        <v>823</v>
      </c>
    </row>
    <row r="31" spans="1:3" ht="14.25">
      <c r="A31" s="3549"/>
      <c r="B31" s="3553"/>
      <c r="C31" s="1123" t="s">
        <v>824</v>
      </c>
    </row>
    <row r="32" spans="1:3" ht="14.25">
      <c r="A32" s="3549"/>
      <c r="B32" s="3553"/>
      <c r="C32" s="1123" t="s">
        <v>1446</v>
      </c>
    </row>
    <row r="33" spans="1:3" ht="14.25">
      <c r="A33" s="3549"/>
      <c r="B33" s="3543" t="s">
        <v>1452</v>
      </c>
      <c r="C33" s="1123" t="s">
        <v>1447</v>
      </c>
    </row>
    <row r="34" spans="1:3" ht="14.25">
      <c r="A34" s="3549"/>
      <c r="B34" s="3544"/>
      <c r="C34" s="1128" t="s">
        <v>1448</v>
      </c>
    </row>
    <row r="35" spans="1:3" ht="14.25">
      <c r="A35" s="3549"/>
      <c r="B35" s="3544"/>
      <c r="C35" s="1129" t="s">
        <v>1449</v>
      </c>
    </row>
    <row r="36" spans="1:3" ht="14.25">
      <c r="A36" s="3549"/>
      <c r="B36" s="3544"/>
      <c r="C36" s="1129" t="s">
        <v>1450</v>
      </c>
    </row>
    <row r="37" spans="1:3" ht="14.25">
      <c r="A37" s="3549"/>
      <c r="B37" s="3545"/>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44711</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2667</v>
      </c>
      <c r="B12" s="2938">
        <f ca="1">IF(C12&lt;B2,"已过期",1120040230)</f>
        <v>1120040230</v>
      </c>
      <c r="C12" s="2941">
        <v>44864</v>
      </c>
      <c r="D12" s="2949" t="s">
        <v>2668</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2680</v>
      </c>
      <c r="B15" s="2938">
        <f ca="1">IF(C15&lt;B2,"已过期",1119980106)</f>
        <v>1119980106</v>
      </c>
      <c r="C15" s="2941">
        <v>44969</v>
      </c>
      <c r="D15" s="2949"/>
      <c r="E15" s="2938"/>
      <c r="F15" s="2938"/>
      <c r="G15" s="2933"/>
    </row>
    <row r="16" spans="1:7" ht="20.25" customHeight="1">
      <c r="A16" s="2937" t="s">
        <v>2874</v>
      </c>
      <c r="B16" s="2937">
        <v>1120210056</v>
      </c>
      <c r="C16" s="2941">
        <v>45410</v>
      </c>
      <c r="D16" s="2949"/>
      <c r="E16" s="2938"/>
      <c r="F16" s="2938"/>
      <c r="G16" s="2933"/>
    </row>
    <row r="17" spans="1:7" s="2749" customFormat="1" ht="20.25" customHeight="1">
      <c r="A17" s="2937" t="s">
        <v>1842</v>
      </c>
      <c r="B17" s="2937" t="s">
        <v>1842</v>
      </c>
      <c r="C17" s="2941"/>
      <c r="D17" s="2950" t="s">
        <v>1842</v>
      </c>
      <c r="E17" s="2938" t="s">
        <v>1842</v>
      </c>
      <c r="F17" s="2940"/>
      <c r="G17" s="2942"/>
    </row>
    <row r="18" spans="1:7" ht="20.25" customHeight="1">
      <c r="A18" s="3557" t="s">
        <v>1720</v>
      </c>
      <c r="B18" s="3558"/>
      <c r="C18" s="3558"/>
      <c r="D18" s="3558"/>
      <c r="E18" s="3558"/>
      <c r="F18" s="3558"/>
      <c r="G18" s="2942"/>
    </row>
    <row r="19" spans="1:7" ht="20.25" customHeight="1">
      <c r="A19" s="3554" t="s">
        <v>1721</v>
      </c>
      <c r="B19" s="3554"/>
      <c r="C19" s="3555"/>
      <c r="D19" s="3556" t="s">
        <v>1722</v>
      </c>
      <c r="E19" s="3554"/>
      <c r="F19" s="3554"/>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2875</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2260</v>
      </c>
      <c r="R1" s="2354" t="s">
        <v>2254</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2255</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2256</v>
      </c>
      <c r="S3" s="9" t="s">
        <v>84</v>
      </c>
      <c r="T3" s="9" t="s">
        <v>85</v>
      </c>
      <c r="U3" s="9" t="s">
        <v>84</v>
      </c>
      <c r="V3" s="9" t="s">
        <v>86</v>
      </c>
      <c r="W3" s="9" t="s">
        <v>855</v>
      </c>
    </row>
    <row r="4" spans="1:23">
      <c r="A4" s="8" t="s">
        <v>87</v>
      </c>
      <c r="B4" s="8" t="s">
        <v>152</v>
      </c>
      <c r="C4" s="1446" t="s">
        <v>1511</v>
      </c>
      <c r="D4" s="9" t="s">
        <v>1784</v>
      </c>
      <c r="E4" s="9" t="s">
        <v>88</v>
      </c>
      <c r="F4" s="9" t="s">
        <v>89</v>
      </c>
      <c r="G4" s="9">
        <v>70</v>
      </c>
      <c r="H4" s="9" t="s">
        <v>90</v>
      </c>
      <c r="I4" s="9" t="s">
        <v>91</v>
      </c>
      <c r="K4" s="9" t="s">
        <v>92</v>
      </c>
      <c r="L4" s="9" t="s">
        <v>92</v>
      </c>
      <c r="M4" s="9" t="s">
        <v>92</v>
      </c>
      <c r="N4" s="9" t="s">
        <v>92</v>
      </c>
      <c r="O4" s="9" t="s">
        <v>92</v>
      </c>
      <c r="P4" s="976" t="s">
        <v>742</v>
      </c>
      <c r="Q4" s="9" t="s">
        <v>92</v>
      </c>
      <c r="R4" s="976" t="s">
        <v>2257</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2258</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2259</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10" t="s">
        <v>2644</v>
      </c>
      <c r="C18" s="1449"/>
    </row>
    <row r="19" spans="1:3">
      <c r="A19" s="8" t="s">
        <v>120</v>
      </c>
      <c r="B19" s="2710" t="s">
        <v>2651</v>
      </c>
      <c r="C19" s="1449"/>
    </row>
    <row r="20" spans="1:3">
      <c r="A20" s="8" t="s">
        <v>121</v>
      </c>
      <c r="B20" s="2710" t="s">
        <v>2693</v>
      </c>
      <c r="C20" s="1449"/>
    </row>
    <row r="21" spans="1:3">
      <c r="A21" s="8" t="s">
        <v>122</v>
      </c>
      <c r="B21" s="8" t="s">
        <v>2866</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辉煌凯盛旅游产业有限公司拟使用北京市北京市延庆区张山营镇水峪村D-03地块出让国有建设用地使用权作为抵押担保物，向交通银行办理贷款手续。交通银行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1776</v>
      </c>
      <c r="B52" s="1641" t="s">
        <v>1777</v>
      </c>
      <c r="C52" s="1639" t="s">
        <v>1778</v>
      </c>
      <c r="D52" s="1639" t="s">
        <v>1779</v>
      </c>
      <c r="E52" s="1640"/>
    </row>
    <row r="53" spans="1:5">
      <c r="A53" s="3559" t="s">
        <v>1780</v>
      </c>
      <c r="B53" s="1639" t="s">
        <v>1786</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c r="D53" s="1640"/>
      <c r="E53" s="1640"/>
    </row>
    <row r="54" spans="1:5">
      <c r="A54" s="3559"/>
      <c r="B54" s="1639" t="s">
        <v>1787</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59"/>
      <c r="B55" s="1639" t="s">
        <v>1781</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59"/>
      <c r="B56" s="1639" t="s">
        <v>1782</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59"/>
      <c r="B57" s="1639" t="s">
        <v>1783</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1838</v>
      </c>
      <c r="B58" s="1639" t="s">
        <v>1839</v>
      </c>
      <c r="C58" s="11" t="s">
        <v>1840</v>
      </c>
      <c r="D58" s="1237" t="s">
        <v>1841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数据-汇总表</vt:lpstr>
      <vt:lpstr>数据-取费表</vt:lpstr>
      <vt:lpstr>估价对象房地状况</vt:lpstr>
      <vt:lpstr>系统读取表</vt:lpstr>
      <vt:lpstr>结果表</vt:lpstr>
      <vt:lpstr>剩余法-现房</vt:lpstr>
      <vt:lpstr>拆分结果</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资料</vt:lpstr>
      <vt:lpstr>土地案例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2017-03-09T08:11:21Z</cp:lastPrinted>
  <dcterms:created xsi:type="dcterms:W3CDTF">2015-07-13T07:17:23Z</dcterms:created>
  <dcterms:modified xsi:type="dcterms:W3CDTF">2022-05-30T07:05:25Z</dcterms:modified>
</cp:coreProperties>
</file>