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北京市海淀区罗庄北里锦秋家园3号楼206号住宅用房房地产市场价值评估\"/>
    </mc:Choice>
  </mc:AlternateContent>
  <xr:revisionPtr revIDLastSave="0" documentId="13_ncr:1_{9B2BAD2B-D6BE-4990-9B23-AE8D56F2245F}" xr6:coauthVersionLast="45" xr6:coauthVersionMax="45" xr10:uidLastSave="{00000000-0000-0000-0000-000000000000}"/>
  <bookViews>
    <workbookView xWindow="1275" yWindow="165" windowWidth="17070" windowHeight="10815" tabRatio="899" firstSheet="1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法拍" sheetId="82" r:id="rId19"/>
    <sheet name="三部案例" sheetId="80" r:id="rId20"/>
    <sheet name="比较法-住宅" sheetId="21" r:id="rId21"/>
    <sheet name="收益法" sheetId="15" r:id="rId22"/>
    <sheet name="公共部分" sheetId="84" r:id="rId23"/>
    <sheet name="收益法 (2)" sheetId="83" state="hidden" r:id="rId24"/>
    <sheet name="收益法 (元)" sheetId="67" r:id="rId25"/>
    <sheet name="租金案例" sheetId="81" r:id="rId26"/>
    <sheet name="成本法 (元)" sheetId="69" state="hidden" r:id="rId27"/>
    <sheet name="假设开发法" sheetId="12"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系统读取表" sheetId="74"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17">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16">结果表!$A$1:$I$127</definedName>
    <definedName name="_xlnm.Print_Area" localSheetId="21">收益法!$A$1:$F$43,收益法!$H$3:$M$29,收益法!$A$46:$F$71,收益法!$I$46:$N$65</definedName>
    <definedName name="_xlnm.Print_Area" localSheetId="23">'收益法 (2)'!$A$1:$F$43,'收益法 (2)'!$H$3:$M$29,'收益法 (2)'!$A$46:$F$71,'收益法 (2)'!$I$46:$N$65</definedName>
    <definedName name="_xlnm.Print_Area" localSheetId="24">'收益法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4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 i="83" l="1"/>
  <c r="G6" i="83" l="1"/>
  <c r="C2" i="84" l="1"/>
  <c r="D6" i="84" s="1"/>
  <c r="I33" i="21" l="1"/>
  <c r="G33" i="21"/>
  <c r="E33" i="21"/>
  <c r="K25" i="81"/>
  <c r="K24" i="81"/>
  <c r="F43" i="83" l="1"/>
  <c r="G8" i="83" s="1"/>
  <c r="D7" i="84" l="1"/>
  <c r="D8" i="84" s="1"/>
  <c r="Q72" i="83" l="1"/>
  <c r="C62" i="83"/>
  <c r="C61" i="83"/>
  <c r="C60" i="83"/>
  <c r="Q59" i="83"/>
  <c r="K59" i="83"/>
  <c r="P61" i="83" s="1"/>
  <c r="Q58" i="83"/>
  <c r="Q51" i="83"/>
  <c r="J50" i="83"/>
  <c r="M47" i="83"/>
  <c r="L46" i="83"/>
  <c r="D46" i="83"/>
  <c r="C34" i="83"/>
  <c r="F33" i="83"/>
  <c r="F61" i="83" s="1"/>
  <c r="C33" i="83"/>
  <c r="C32" i="83"/>
  <c r="F23" i="83"/>
  <c r="F21" i="83"/>
  <c r="F20" i="83"/>
  <c r="M19" i="83"/>
  <c r="F18" i="83"/>
  <c r="F17" i="83"/>
  <c r="F15" i="83"/>
  <c r="P74" i="83" l="1"/>
  <c r="D23" i="83"/>
  <c r="D22" i="83"/>
  <c r="D24" i="83"/>
  <c r="I54" i="83"/>
  <c r="C8" i="82"/>
  <c r="C7" i="82"/>
  <c r="C6" i="82"/>
  <c r="C5" i="82"/>
  <c r="C4" i="82"/>
  <c r="C3" i="82"/>
  <c r="C2" i="82"/>
  <c r="G159" i="82"/>
  <c r="E5" i="82" s="1"/>
  <c r="G158" i="82"/>
  <c r="D5" i="82" s="1"/>
  <c r="F5" i="82" s="1"/>
  <c r="G136" i="82"/>
  <c r="E4" i="82" s="1"/>
  <c r="G135" i="82"/>
  <c r="D4" i="82" s="1"/>
  <c r="F4" i="82" s="1"/>
  <c r="G107" i="82"/>
  <c r="E2" i="82" s="1"/>
  <c r="G106" i="82"/>
  <c r="D2" i="82" s="1"/>
  <c r="F2" i="82" s="1"/>
  <c r="G83" i="82"/>
  <c r="E8" i="82" s="1"/>
  <c r="G82" i="82"/>
  <c r="D8" i="82" s="1"/>
  <c r="F8" i="82" s="1"/>
  <c r="G59" i="82"/>
  <c r="E7" i="82" s="1"/>
  <c r="G58" i="82"/>
  <c r="D7" i="82" s="1"/>
  <c r="F7" i="82" s="1"/>
  <c r="G34" i="82"/>
  <c r="E6" i="82" s="1"/>
  <c r="H11" i="82"/>
  <c r="G11" i="82"/>
  <c r="E3" i="82" s="1"/>
  <c r="G33" i="82"/>
  <c r="D6" i="82" s="1"/>
  <c r="F6" i="82" s="1"/>
  <c r="G10" i="82"/>
  <c r="D3" i="82" s="1"/>
  <c r="F3" i="82" s="1"/>
  <c r="C27" i="83" l="1"/>
  <c r="F50" i="83"/>
  <c r="M7" i="83"/>
  <c r="F71" i="83"/>
  <c r="C37" i="21"/>
  <c r="G37" i="21" s="1"/>
  <c r="I47" i="21"/>
  <c r="G47" i="21"/>
  <c r="E47" i="21"/>
  <c r="K23" i="81"/>
  <c r="K22" i="81"/>
  <c r="K21" i="81"/>
  <c r="K20" i="81"/>
  <c r="K19" i="81"/>
  <c r="K18" i="81"/>
  <c r="K17" i="81"/>
  <c r="K9" i="81" s="1"/>
  <c r="K11" i="81" s="1"/>
  <c r="I7" i="21"/>
  <c r="G7" i="21"/>
  <c r="E7" i="21"/>
  <c r="I5" i="21"/>
  <c r="G5" i="21"/>
  <c r="E5" i="21"/>
  <c r="O5" i="80"/>
  <c r="O4" i="80"/>
  <c r="O3" i="80"/>
  <c r="O2" i="80"/>
  <c r="B55" i="1"/>
  <c r="B56" i="1"/>
  <c r="B57" i="1"/>
  <c r="B58" i="1"/>
  <c r="B59" i="1"/>
  <c r="B54" i="1"/>
  <c r="Y6" i="1"/>
  <c r="O20" i="1"/>
  <c r="O21" i="1" s="1"/>
  <c r="P21" i="1" s="1"/>
  <c r="O19" i="1"/>
  <c r="E37" i="21" l="1"/>
  <c r="I37" i="21"/>
  <c r="F19" i="6"/>
  <c r="C33" i="21" s="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S12" i="79"/>
  <c r="U12"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Q25" i="71"/>
  <c r="F24" i="71"/>
  <c r="F23" i="71" s="1"/>
  <c r="P25" i="71"/>
  <c r="E24" i="71"/>
  <c r="O25" i="71"/>
  <c r="N25" i="71"/>
  <c r="B24" i="71"/>
  <c r="B23"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B61" i="72" s="1"/>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E84" i="71"/>
  <c r="E83" i="71"/>
  <c r="E82" i="71" s="1"/>
  <c r="C84" i="71"/>
  <c r="D84" i="71" s="1"/>
  <c r="B84" i="71"/>
  <c r="B83" i="71" s="1"/>
  <c r="B82" i="71" s="1"/>
  <c r="F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C59" i="71" s="1"/>
  <c r="C60" i="71" s="1"/>
  <c r="D60"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c r="S44" i="71" s="1"/>
  <c r="D41" i="71"/>
  <c r="Q40" i="71"/>
  <c r="P40" i="71"/>
  <c r="O40" i="71"/>
  <c r="N40" i="71"/>
  <c r="Q39" i="71"/>
  <c r="AB39" i="71" s="1"/>
  <c r="P39" i="71"/>
  <c r="AA39" i="71"/>
  <c r="O39" i="71"/>
  <c r="Y39" i="71"/>
  <c r="Z39" i="71" s="1"/>
  <c r="N39" i="71"/>
  <c r="X39" i="71" s="1"/>
  <c r="Q38" i="71"/>
  <c r="P38" i="71"/>
  <c r="O38" i="71"/>
  <c r="N38" i="71"/>
  <c r="Q37" i="71"/>
  <c r="F38" i="71" s="1"/>
  <c r="P37" i="71"/>
  <c r="O37" i="71"/>
  <c r="N37" i="71"/>
  <c r="D37" i="71"/>
  <c r="Q36" i="71"/>
  <c r="P36" i="71"/>
  <c r="O36" i="71"/>
  <c r="N36" i="71"/>
  <c r="Q35" i="71"/>
  <c r="AB35" i="71"/>
  <c r="P35" i="71"/>
  <c r="O35" i="71"/>
  <c r="Y35" i="71" s="1"/>
  <c r="Z35" i="71" s="1"/>
  <c r="N35" i="71"/>
  <c r="Q34" i="71"/>
  <c r="P34" i="71"/>
  <c r="O34" i="71"/>
  <c r="N34" i="71"/>
  <c r="Q33" i="71"/>
  <c r="F34" i="71" s="1"/>
  <c r="P33" i="71"/>
  <c r="AA33" i="71" s="1"/>
  <c r="O33" i="71"/>
  <c r="N33" i="71"/>
  <c r="D33" i="71"/>
  <c r="Q32" i="71"/>
  <c r="P32" i="71"/>
  <c r="O32" i="71"/>
  <c r="N32" i="71"/>
  <c r="Q31" i="71"/>
  <c r="AB31" i="71"/>
  <c r="P31" i="71"/>
  <c r="O31" i="71"/>
  <c r="Y31" i="71" s="1"/>
  <c r="Z31" i="71" s="1"/>
  <c r="N31" i="71"/>
  <c r="Q30" i="71"/>
  <c r="AB30" i="71" s="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AB29" i="71"/>
  <c r="AA30" i="71"/>
  <c r="AA31" i="71"/>
  <c r="AA32" i="71"/>
  <c r="C34" i="71"/>
  <c r="X35" i="71"/>
  <c r="C38" i="71"/>
  <c r="X38" i="71"/>
  <c r="AA38" i="71"/>
  <c r="F51" i="71"/>
  <c r="F52" i="71" s="1"/>
  <c r="V52" i="71" s="1"/>
  <c r="Y27" i="71"/>
  <c r="Z27" i="71" s="1"/>
  <c r="B28" i="71"/>
  <c r="B27" i="71" s="1"/>
  <c r="B26" i="71" s="1"/>
  <c r="X26" i="71"/>
  <c r="D30" i="71"/>
  <c r="D34" i="71"/>
  <c r="C47" i="71"/>
  <c r="D47" i="71" s="1"/>
  <c r="P28" i="71"/>
  <c r="E63" i="71"/>
  <c r="E64" i="71" s="1"/>
  <c r="U64" i="71" s="1"/>
  <c r="Q65" i="71"/>
  <c r="U68" i="71"/>
  <c r="E67" i="71"/>
  <c r="Q28" i="71"/>
  <c r="D58" i="71"/>
  <c r="Q67" i="71"/>
  <c r="T68" i="71"/>
  <c r="O68" i="71"/>
  <c r="D68" i="71"/>
  <c r="C67" i="71"/>
  <c r="Q68" i="71"/>
  <c r="E71" i="71"/>
  <c r="E70" i="71" s="1"/>
  <c r="C75" i="71"/>
  <c r="D75" i="71" s="1"/>
  <c r="D76" i="71"/>
  <c r="E79" i="71"/>
  <c r="E78" i="71" s="1"/>
  <c r="C83" i="71"/>
  <c r="C82" i="71" s="1"/>
  <c r="D82" i="71" s="1"/>
  <c r="C87" i="71"/>
  <c r="S28" i="71"/>
  <c r="AA28" i="71"/>
  <c r="C66" i="71"/>
  <c r="O67" i="71"/>
  <c r="D67" i="71"/>
  <c r="D83" i="71"/>
  <c r="C74" i="71"/>
  <c r="D74" i="71" s="1"/>
  <c r="D87" i="71"/>
  <c r="C86" i="71"/>
  <c r="D86" i="71" s="1"/>
  <c r="D59" i="71"/>
  <c r="P67" i="71"/>
  <c r="E66" i="71"/>
  <c r="P65" i="71" s="1"/>
  <c r="P66" i="71"/>
  <c r="O66" i="71"/>
  <c r="D66" i="71"/>
  <c r="O65"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2" i="20"/>
  <c r="B57" i="43"/>
  <c r="S25" i="40"/>
  <c r="S21" i="34"/>
  <c r="H25" i="40"/>
  <c r="J25" i="40"/>
  <c r="AC25" i="40" s="1"/>
  <c r="H29" i="39"/>
  <c r="AB29" i="39" s="1"/>
  <c r="J29" i="39"/>
  <c r="AC29" i="39" s="1"/>
  <c r="J18" i="36"/>
  <c r="H18" i="35"/>
  <c r="AB18" i="35" s="1"/>
  <c r="S18" i="35"/>
  <c r="J18" i="35"/>
  <c r="H21" i="37"/>
  <c r="F21" i="37"/>
  <c r="AA21" i="37" s="1"/>
  <c r="H21" i="34"/>
  <c r="H21" i="33"/>
  <c r="F21" i="33"/>
  <c r="E83" i="21"/>
  <c r="H1" i="69"/>
  <c r="W25" i="40"/>
  <c r="AB25" i="40"/>
  <c r="U25" i="40"/>
  <c r="U29" i="39"/>
  <c r="W29" i="39"/>
  <c r="AC18" i="36"/>
  <c r="W18" i="36"/>
  <c r="AB21" i="37"/>
  <c r="U21" i="37"/>
  <c r="U21" i="33"/>
  <c r="AB21" i="33"/>
  <c r="AC18" i="35"/>
  <c r="W18" i="35"/>
  <c r="J21" i="37"/>
  <c r="W21" i="37" s="1"/>
  <c r="J21" i="34"/>
  <c r="W21" i="34" s="1"/>
  <c r="J21" i="33"/>
  <c r="W21" i="33" s="1"/>
  <c r="F83" i="21"/>
  <c r="H21" i="21"/>
  <c r="U21" i="21" s="1"/>
  <c r="F38" i="69"/>
  <c r="E37" i="69"/>
  <c r="F36" i="69"/>
  <c r="F35" i="69"/>
  <c r="F21" i="69"/>
  <c r="F40" i="69" s="1"/>
  <c r="F20" i="69"/>
  <c r="F39" i="69" s="1"/>
  <c r="E10" i="69"/>
  <c r="E9" i="69"/>
  <c r="AC21" i="34"/>
  <c r="AC21" i="33"/>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J51" i="83" s="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I542" i="3"/>
  <c r="BJ542" i="3"/>
  <c r="BK542" i="3"/>
  <c r="BM542" i="3"/>
  <c r="BL542" i="3" s="1"/>
  <c r="BN542" i="3"/>
  <c r="BO542" i="3"/>
  <c r="BP542" i="3"/>
  <c r="BQ542" i="3"/>
  <c r="BR542" i="3"/>
  <c r="BS542" i="3"/>
  <c r="BS5" i="3" s="1"/>
  <c r="F28" i="6" s="1"/>
  <c r="BT542" i="3"/>
  <c r="H543" i="3"/>
  <c r="H5" i="3" s="1"/>
  <c r="AC543" i="3"/>
  <c r="BB543" i="3"/>
  <c r="BC543" i="3"/>
  <c r="BD543" i="3"/>
  <c r="BE543" i="3"/>
  <c r="BF543" i="3"/>
  <c r="BG543" i="3"/>
  <c r="BH543" i="3"/>
  <c r="BI543" i="3"/>
  <c r="BJ543" i="3"/>
  <c r="BK543" i="3"/>
  <c r="BM543" i="3"/>
  <c r="BN543" i="3"/>
  <c r="BO543" i="3"/>
  <c r="BP543" i="3"/>
  <c r="BR543" i="3"/>
  <c r="BR5" i="3" s="1"/>
  <c r="BS543" i="3"/>
  <c r="BT543" i="3"/>
  <c r="BT5" i="3" s="1"/>
  <c r="H544" i="3"/>
  <c r="AC544" i="3"/>
  <c r="G544" i="3" s="1"/>
  <c r="BB544" i="3"/>
  <c r="BC544" i="3"/>
  <c r="BD544" i="3"/>
  <c r="BE544" i="3"/>
  <c r="BF544" i="3"/>
  <c r="BG544" i="3"/>
  <c r="BH544" i="3"/>
  <c r="BI544" i="3"/>
  <c r="BI5" i="3" s="1"/>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F37" i="33"/>
  <c r="S37" i="33" s="1"/>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F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H15" i="37"/>
  <c r="AB15" i="37"/>
  <c r="B68" i="37"/>
  <c r="H14" i="37"/>
  <c r="B66" i="37"/>
  <c r="H13" i="37" s="1"/>
  <c r="AB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D81" i="36"/>
  <c r="E81" i="36" s="1"/>
  <c r="F81" i="36" s="1"/>
  <c r="G81" i="36" s="1"/>
  <c r="H81" i="36" s="1"/>
  <c r="I81" i="36"/>
  <c r="J81" i="36" s="1"/>
  <c r="K81" i="36" s="1"/>
  <c r="L81" i="36" s="1"/>
  <c r="M81" i="36" s="1"/>
  <c r="F79" i="36"/>
  <c r="E79" i="36"/>
  <c r="D79" i="36"/>
  <c r="C79" i="36"/>
  <c r="B93" i="36"/>
  <c r="H33" i="36"/>
  <c r="AB33" i="36" s="1"/>
  <c r="B91" i="36"/>
  <c r="F32" i="36"/>
  <c r="AA32" i="36" s="1"/>
  <c r="B95" i="36"/>
  <c r="H34" i="36"/>
  <c r="AB34" i="36" s="1"/>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s="1"/>
  <c r="B77" i="35"/>
  <c r="B75" i="35"/>
  <c r="J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Q31" i="35"/>
  <c r="Z31" i="35" s="1"/>
  <c r="AC31" i="35"/>
  <c r="AA31" i="35"/>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23" i="21" s="1"/>
  <c r="F19" i="21"/>
  <c r="AA19" i="21" s="1"/>
  <c r="E81" i="21"/>
  <c r="F81" i="21" s="1"/>
  <c r="G81" i="21" s="1"/>
  <c r="D77" i="21"/>
  <c r="E77" i="21"/>
  <c r="F77" i="21" s="1"/>
  <c r="G77" i="21" s="1"/>
  <c r="B130" i="21"/>
  <c r="B128" i="21"/>
  <c r="B126" i="21"/>
  <c r="B98" i="21"/>
  <c r="B96" i="21"/>
  <c r="B94" i="21"/>
  <c r="J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S41" i="21"/>
  <c r="F45" i="39"/>
  <c r="S45" i="39" s="1"/>
  <c r="J45" i="39"/>
  <c r="W45" i="39" s="1"/>
  <c r="J35" i="39"/>
  <c r="F35" i="39"/>
  <c r="AA35" i="39" s="1"/>
  <c r="U9" i="39"/>
  <c r="U30" i="37"/>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U33" i="33"/>
  <c r="S40" i="33"/>
  <c r="H39" i="37"/>
  <c r="AB39" i="37" s="1"/>
  <c r="S27" i="35"/>
  <c r="F11" i="40"/>
  <c r="AA11" i="40" s="1"/>
  <c r="H11" i="40"/>
  <c r="AB11" i="40" s="1"/>
  <c r="AC40" i="40"/>
  <c r="AC9" i="40"/>
  <c r="S34" i="40"/>
  <c r="F42" i="39"/>
  <c r="AA42" i="39" s="1"/>
  <c r="F41" i="39"/>
  <c r="S41" i="39" s="1"/>
  <c r="H40" i="39"/>
  <c r="H39" i="39"/>
  <c r="U39" i="39" s="1"/>
  <c r="S38" i="39"/>
  <c r="S34" i="39"/>
  <c r="H34" i="39"/>
  <c r="U34" i="39" s="1"/>
  <c r="E100" i="39"/>
  <c r="F100" i="39" s="1"/>
  <c r="H19" i="39"/>
  <c r="AB19" i="39" s="1"/>
  <c r="F19" i="39"/>
  <c r="H17" i="39"/>
  <c r="AB17" i="39" s="1"/>
  <c r="F17" i="39"/>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AA27" i="39" s="1"/>
  <c r="F11" i="21"/>
  <c r="S11" i="21" s="1"/>
  <c r="S40" i="21"/>
  <c r="C25" i="39"/>
  <c r="C27" i="39"/>
  <c r="C21" i="39"/>
  <c r="H11" i="39"/>
  <c r="C15" i="39"/>
  <c r="H32" i="33"/>
  <c r="H11" i="21"/>
  <c r="U11" i="21" s="1"/>
  <c r="J11" i="21"/>
  <c r="W11" i="21" s="1"/>
  <c r="H37" i="40"/>
  <c r="U37" i="40" s="1"/>
  <c r="H36" i="40"/>
  <c r="F35" i="40"/>
  <c r="H23" i="40"/>
  <c r="H17" i="40"/>
  <c r="U17" i="40" s="1"/>
  <c r="J15" i="40"/>
  <c r="J11" i="40"/>
  <c r="W11" i="40" s="1"/>
  <c r="AA12" i="34"/>
  <c r="F37" i="39"/>
  <c r="AA37" i="39"/>
  <c r="J34" i="36"/>
  <c r="W34" i="36" s="1"/>
  <c r="U30" i="36"/>
  <c r="J30" i="35"/>
  <c r="W30" i="35" s="1"/>
  <c r="H30" i="35"/>
  <c r="AB30" i="35" s="1"/>
  <c r="F22" i="35"/>
  <c r="AA22" i="35"/>
  <c r="H10" i="35"/>
  <c r="U10" i="35" s="1"/>
  <c r="F33" i="36"/>
  <c r="AA33" i="36"/>
  <c r="W30" i="36"/>
  <c r="H16" i="36"/>
  <c r="G85" i="36"/>
  <c r="H85" i="36" s="1"/>
  <c r="I85" i="36" s="1"/>
  <c r="J85" i="36" s="1"/>
  <c r="K85" i="36" s="1"/>
  <c r="L85" i="36" s="1"/>
  <c r="M85" i="36" s="1"/>
  <c r="J29" i="36"/>
  <c r="AC29" i="36" s="1"/>
  <c r="F34" i="36"/>
  <c r="F14" i="35"/>
  <c r="AA14" i="35" s="1"/>
  <c r="J32" i="35"/>
  <c r="AC32" i="35" s="1"/>
  <c r="J16" i="35"/>
  <c r="AC16" i="35" s="1"/>
  <c r="H16" i="35"/>
  <c r="U16" i="35" s="1"/>
  <c r="F16" i="35"/>
  <c r="S16" i="35" s="1"/>
  <c r="H14" i="35"/>
  <c r="J29" i="35"/>
  <c r="H33" i="35"/>
  <c r="J20" i="35"/>
  <c r="F35" i="37"/>
  <c r="S35" i="37" s="1"/>
  <c r="E101" i="37"/>
  <c r="F101" i="37" s="1"/>
  <c r="G101" i="37" s="1"/>
  <c r="H101" i="37"/>
  <c r="I101" i="37" s="1"/>
  <c r="J101" i="37" s="1"/>
  <c r="K101" i="37" s="1"/>
  <c r="L101" i="37" s="1"/>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AA19" i="34" s="1"/>
  <c r="H17" i="34"/>
  <c r="U17" i="34"/>
  <c r="F15" i="34"/>
  <c r="J15" i="34"/>
  <c r="AC15" i="34" s="1"/>
  <c r="H15" i="34"/>
  <c r="AB15" i="34"/>
  <c r="W8" i="34"/>
  <c r="J28" i="34"/>
  <c r="W28" i="34" s="1"/>
  <c r="F41" i="33"/>
  <c r="AA41" i="33" s="1"/>
  <c r="F32" i="33"/>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J43" i="34"/>
  <c r="AB42" i="34"/>
  <c r="J40" i="34"/>
  <c r="I114" i="34"/>
  <c r="J114" i="34" s="1"/>
  <c r="K114" i="34" s="1"/>
  <c r="L114" i="34" s="1"/>
  <c r="M114" i="34" s="1"/>
  <c r="H38" i="34"/>
  <c r="AB38" i="34" s="1"/>
  <c r="J36" i="34"/>
  <c r="H37" i="34"/>
  <c r="U37" i="34" s="1"/>
  <c r="H25" i="34"/>
  <c r="AB25" i="34" s="1"/>
  <c r="J25" i="34"/>
  <c r="AB23" i="34"/>
  <c r="F23" i="34"/>
  <c r="J19" i="34"/>
  <c r="AC19" i="34" s="1"/>
  <c r="F17" i="34"/>
  <c r="J17" i="34"/>
  <c r="W17" i="34" s="1"/>
  <c r="AB17" i="34"/>
  <c r="AA15" i="34"/>
  <c r="S15" i="34"/>
  <c r="S41" i="33"/>
  <c r="I113" i="33"/>
  <c r="J113" i="33" s="1"/>
  <c r="K113" i="33" s="1"/>
  <c r="L113" i="33" s="1"/>
  <c r="M113" i="33" s="1"/>
  <c r="H37" i="33"/>
  <c r="AB37" i="33" s="1"/>
  <c r="H15" i="33"/>
  <c r="AB15" i="33" s="1"/>
  <c r="H11" i="33"/>
  <c r="F28" i="40"/>
  <c r="AA28" i="40" s="1"/>
  <c r="AA29" i="35"/>
  <c r="S42" i="34"/>
  <c r="AC38" i="34"/>
  <c r="AA38" i="34"/>
  <c r="J37" i="34"/>
  <c r="AC37" i="34" s="1"/>
  <c r="J11" i="33"/>
  <c r="W11" i="33" s="1"/>
  <c r="S28" i="34"/>
  <c r="J44" i="34"/>
  <c r="AC44" i="34" s="1"/>
  <c r="F44" i="34"/>
  <c r="AA44" i="34"/>
  <c r="J10" i="35"/>
  <c r="AC10" i="35"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H27" i="21"/>
  <c r="AB27" i="21" s="1"/>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AB11" i="35" s="1"/>
  <c r="J11" i="35"/>
  <c r="F11" i="35"/>
  <c r="S11" i="35" s="1"/>
  <c r="J26" i="36"/>
  <c r="W26" i="36" s="1"/>
  <c r="H28" i="36"/>
  <c r="U28" i="36" s="1"/>
  <c r="H32" i="36"/>
  <c r="AB32" i="36" s="1"/>
  <c r="J32" i="36"/>
  <c r="W32" i="36" s="1"/>
  <c r="J11" i="36"/>
  <c r="AC11" i="36" s="1"/>
  <c r="F11" i="36"/>
  <c r="H13" i="36"/>
  <c r="AB13" i="36"/>
  <c r="J13" i="36"/>
  <c r="F13" i="36"/>
  <c r="S13" i="36" s="1"/>
  <c r="E89" i="37"/>
  <c r="F89" i="37" s="1"/>
  <c r="G89" i="37"/>
  <c r="H89" i="37" s="1"/>
  <c r="I89" i="37" s="1"/>
  <c r="J89" i="37" s="1"/>
  <c r="K89" i="37" s="1"/>
  <c r="L89" i="37" s="1"/>
  <c r="M89" i="37" s="1"/>
  <c r="J29" i="37"/>
  <c r="W29" i="37" s="1"/>
  <c r="F29" i="37"/>
  <c r="S29" i="37" s="1"/>
  <c r="H36" i="37"/>
  <c r="AB36" i="37" s="1"/>
  <c r="J37" i="37"/>
  <c r="AC37" i="37"/>
  <c r="H37" i="37"/>
  <c r="U37" i="37"/>
  <c r="H40" i="37"/>
  <c r="U40" i="37"/>
  <c r="J40" i="37"/>
  <c r="AC40" i="37"/>
  <c r="F40" i="37"/>
  <c r="AA40" i="37"/>
  <c r="F30" i="33"/>
  <c r="J29" i="34"/>
  <c r="AC29" i="34" s="1"/>
  <c r="J25" i="36"/>
  <c r="W25" i="36"/>
  <c r="F25" i="36"/>
  <c r="S25" i="36"/>
  <c r="H25" i="36"/>
  <c r="AB25" i="36"/>
  <c r="F13" i="37"/>
  <c r="S13" i="37" s="1"/>
  <c r="J13" i="37"/>
  <c r="W13" i="37" s="1"/>
  <c r="F43" i="39"/>
  <c r="AA43" i="39"/>
  <c r="H43" i="39"/>
  <c r="H14" i="39"/>
  <c r="H30" i="40"/>
  <c r="AB30" i="40" s="1"/>
  <c r="H33" i="40"/>
  <c r="J35" i="40"/>
  <c r="AC35" i="40" s="1"/>
  <c r="J37" i="40"/>
  <c r="AC37" i="40" s="1"/>
  <c r="H13" i="40"/>
  <c r="U13" i="40" s="1"/>
  <c r="J13" i="40"/>
  <c r="W13" i="40" s="1"/>
  <c r="F13" i="40"/>
  <c r="AA13" i="40" s="1"/>
  <c r="F14" i="37"/>
  <c r="S14" i="37" s="1"/>
  <c r="F27" i="37"/>
  <c r="AA27" i="37" s="1"/>
  <c r="F13" i="39"/>
  <c r="AA13" i="39" s="1"/>
  <c r="J14" i="37"/>
  <c r="AC14" i="37"/>
  <c r="J27" i="37"/>
  <c r="AC27" i="37"/>
  <c r="J36" i="37"/>
  <c r="AC36" i="37" s="1"/>
  <c r="G105" i="37"/>
  <c r="J10" i="36"/>
  <c r="AC10" i="36" s="1"/>
  <c r="AC13" i="36"/>
  <c r="W13" i="36"/>
  <c r="AB46" i="34"/>
  <c r="AC30" i="34"/>
  <c r="AA14" i="34"/>
  <c r="S45" i="33"/>
  <c r="AB45" i="33"/>
  <c r="AB31" i="33"/>
  <c r="U31" i="33"/>
  <c r="W29" i="33"/>
  <c r="S44" i="34"/>
  <c r="F15" i="21"/>
  <c r="S15" i="21" s="1"/>
  <c r="J41" i="39"/>
  <c r="W41" i="39" s="1"/>
  <c r="AC45" i="39"/>
  <c r="S35" i="39"/>
  <c r="G536" i="3"/>
  <c r="G528" i="3"/>
  <c r="G500" i="3"/>
  <c r="BL572" i="3"/>
  <c r="BL526" i="3"/>
  <c r="BL582" i="3"/>
  <c r="BL566" i="3"/>
  <c r="BL532" i="3"/>
  <c r="BL524" i="3"/>
  <c r="BA584" i="3"/>
  <c r="BA556" i="3"/>
  <c r="BA548" i="3"/>
  <c r="BA538" i="3"/>
  <c r="BA534" i="3"/>
  <c r="BA530" i="3"/>
  <c r="BA510" i="3"/>
  <c r="BA498" i="3"/>
  <c r="BA577" i="3"/>
  <c r="BA565" i="3"/>
  <c r="BA555" i="3"/>
  <c r="BA545" i="3"/>
  <c r="BA541" i="3"/>
  <c r="BA537" i="3"/>
  <c r="BA533" i="3"/>
  <c r="BA529" i="3"/>
  <c r="BA523" i="3"/>
  <c r="BA513" i="3"/>
  <c r="BA503" i="3"/>
  <c r="BA495" i="3"/>
  <c r="G577" i="3"/>
  <c r="G573" i="3"/>
  <c r="G561" i="3"/>
  <c r="BA557" i="3"/>
  <c r="AC557" i="3"/>
  <c r="G557" i="3" s="1"/>
  <c r="BQ557" i="3"/>
  <c r="BL557" i="3" s="1"/>
  <c r="BQ583" i="3"/>
  <c r="BQ581" i="3"/>
  <c r="BQ579" i="3"/>
  <c r="BQ577" i="3"/>
  <c r="BL577" i="3" s="1"/>
  <c r="BQ575" i="3"/>
  <c r="BQ573" i="3"/>
  <c r="BQ571" i="3"/>
  <c r="BQ569" i="3"/>
  <c r="BQ567" i="3"/>
  <c r="BQ565" i="3"/>
  <c r="BQ563" i="3"/>
  <c r="BQ561" i="3"/>
  <c r="BQ559" i="3"/>
  <c r="G555" i="3"/>
  <c r="G543" i="3"/>
  <c r="G539" i="3"/>
  <c r="BQ555" i="3"/>
  <c r="BQ553" i="3"/>
  <c r="BQ551" i="3"/>
  <c r="BL551" i="3"/>
  <c r="BQ549" i="3"/>
  <c r="BQ547" i="3"/>
  <c r="BQ545" i="3"/>
  <c r="BQ543" i="3"/>
  <c r="BQ541" i="3"/>
  <c r="BQ539" i="3"/>
  <c r="BL539" i="3" s="1"/>
  <c r="BQ537" i="3"/>
  <c r="BQ535" i="3"/>
  <c r="BL535" i="3" s="1"/>
  <c r="BQ533" i="3"/>
  <c r="BQ531" i="3"/>
  <c r="BL531" i="3" s="1"/>
  <c r="BQ529" i="3"/>
  <c r="BQ527" i="3"/>
  <c r="BL527" i="3" s="1"/>
  <c r="BQ525" i="3"/>
  <c r="BQ523" i="3"/>
  <c r="AC521" i="3"/>
  <c r="G521" i="3"/>
  <c r="BQ521" i="3"/>
  <c r="BL521" i="3"/>
  <c r="G513" i="3"/>
  <c r="BQ519" i="3"/>
  <c r="BQ517" i="3"/>
  <c r="BQ515" i="3"/>
  <c r="BQ513" i="3"/>
  <c r="BL513" i="3"/>
  <c r="BQ511" i="3"/>
  <c r="AC509" i="3"/>
  <c r="BQ509" i="3"/>
  <c r="BL509" i="3"/>
  <c r="G501"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F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F10" i="35"/>
  <c r="S10" i="35" s="1"/>
  <c r="H24" i="35"/>
  <c r="AB24" i="35" s="1"/>
  <c r="H23" i="37"/>
  <c r="AB23" i="37" s="1"/>
  <c r="J32" i="37"/>
  <c r="AC32" i="37" s="1"/>
  <c r="F36" i="37"/>
  <c r="F37" i="37"/>
  <c r="AA37" i="37" s="1"/>
  <c r="F31" i="40"/>
  <c r="AA31" i="40" s="1"/>
  <c r="H31" i="40"/>
  <c r="U31" i="40" s="1"/>
  <c r="J36" i="40"/>
  <c r="H19" i="37"/>
  <c r="AB19" i="37" s="1"/>
  <c r="H42" i="33"/>
  <c r="AB42" i="33" s="1"/>
  <c r="J43" i="33"/>
  <c r="AC43" i="33" s="1"/>
  <c r="S28" i="31"/>
  <c r="S27" i="31"/>
  <c r="S26" i="31"/>
  <c r="W14" i="37"/>
  <c r="AA13" i="33"/>
  <c r="AC31" i="33"/>
  <c r="AC45" i="33"/>
  <c r="U19" i="21"/>
  <c r="F43" i="33"/>
  <c r="W16" i="35"/>
  <c r="W40" i="37"/>
  <c r="H107" i="37"/>
  <c r="I107" i="37" s="1"/>
  <c r="J107" i="37" s="1"/>
  <c r="K107" i="37" s="1"/>
  <c r="L107" i="37" s="1"/>
  <c r="M107" i="37" s="1"/>
  <c r="H37" i="21"/>
  <c r="U37" i="21" s="1"/>
  <c r="H19" i="34"/>
  <c r="AB19" i="34" s="1"/>
  <c r="F36" i="35"/>
  <c r="S36" i="35" s="1"/>
  <c r="J9" i="37"/>
  <c r="W9" i="37" s="1"/>
  <c r="H9" i="37"/>
  <c r="U9" i="37" s="1"/>
  <c r="F9" i="37"/>
  <c r="S9" i="37" s="1"/>
  <c r="J12" i="37"/>
  <c r="F12" i="37"/>
  <c r="S12" i="37" s="1"/>
  <c r="F15" i="37"/>
  <c r="AA15" i="37" s="1"/>
  <c r="E94" i="37"/>
  <c r="F94" i="37" s="1"/>
  <c r="G94" i="37" s="1"/>
  <c r="H94" i="37" s="1"/>
  <c r="I94" i="37" s="1"/>
  <c r="J94" i="37" s="1"/>
  <c r="K94" i="37" s="1"/>
  <c r="L94" i="37" s="1"/>
  <c r="M94" i="37" s="1"/>
  <c r="F31" i="37"/>
  <c r="S31" i="37" s="1"/>
  <c r="F12" i="39"/>
  <c r="J42" i="39"/>
  <c r="AC42" i="39" s="1"/>
  <c r="H21" i="40"/>
  <c r="H31" i="37"/>
  <c r="G71" i="37"/>
  <c r="J15" i="37"/>
  <c r="W15" i="37"/>
  <c r="AT6" i="3"/>
  <c r="H19" i="40"/>
  <c r="U19" i="40" s="1"/>
  <c r="F88" i="40"/>
  <c r="G88" i="40" s="1"/>
  <c r="F19" i="40"/>
  <c r="S19" i="40" s="1"/>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J19" i="40"/>
  <c r="AC19" i="40" s="1"/>
  <c r="J50" i="40"/>
  <c r="H103" i="9"/>
  <c r="D8" i="53" s="1"/>
  <c r="B16" i="53"/>
  <c r="B33" i="72" s="1"/>
  <c r="C7" i="37"/>
  <c r="C7" i="34"/>
  <c r="C7" i="36"/>
  <c r="C46" i="36" s="1"/>
  <c r="D46" i="36" s="1"/>
  <c r="E46" i="36" s="1"/>
  <c r="F46" i="36" s="1"/>
  <c r="G46" i="36" s="1"/>
  <c r="H46" i="36" s="1"/>
  <c r="I46" i="36" s="1"/>
  <c r="W35" i="40"/>
  <c r="A4" i="52"/>
  <c r="B41" i="72" s="1"/>
  <c r="J11" i="39"/>
  <c r="W11" i="39"/>
  <c r="F11" i="39"/>
  <c r="AA11" i="39"/>
  <c r="S11" i="39"/>
  <c r="G4" i="4"/>
  <c r="I4" i="4"/>
  <c r="A2" i="9"/>
  <c r="F61" i="43"/>
  <c r="H64" i="43" s="1"/>
  <c r="AZ20" i="3"/>
  <c r="AZ32"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7" i="3"/>
  <c r="AZ55" i="3"/>
  <c r="AZ59" i="3"/>
  <c r="AZ63" i="3"/>
  <c r="AZ71" i="3"/>
  <c r="AZ79" i="3"/>
  <c r="AZ83" i="3"/>
  <c r="AZ168" i="3"/>
  <c r="AZ200" i="3"/>
  <c r="AZ85" i="3"/>
  <c r="AZ93" i="3"/>
  <c r="AZ97" i="3"/>
  <c r="AZ101" i="3"/>
  <c r="AZ105" i="3"/>
  <c r="AZ109" i="3"/>
  <c r="AZ128"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s="1"/>
  <c r="BL352" i="3"/>
  <c r="AZ352" i="3" s="1"/>
  <c r="G353" i="3"/>
  <c r="BA357" i="3"/>
  <c r="BL358" i="3"/>
  <c r="AZ358" i="3" s="1"/>
  <c r="G359" i="3"/>
  <c r="BA361" i="3"/>
  <c r="AZ361" i="3" s="1"/>
  <c r="BL362" i="3"/>
  <c r="G363" i="3"/>
  <c r="BA365" i="3"/>
  <c r="BL366" i="3"/>
  <c r="G367" i="3"/>
  <c r="BA369" i="3"/>
  <c r="BL370" i="3"/>
  <c r="AZ370" i="3" s="1"/>
  <c r="G371" i="3"/>
  <c r="BA373" i="3"/>
  <c r="AZ373" i="3" s="1"/>
  <c r="BL374" i="3"/>
  <c r="AZ374" i="3" s="1"/>
  <c r="G375" i="3"/>
  <c r="BA377" i="3"/>
  <c r="AZ233" i="3"/>
  <c r="AZ237" i="3"/>
  <c r="AZ245" i="3"/>
  <c r="AZ249" i="3"/>
  <c r="AZ253" i="3"/>
  <c r="AZ257" i="3"/>
  <c r="AZ261" i="3"/>
  <c r="AZ269" i="3"/>
  <c r="BA379" i="3"/>
  <c r="AZ379" i="3" s="1"/>
  <c r="BL380" i="3"/>
  <c r="AZ380" i="3" s="1"/>
  <c r="G381" i="3"/>
  <c r="BA383" i="3"/>
  <c r="AZ383" i="3" s="1"/>
  <c r="BL384" i="3"/>
  <c r="AZ384" i="3" s="1"/>
  <c r="G385" i="3"/>
  <c r="BA387" i="3"/>
  <c r="BL388" i="3"/>
  <c r="G389" i="3"/>
  <c r="BA391" i="3"/>
  <c r="AZ391" i="3" s="1"/>
  <c r="BL392" i="3"/>
  <c r="AZ392" i="3" s="1"/>
  <c r="G393" i="3"/>
  <c r="AZ263" i="3"/>
  <c r="AZ279" i="3"/>
  <c r="AZ291" i="3"/>
  <c r="AZ299" i="3"/>
  <c r="BH5" i="3"/>
  <c r="AZ317" i="3"/>
  <c r="BQ5" i="3"/>
  <c r="G520" i="3"/>
  <c r="BN5" i="3"/>
  <c r="BE5" i="3"/>
  <c r="G17" i="3"/>
  <c r="BA17" i="3"/>
  <c r="AZ356" i="3"/>
  <c r="BA15" i="3"/>
  <c r="AZ388" i="3"/>
  <c r="AZ394" i="3"/>
  <c r="G509" i="3"/>
  <c r="AZ491" i="3"/>
  <c r="AZ390" i="3"/>
  <c r="F83" i="43"/>
  <c r="H85" i="43" s="1"/>
  <c r="F50" i="43"/>
  <c r="H54" i="43" s="1"/>
  <c r="F72" i="43"/>
  <c r="H75" i="43" s="1"/>
  <c r="U17" i="39"/>
  <c r="S14" i="35"/>
  <c r="G8" i="1"/>
  <c r="G10" i="1"/>
  <c r="AC11" i="39"/>
  <c r="W37" i="37"/>
  <c r="W44" i="34"/>
  <c r="S15" i="37"/>
  <c r="U13" i="37"/>
  <c r="U12" i="40"/>
  <c r="J37" i="33"/>
  <c r="W37" i="33" s="1"/>
  <c r="F106" i="33"/>
  <c r="G106" i="33"/>
  <c r="H106" i="33" s="1"/>
  <c r="I106" i="33" s="1"/>
  <c r="J106" i="33" s="1"/>
  <c r="K106" i="33" s="1"/>
  <c r="L106" i="33" s="1"/>
  <c r="M106" i="33" s="1"/>
  <c r="J34" i="33"/>
  <c r="W34" i="33"/>
  <c r="F33" i="34"/>
  <c r="S33" i="34"/>
  <c r="H20" i="36"/>
  <c r="U20" i="36"/>
  <c r="J20" i="36"/>
  <c r="W20" i="36"/>
  <c r="J27" i="36"/>
  <c r="W27" i="36" s="1"/>
  <c r="G111" i="40"/>
  <c r="H111" i="40" s="1"/>
  <c r="I111" i="40" s="1"/>
  <c r="J111" i="40" s="1"/>
  <c r="K111" i="40" s="1"/>
  <c r="L111" i="40" s="1"/>
  <c r="M111" i="40" s="1"/>
  <c r="H35" i="40"/>
  <c r="AB35" i="40"/>
  <c r="AC29" i="35"/>
  <c r="W29" i="35"/>
  <c r="H35" i="37"/>
  <c r="U35" i="37"/>
  <c r="H20" i="35"/>
  <c r="U20" i="35" s="1"/>
  <c r="F20" i="35"/>
  <c r="AA20" i="35" s="1"/>
  <c r="AB29" i="36"/>
  <c r="U29" i="36"/>
  <c r="H32" i="37"/>
  <c r="AB32" i="37" s="1"/>
  <c r="F96" i="37"/>
  <c r="G96" i="37" s="1"/>
  <c r="H96" i="37" s="1"/>
  <c r="I96" i="37" s="1"/>
  <c r="J96" i="37" s="1"/>
  <c r="K96" i="37" s="1"/>
  <c r="L96" i="37" s="1"/>
  <c r="M96" i="37" s="1"/>
  <c r="J27" i="40"/>
  <c r="AC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4" i="3"/>
  <c r="C40" i="11"/>
  <c r="AZ215" i="3"/>
  <c r="AZ232" i="3"/>
  <c r="AZ235" i="3"/>
  <c r="AZ248" i="3"/>
  <c r="AZ251" i="3"/>
  <c r="AZ256" i="3"/>
  <c r="AZ259" i="3"/>
  <c r="AZ296" i="3"/>
  <c r="AZ114" i="3"/>
  <c r="AZ133" i="3"/>
  <c r="AZ29" i="3"/>
  <c r="AZ31" i="3"/>
  <c r="AZ33" i="3"/>
  <c r="AZ37" i="3"/>
  <c r="AZ45" i="3"/>
  <c r="AZ58" i="3"/>
  <c r="AZ61" i="3"/>
  <c r="AZ72" i="3"/>
  <c r="AZ74" i="3"/>
  <c r="AZ77" i="3"/>
  <c r="AZ82" i="3"/>
  <c r="AZ86" i="3"/>
  <c r="AZ94"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U33" i="36"/>
  <c r="AC12" i="39"/>
  <c r="W12" i="39"/>
  <c r="AZ401" i="3"/>
  <c r="AZ408" i="3"/>
  <c r="AZ441" i="3"/>
  <c r="AA39" i="34"/>
  <c r="BL14" i="3"/>
  <c r="F12" i="33"/>
  <c r="AA12" i="33" s="1"/>
  <c r="H12" i="39"/>
  <c r="AB12" i="39" s="1"/>
  <c r="F39" i="40"/>
  <c r="S39" i="40" s="1"/>
  <c r="BA14" i="3"/>
  <c r="AZ14" i="3"/>
  <c r="AZ213" i="3"/>
  <c r="AZ224" i="3"/>
  <c r="AZ234" i="3"/>
  <c r="AZ250" i="3"/>
  <c r="AZ281" i="3"/>
  <c r="AZ157" i="3"/>
  <c r="AZ173" i="3"/>
  <c r="AZ189" i="3"/>
  <c r="AZ35" i="3"/>
  <c r="B12" i="1"/>
  <c r="E12" i="1" s="1"/>
  <c r="B10" i="1"/>
  <c r="AZ84" i="3"/>
  <c r="AZ88" i="3"/>
  <c r="AZ107" i="3"/>
  <c r="AZ111" i="3"/>
  <c r="K12" i="1"/>
  <c r="M12" i="1" s="1"/>
  <c r="S13" i="1"/>
  <c r="AR13" i="1" s="1"/>
  <c r="R13" i="1"/>
  <c r="J51" i="67"/>
  <c r="C42" i="1"/>
  <c r="AC34" i="33"/>
  <c r="AA34" i="33"/>
  <c r="AB37" i="40"/>
  <c r="U35" i="40"/>
  <c r="S17" i="40"/>
  <c r="S23" i="40"/>
  <c r="AC17" i="40"/>
  <c r="S30" i="40"/>
  <c r="AA19" i="40"/>
  <c r="S28" i="40"/>
  <c r="AB19" i="40"/>
  <c r="U37" i="39"/>
  <c r="S43" i="39"/>
  <c r="S37" i="39"/>
  <c r="U35" i="39"/>
  <c r="F32" i="39"/>
  <c r="F106" i="39"/>
  <c r="G106" i="39" s="1"/>
  <c r="H106" i="39" s="1"/>
  <c r="I106" i="39" s="1"/>
  <c r="J106" i="39" s="1"/>
  <c r="K106" i="39" s="1"/>
  <c r="L106" i="39" s="1"/>
  <c r="M106" i="39" s="1"/>
  <c r="U25" i="39"/>
  <c r="AB27" i="39"/>
  <c r="J21" i="39"/>
  <c r="W21" i="39" s="1"/>
  <c r="F21" i="39"/>
  <c r="S21" i="39" s="1"/>
  <c r="H21" i="39"/>
  <c r="W19" i="39"/>
  <c r="U19" i="39"/>
  <c r="S15" i="39"/>
  <c r="S9" i="39"/>
  <c r="AC13" i="39"/>
  <c r="U12" i="39"/>
  <c r="S23" i="36"/>
  <c r="U13" i="36"/>
  <c r="U26" i="36"/>
  <c r="S33" i="36"/>
  <c r="AA26" i="36"/>
  <c r="W14" i="36"/>
  <c r="U22" i="36"/>
  <c r="S16" i="36"/>
  <c r="AA25" i="36"/>
  <c r="U23" i="36"/>
  <c r="AB20" i="36"/>
  <c r="S14" i="36"/>
  <c r="U29" i="35"/>
  <c r="AB27" i="35"/>
  <c r="U32" i="35"/>
  <c r="AA33" i="35"/>
  <c r="AC30" i="35"/>
  <c r="AA36" i="35"/>
  <c r="U22" i="35"/>
  <c r="S20" i="35"/>
  <c r="S22" i="35"/>
  <c r="AA11" i="35"/>
  <c r="AC9" i="35"/>
  <c r="W9" i="35"/>
  <c r="F9" i="35"/>
  <c r="S9" i="35" s="1"/>
  <c r="H9" i="35"/>
  <c r="U9" i="35" s="1"/>
  <c r="AB40" i="37"/>
  <c r="W27" i="37"/>
  <c r="AC29" i="37"/>
  <c r="U29" i="37"/>
  <c r="S32" i="37"/>
  <c r="W30" i="37"/>
  <c r="U32" i="37"/>
  <c r="AC35" i="37"/>
  <c r="W39" i="37"/>
  <c r="AC15" i="37"/>
  <c r="J17" i="37"/>
  <c r="W17" i="37" s="1"/>
  <c r="F17" i="37"/>
  <c r="AA17" i="37" s="1"/>
  <c r="AB17" i="37"/>
  <c r="F19" i="37"/>
  <c r="AA19" i="37" s="1"/>
  <c r="F23" i="37"/>
  <c r="S23" i="37" s="1"/>
  <c r="U23" i="37"/>
  <c r="U15" i="37"/>
  <c r="AC13" i="37"/>
  <c r="AA13" i="37"/>
  <c r="H10" i="37"/>
  <c r="AB10" i="37" s="1"/>
  <c r="F63" i="37"/>
  <c r="F11" i="37"/>
  <c r="S11" i="37" s="1"/>
  <c r="AA33" i="34"/>
  <c r="U44" i="34"/>
  <c r="AC39" i="34"/>
  <c r="AC42" i="34"/>
  <c r="AB35" i="34"/>
  <c r="S43" i="34"/>
  <c r="AB41" i="34"/>
  <c r="AA25" i="34"/>
  <c r="U28" i="34"/>
  <c r="U27" i="34"/>
  <c r="U15" i="34"/>
  <c r="H10" i="34"/>
  <c r="AB10" i="34" s="1"/>
  <c r="F11" i="34"/>
  <c r="S11" i="34" s="1"/>
  <c r="W42" i="33"/>
  <c r="AA35" i="33"/>
  <c r="AA29" i="33"/>
  <c r="AB29" i="33"/>
  <c r="W38" i="33"/>
  <c r="H41" i="33"/>
  <c r="U42" i="33"/>
  <c r="S42" i="33"/>
  <c r="F36" i="33"/>
  <c r="AA36" i="33" s="1"/>
  <c r="G111" i="33"/>
  <c r="G108" i="33"/>
  <c r="H108" i="33" s="1"/>
  <c r="I108" i="33" s="1"/>
  <c r="J108" i="33" s="1"/>
  <c r="K108" i="33" s="1"/>
  <c r="L108" i="33" s="1"/>
  <c r="M108" i="33" s="1"/>
  <c r="J35" i="33"/>
  <c r="AA37" i="33"/>
  <c r="F101" i="33"/>
  <c r="G101" i="33" s="1"/>
  <c r="H101" i="33" s="1"/>
  <c r="I101" i="33" s="1"/>
  <c r="J101" i="33" s="1"/>
  <c r="K101" i="33" s="1"/>
  <c r="L101" i="33" s="1"/>
  <c r="M101" i="33" s="1"/>
  <c r="J32" i="33"/>
  <c r="F91" i="33"/>
  <c r="G91" i="33" s="1"/>
  <c r="H91" i="33" s="1"/>
  <c r="I91" i="33" s="1"/>
  <c r="J91" i="33" s="1"/>
  <c r="K91" i="33" s="1"/>
  <c r="L91" i="33" s="1"/>
  <c r="M91" i="33" s="1"/>
  <c r="F87" i="33"/>
  <c r="H25" i="33"/>
  <c r="F25" i="33"/>
  <c r="J23" i="33"/>
  <c r="F85" i="33"/>
  <c r="H23" i="33"/>
  <c r="F81" i="33"/>
  <c r="F19" i="33"/>
  <c r="S19" i="33" s="1"/>
  <c r="W19" i="33"/>
  <c r="J17" i="33"/>
  <c r="F79" i="33"/>
  <c r="S15" i="33"/>
  <c r="J10" i="33"/>
  <c r="W10" i="33" s="1"/>
  <c r="H10" i="33"/>
  <c r="U10" i="33" s="1"/>
  <c r="AC11" i="33"/>
  <c r="W36" i="21"/>
  <c r="W41" i="21"/>
  <c r="AA36" i="21"/>
  <c r="J15" i="21"/>
  <c r="W15" i="21" s="1"/>
  <c r="E85" i="21"/>
  <c r="F85" i="21" s="1"/>
  <c r="G85" i="21" s="1"/>
  <c r="G13" i="3"/>
  <c r="BA13" i="3"/>
  <c r="BL17" i="3"/>
  <c r="AZ17" i="3" s="1"/>
  <c r="BL13" i="3"/>
  <c r="J56" i="9"/>
  <c r="J57" i="9" s="1"/>
  <c r="J59" i="9" s="1"/>
  <c r="J61" i="9" s="1"/>
  <c r="A24" i="51"/>
  <c r="B18" i="72" s="1"/>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AB31" i="40"/>
  <c r="S37" i="40"/>
  <c r="AB28" i="40"/>
  <c r="W28" i="40"/>
  <c r="W34" i="40"/>
  <c r="W27" i="40"/>
  <c r="S36" i="40"/>
  <c r="W37" i="40"/>
  <c r="S13" i="40"/>
  <c r="AA15" i="40"/>
  <c r="U11" i="40"/>
  <c r="S31" i="40"/>
  <c r="AB13" i="40"/>
  <c r="U15"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B20" i="35"/>
  <c r="AA16" i="35"/>
  <c r="W36" i="37"/>
  <c r="S27" i="37"/>
  <c r="W32" i="37"/>
  <c r="S40" i="37"/>
  <c r="AB37" i="37"/>
  <c r="AC34" i="37"/>
  <c r="AB35" i="37"/>
  <c r="AA31" i="37"/>
  <c r="AA29" i="37"/>
  <c r="U8" i="37"/>
  <c r="AA40" i="34"/>
  <c r="AB40" i="34"/>
  <c r="U19" i="34"/>
  <c r="AB33" i="34"/>
  <c r="AA30" i="34"/>
  <c r="U25" i="34"/>
  <c r="AB36" i="34"/>
  <c r="W33" i="34"/>
  <c r="AC14" i="34"/>
  <c r="AC32" i="34"/>
  <c r="W29" i="34"/>
  <c r="AC46" i="34"/>
  <c r="AA32" i="34"/>
  <c r="AB30" i="34"/>
  <c r="S37" i="34"/>
  <c r="U38" i="34"/>
  <c r="AC40" i="34"/>
  <c r="W40" i="34"/>
  <c r="S19" i="34"/>
  <c r="AA36" i="34"/>
  <c r="S36" i="34"/>
  <c r="AA8" i="34"/>
  <c r="S8" i="34"/>
  <c r="U9" i="34"/>
  <c r="S46" i="34"/>
  <c r="AA46" i="34"/>
  <c r="U32" i="34"/>
  <c r="AB32" i="34"/>
  <c r="U14" i="34"/>
  <c r="AB14" i="34"/>
  <c r="AC43" i="34"/>
  <c r="W43" i="34"/>
  <c r="W23" i="34"/>
  <c r="AC23" i="34"/>
  <c r="AC35" i="34"/>
  <c r="W35" i="34"/>
  <c r="U12" i="34"/>
  <c r="AB12" i="34"/>
  <c r="AC37" i="33"/>
  <c r="U39" i="33"/>
  <c r="U38" i="33"/>
  <c r="S33" i="33"/>
  <c r="AB34" i="33"/>
  <c r="U44" i="33"/>
  <c r="AB44" i="33"/>
  <c r="S30" i="33"/>
  <c r="AA30" i="33"/>
  <c r="AA31" i="33"/>
  <c r="W13" i="33"/>
  <c r="AC13" i="33"/>
  <c r="U15" i="33"/>
  <c r="S11" i="33"/>
  <c r="AC28" i="33"/>
  <c r="S28" i="33"/>
  <c r="F33" i="21"/>
  <c r="AA33" i="21" s="1"/>
  <c r="J33" i="21"/>
  <c r="AC33" i="21" s="1"/>
  <c r="H33" i="21"/>
  <c r="AB33" i="21" s="1"/>
  <c r="F37" i="21"/>
  <c r="AA37" i="21" s="1"/>
  <c r="AB46" i="21"/>
  <c r="S35" i="21"/>
  <c r="J37" i="21"/>
  <c r="W37" i="21" s="1"/>
  <c r="H15" i="21"/>
  <c r="U15" i="21" s="1"/>
  <c r="W39" i="21"/>
  <c r="S46" i="21"/>
  <c r="H45" i="21"/>
  <c r="U45" i="21" s="1"/>
  <c r="F29" i="21"/>
  <c r="S29" i="21" s="1"/>
  <c r="H32" i="21"/>
  <c r="U32" i="21" s="1"/>
  <c r="F32" i="21"/>
  <c r="S32" i="21" s="1"/>
  <c r="K141" i="21"/>
  <c r="K143" i="21"/>
  <c r="AB44" i="21"/>
  <c r="F10" i="21"/>
  <c r="AA10" i="21" s="1"/>
  <c r="W25" i="21"/>
  <c r="AB36" i="21"/>
  <c r="C19" i="39"/>
  <c r="C15" i="40"/>
  <c r="C17" i="40"/>
  <c r="C23" i="40"/>
  <c r="C21" i="40"/>
  <c r="U30" i="40"/>
  <c r="B56" i="43"/>
  <c r="B67" i="43"/>
  <c r="B51" i="43"/>
  <c r="B54" i="43"/>
  <c r="B58" i="43"/>
  <c r="B62" i="43"/>
  <c r="B65" i="43"/>
  <c r="B69" i="43"/>
  <c r="D23" i="15"/>
  <c r="D22" i="15"/>
  <c r="E4" i="4"/>
  <c r="B5" i="62" s="1"/>
  <c r="B73" i="72" s="1"/>
  <c r="C4" i="4"/>
  <c r="AA39" i="40"/>
  <c r="S12" i="33"/>
  <c r="J32" i="39"/>
  <c r="W32" i="39" s="1"/>
  <c r="H32" i="39"/>
  <c r="AB32" i="39" s="1"/>
  <c r="AA32" i="39"/>
  <c r="S32" i="39"/>
  <c r="AB21" i="39"/>
  <c r="U21" i="39"/>
  <c r="AA21" i="39"/>
  <c r="AC17" i="37"/>
  <c r="J19" i="37"/>
  <c r="AC19" i="37" s="1"/>
  <c r="G75" i="37"/>
  <c r="S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J23" i="21"/>
  <c r="W23" i="21" s="1"/>
  <c r="AP7" i="1"/>
  <c r="AB45" i="21"/>
  <c r="A18" i="62"/>
  <c r="B64" i="72" s="1"/>
  <c r="U32" i="39"/>
  <c r="AC32" i="39"/>
  <c r="W19" i="37"/>
  <c r="AC23" i="37"/>
  <c r="J11" i="37"/>
  <c r="AC11" i="37" s="1"/>
  <c r="H70" i="34"/>
  <c r="I70" i="34" s="1"/>
  <c r="J70" i="34" s="1"/>
  <c r="K70" i="34" s="1"/>
  <c r="L70" i="34" s="1"/>
  <c r="M70" i="34" s="1"/>
  <c r="J11" i="34"/>
  <c r="W11" i="34" s="1"/>
  <c r="AB36" i="33"/>
  <c r="W27" i="33"/>
  <c r="W25" i="33"/>
  <c r="AA23" i="33"/>
  <c r="S23" i="33"/>
  <c r="AA17" i="33"/>
  <c r="U17" i="33"/>
  <c r="AB17" i="33"/>
  <c r="H109" i="9"/>
  <c r="M49" i="9" s="1"/>
  <c r="H112" i="9"/>
  <c r="D21" i="53" s="1"/>
  <c r="B39" i="72" s="1"/>
  <c r="H111" i="9"/>
  <c r="D126" i="9" s="1"/>
  <c r="AD3" i="71"/>
  <c r="J1" i="73"/>
  <c r="H69" i="43"/>
  <c r="H50" i="43"/>
  <c r="C24" i="12"/>
  <c r="S24" i="71"/>
  <c r="AB22" i="71"/>
  <c r="X20" i="71"/>
  <c r="X19" i="71"/>
  <c r="AA20" i="71"/>
  <c r="AA19" i="71"/>
  <c r="X23" i="71"/>
  <c r="Y19" i="71"/>
  <c r="Z19" i="71" s="1"/>
  <c r="AB20" i="71"/>
  <c r="AB19" i="71"/>
  <c r="Y20" i="71"/>
  <c r="Z20" i="71" s="1"/>
  <c r="X3" i="71"/>
  <c r="B11" i="76"/>
  <c r="M26" i="67"/>
  <c r="F13" i="67"/>
  <c r="F26" i="15"/>
  <c r="F9" i="15"/>
  <c r="B8" i="76"/>
  <c r="M23" i="67"/>
  <c r="E8" i="76"/>
  <c r="F13" i="15"/>
  <c r="E2" i="68"/>
  <c r="M8" i="15"/>
  <c r="C76" i="15"/>
  <c r="E13" i="76"/>
  <c r="D3" i="73"/>
  <c r="F6" i="73"/>
  <c r="M24" i="67"/>
  <c r="M8" i="67"/>
  <c r="D35" i="9"/>
  <c r="B7" i="76"/>
  <c r="M29" i="67"/>
  <c r="E9" i="76"/>
  <c r="F7" i="15"/>
  <c r="M24" i="15"/>
  <c r="F43" i="15"/>
  <c r="M6" i="15"/>
  <c r="F37" i="15"/>
  <c r="C76" i="67"/>
  <c r="M23" i="15"/>
  <c r="D6" i="73"/>
  <c r="F8" i="15"/>
  <c r="M9" i="67"/>
  <c r="F16" i="67"/>
  <c r="B9" i="76"/>
  <c r="L48" i="15"/>
  <c r="M26" i="15"/>
  <c r="M28" i="67"/>
  <c r="F7" i="67"/>
  <c r="D5" i="73"/>
  <c r="E12" i="76"/>
  <c r="M22" i="15"/>
  <c r="E7" i="76"/>
  <c r="AO13" i="1"/>
  <c r="F6" i="15"/>
  <c r="F16" i="15"/>
  <c r="F42" i="15"/>
  <c r="F37" i="67"/>
  <c r="B10" i="76"/>
  <c r="D34" i="9"/>
  <c r="D7" i="73"/>
  <c r="M22" i="67"/>
  <c r="F4" i="73"/>
  <c r="L48" i="67"/>
  <c r="M6" i="67"/>
  <c r="F36" i="67"/>
  <c r="F40" i="15"/>
  <c r="F36" i="15"/>
  <c r="F38" i="67"/>
  <c r="M28" i="15"/>
  <c r="M29" i="15"/>
  <c r="L47" i="15"/>
  <c r="F7" i="73"/>
  <c r="B12" i="76"/>
  <c r="F5" i="73"/>
  <c r="F40" i="67"/>
  <c r="E2" i="69"/>
  <c r="M9" i="15"/>
  <c r="J15" i="15"/>
  <c r="F8" i="67"/>
  <c r="B13" i="76"/>
  <c r="F3" i="73"/>
  <c r="J15" i="67"/>
  <c r="D4" i="73"/>
  <c r="E11" i="76"/>
  <c r="E10" i="76"/>
  <c r="F20" i="31"/>
  <c r="L47" i="67"/>
  <c r="F38" i="15"/>
  <c r="J32" i="21" l="1"/>
  <c r="W32" i="21" s="1"/>
  <c r="AA32" i="21"/>
  <c r="AC34" i="21"/>
  <c r="AZ542" i="3"/>
  <c r="AZ381" i="3"/>
  <c r="U31" i="37"/>
  <c r="AB31" i="37"/>
  <c r="AB21" i="40"/>
  <c r="U21" i="40"/>
  <c r="S12" i="39"/>
  <c r="AA12" i="39"/>
  <c r="AA43" i="33"/>
  <c r="S43" i="33"/>
  <c r="AA39" i="33"/>
  <c r="S39" i="33"/>
  <c r="U33" i="40"/>
  <c r="AB33" i="40"/>
  <c r="AB14" i="39"/>
  <c r="U14" i="39"/>
  <c r="W46" i="21"/>
  <c r="AC46" i="21"/>
  <c r="AB11" i="33"/>
  <c r="U11" i="33"/>
  <c r="W36" i="34"/>
  <c r="AC36" i="34"/>
  <c r="AB33" i="37"/>
  <c r="U33" i="37"/>
  <c r="AA32" i="33"/>
  <c r="S32" i="33"/>
  <c r="AB33" i="35"/>
  <c r="U33" i="35"/>
  <c r="AB14" i="35"/>
  <c r="U14" i="35"/>
  <c r="S34" i="36"/>
  <c r="AA34" i="36"/>
  <c r="AA35" i="40"/>
  <c r="S35" i="40"/>
  <c r="AB40" i="39"/>
  <c r="U40" i="39"/>
  <c r="AC35" i="39"/>
  <c r="W35" i="39"/>
  <c r="AB34" i="21"/>
  <c r="U34" i="21"/>
  <c r="BA587" i="3"/>
  <c r="AZ587" i="3" s="1"/>
  <c r="BA585" i="3"/>
  <c r="W35" i="21"/>
  <c r="AC35" i="21"/>
  <c r="E79" i="21"/>
  <c r="F79" i="21" s="1"/>
  <c r="G79" i="21" s="1"/>
  <c r="H17" i="21"/>
  <c r="AB17" i="21" s="1"/>
  <c r="H9" i="33"/>
  <c r="F9" i="33"/>
  <c r="AA9" i="33" s="1"/>
  <c r="AB28" i="35"/>
  <c r="U28" i="35"/>
  <c r="AA32" i="35"/>
  <c r="S32" i="35"/>
  <c r="AA34" i="35"/>
  <c r="S34" i="35"/>
  <c r="AC24" i="35"/>
  <c r="W24" i="35"/>
  <c r="AB36" i="35"/>
  <c r="U36" i="35"/>
  <c r="J9" i="36"/>
  <c r="F9" i="36"/>
  <c r="AC8" i="40"/>
  <c r="W8" i="40"/>
  <c r="AB9" i="40"/>
  <c r="U9" i="40"/>
  <c r="AA40" i="40"/>
  <c r="S40" i="40"/>
  <c r="BA573" i="3"/>
  <c r="BL571" i="3"/>
  <c r="BL564" i="3"/>
  <c r="BL563" i="3"/>
  <c r="BL561" i="3"/>
  <c r="AZ561" i="3" s="1"/>
  <c r="BA561" i="3"/>
  <c r="BL558" i="3"/>
  <c r="BA558" i="3"/>
  <c r="BA550" i="3"/>
  <c r="BA547" i="3"/>
  <c r="BL545" i="3"/>
  <c r="AZ545" i="3" s="1"/>
  <c r="BA544" i="3"/>
  <c r="BA543" i="3"/>
  <c r="AZ543" i="3" s="1"/>
  <c r="AZ315" i="3"/>
  <c r="AZ366" i="3"/>
  <c r="AB19" i="33"/>
  <c r="AB32" i="21"/>
  <c r="S17" i="37"/>
  <c r="W30" i="40"/>
  <c r="K145" i="21"/>
  <c r="H9" i="21"/>
  <c r="AC38" i="21"/>
  <c r="J17" i="21"/>
  <c r="AC17" i="21" s="1"/>
  <c r="U40" i="21"/>
  <c r="W8" i="33"/>
  <c r="U37" i="33"/>
  <c r="AB28" i="33"/>
  <c r="W19" i="34"/>
  <c r="U19" i="37"/>
  <c r="U36" i="37"/>
  <c r="AA35" i="37"/>
  <c r="U24" i="35"/>
  <c r="W23" i="36"/>
  <c r="S20" i="36"/>
  <c r="AA39" i="39"/>
  <c r="W19" i="40"/>
  <c r="D120" i="9"/>
  <c r="S39" i="21"/>
  <c r="W15" i="33"/>
  <c r="W43" i="33"/>
  <c r="U39" i="34"/>
  <c r="AB8" i="34"/>
  <c r="S37" i="37"/>
  <c r="AB16" i="35"/>
  <c r="AC26" i="36"/>
  <c r="S32" i="36"/>
  <c r="U34" i="36"/>
  <c r="AC17" i="34"/>
  <c r="BM5" i="3"/>
  <c r="W9" i="39"/>
  <c r="S42" i="39"/>
  <c r="AC13" i="40"/>
  <c r="W12" i="37"/>
  <c r="AC12" i="37"/>
  <c r="W15" i="34"/>
  <c r="U39" i="37"/>
  <c r="W36" i="40"/>
  <c r="AC36" i="40"/>
  <c r="AA36" i="37"/>
  <c r="S36" i="37"/>
  <c r="F24" i="35"/>
  <c r="AC41" i="34"/>
  <c r="W41" i="34"/>
  <c r="S22" i="36"/>
  <c r="AA22" i="36"/>
  <c r="AB27" i="37"/>
  <c r="AC28" i="34"/>
  <c r="BL543" i="3"/>
  <c r="BL547" i="3"/>
  <c r="BL559" i="3"/>
  <c r="BL573" i="3"/>
  <c r="AZ577" i="3"/>
  <c r="AZ534" i="3"/>
  <c r="F17" i="21"/>
  <c r="AA17" i="21" s="1"/>
  <c r="AA14" i="37"/>
  <c r="H13" i="39"/>
  <c r="AA11" i="36"/>
  <c r="S11" i="36"/>
  <c r="U14" i="36"/>
  <c r="AB14" i="36"/>
  <c r="AA17" i="34"/>
  <c r="S17" i="34"/>
  <c r="AA23" i="34"/>
  <c r="S23" i="34"/>
  <c r="AC25" i="34"/>
  <c r="W25" i="34"/>
  <c r="AC11" i="40"/>
  <c r="W20" i="35"/>
  <c r="AC20" i="35"/>
  <c r="AB16" i="36"/>
  <c r="U16" i="36"/>
  <c r="AC16" i="36"/>
  <c r="W15" i="40"/>
  <c r="AC15" i="40"/>
  <c r="AB23" i="40"/>
  <c r="U23" i="40"/>
  <c r="AB36" i="40"/>
  <c r="U36" i="40"/>
  <c r="AB32" i="33"/>
  <c r="U32" i="33"/>
  <c r="S40" i="39"/>
  <c r="AA21" i="40"/>
  <c r="S21" i="40"/>
  <c r="AA17" i="39"/>
  <c r="S17" i="39"/>
  <c r="AA19" i="39"/>
  <c r="S19" i="39"/>
  <c r="U34" i="40"/>
  <c r="J12" i="21"/>
  <c r="J27" i="21"/>
  <c r="W27" i="21" s="1"/>
  <c r="F27" i="21"/>
  <c r="J9" i="33"/>
  <c r="AC40" i="33"/>
  <c r="W40" i="33"/>
  <c r="F27" i="33"/>
  <c r="H27" i="33"/>
  <c r="J9" i="34"/>
  <c r="AB43" i="34"/>
  <c r="U43" i="34"/>
  <c r="S12" i="35"/>
  <c r="AA12" i="35"/>
  <c r="W12" i="35"/>
  <c r="AC12" i="35"/>
  <c r="AA28" i="35"/>
  <c r="S28" i="35"/>
  <c r="J34" i="35"/>
  <c r="W14" i="35"/>
  <c r="AC14" i="35"/>
  <c r="J30" i="33"/>
  <c r="H30" i="33"/>
  <c r="H9" i="36"/>
  <c r="AA30" i="37"/>
  <c r="S30" i="37"/>
  <c r="AC8" i="39"/>
  <c r="W8" i="39"/>
  <c r="W38" i="39"/>
  <c r="AC38" i="39"/>
  <c r="S9" i="40"/>
  <c r="AA9" i="40"/>
  <c r="AB40" i="40"/>
  <c r="U40" i="40"/>
  <c r="H27" i="40"/>
  <c r="F27" i="40"/>
  <c r="J33" i="40"/>
  <c r="F33" i="40"/>
  <c r="BL581" i="3"/>
  <c r="BL580" i="3"/>
  <c r="BL579" i="3"/>
  <c r="BL575" i="3"/>
  <c r="BL574" i="3"/>
  <c r="BL556" i="3"/>
  <c r="AZ556" i="3" s="1"/>
  <c r="BL555" i="3"/>
  <c r="BA554" i="3"/>
  <c r="BL541" i="3"/>
  <c r="AZ541" i="3" s="1"/>
  <c r="BA540" i="3"/>
  <c r="BA539" i="3"/>
  <c r="AZ539" i="3" s="1"/>
  <c r="BL537" i="3"/>
  <c r="AZ537" i="3" s="1"/>
  <c r="BL536" i="3"/>
  <c r="BA536" i="3"/>
  <c r="BA535" i="3"/>
  <c r="AZ535" i="3" s="1"/>
  <c r="BL534" i="3"/>
  <c r="BL533" i="3"/>
  <c r="AZ533" i="3" s="1"/>
  <c r="BA532" i="3"/>
  <c r="BA531" i="3"/>
  <c r="AZ531" i="3" s="1"/>
  <c r="BL529" i="3"/>
  <c r="AZ529" i="3" s="1"/>
  <c r="BL528" i="3"/>
  <c r="BA527" i="3"/>
  <c r="AZ527" i="3" s="1"/>
  <c r="BL525" i="3"/>
  <c r="BA520" i="3"/>
  <c r="BL517" i="3"/>
  <c r="BA517" i="3"/>
  <c r="BA507" i="3"/>
  <c r="BL506" i="3"/>
  <c r="BL504" i="3"/>
  <c r="BA504" i="3"/>
  <c r="BL501" i="3"/>
  <c r="BL499" i="3"/>
  <c r="BA499" i="3"/>
  <c r="AZ499" i="3" s="1"/>
  <c r="BL497" i="3"/>
  <c r="BL495" i="3"/>
  <c r="BP5" i="3"/>
  <c r="G29" i="6" s="1"/>
  <c r="BK5" i="3"/>
  <c r="BG5" i="3"/>
  <c r="BC5" i="3"/>
  <c r="AC5" i="3"/>
  <c r="BO5" i="3"/>
  <c r="BL493" i="3"/>
  <c r="BJ5" i="3"/>
  <c r="BF5" i="3"/>
  <c r="BB5" i="3"/>
  <c r="E5" i="6" s="1"/>
  <c r="M20" i="15"/>
  <c r="M20" i="83"/>
  <c r="F34" i="83"/>
  <c r="F62" i="83" s="1"/>
  <c r="B14" i="74"/>
  <c r="K10" i="81"/>
  <c r="BL15" i="3"/>
  <c r="AZ15" i="3" s="1"/>
  <c r="G6" i="1"/>
  <c r="I24" i="43"/>
  <c r="AZ403" i="3"/>
  <c r="AZ436" i="3"/>
  <c r="AZ438" i="3"/>
  <c r="AZ443" i="3"/>
  <c r="F3" i="35"/>
  <c r="G1" i="83"/>
  <c r="B88" i="43"/>
  <c r="C25" i="40"/>
  <c r="AA18" i="36"/>
  <c r="S18" i="36"/>
  <c r="D38" i="71"/>
  <c r="C39" i="71"/>
  <c r="Y26" i="71"/>
  <c r="Z26" i="71" s="1"/>
  <c r="Y25" i="71"/>
  <c r="Z25" i="71" s="1"/>
  <c r="AA3" i="71"/>
  <c r="E10" i="1"/>
  <c r="AZ387" i="3"/>
  <c r="AZ369" i="3"/>
  <c r="AZ357" i="3"/>
  <c r="AZ323" i="3"/>
  <c r="AZ310" i="3"/>
  <c r="AZ382" i="3"/>
  <c r="AZ371" i="3"/>
  <c r="AZ342" i="3"/>
  <c r="AZ336" i="3"/>
  <c r="AZ321" i="3"/>
  <c r="AZ304" i="3"/>
  <c r="AZ203" i="3"/>
  <c r="AZ171" i="3"/>
  <c r="AZ340" i="3"/>
  <c r="G578" i="3"/>
  <c r="G572" i="3"/>
  <c r="G562" i="3"/>
  <c r="G550" i="3"/>
  <c r="G540" i="3"/>
  <c r="G535" i="3"/>
  <c r="G533" i="3"/>
  <c r="G531" i="3"/>
  <c r="G529" i="3"/>
  <c r="G527" i="3"/>
  <c r="G14" i="3"/>
  <c r="G5" i="3" s="1"/>
  <c r="B3" i="3" s="1"/>
  <c r="K8" i="1"/>
  <c r="M8" i="1" s="1"/>
  <c r="G399" i="3"/>
  <c r="BL399" i="3"/>
  <c r="G401" i="3"/>
  <c r="G402" i="3"/>
  <c r="G406" i="3"/>
  <c r="G408" i="3"/>
  <c r="G409" i="3"/>
  <c r="BL409" i="3"/>
  <c r="BA410" i="3"/>
  <c r="AZ410" i="3" s="1"/>
  <c r="BL412" i="3"/>
  <c r="AZ412" i="3" s="1"/>
  <c r="BA413" i="3"/>
  <c r="AZ413" i="3" s="1"/>
  <c r="G416" i="3"/>
  <c r="BL416" i="3"/>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BL308" i="3"/>
  <c r="AZ308" i="3" s="1"/>
  <c r="BL314" i="3"/>
  <c r="AZ314" i="3" s="1"/>
  <c r="BA316" i="3"/>
  <c r="AZ316" i="3" s="1"/>
  <c r="BA319" i="3"/>
  <c r="AZ319" i="3" s="1"/>
  <c r="BA323" i="3"/>
  <c r="BL328" i="3"/>
  <c r="AZ328" i="3" s="1"/>
  <c r="BL333" i="3"/>
  <c r="AZ333" i="3" s="1"/>
  <c r="G339" i="3"/>
  <c r="BL340" i="3"/>
  <c r="G347" i="3"/>
  <c r="BL350" i="3"/>
  <c r="AZ350" i="3" s="1"/>
  <c r="BA353" i="3"/>
  <c r="AZ353" i="3" s="1"/>
  <c r="G358" i="3"/>
  <c r="BL359" i="3"/>
  <c r="AZ359" i="3" s="1"/>
  <c r="BL365" i="3"/>
  <c r="AZ365" i="3" s="1"/>
  <c r="BA368" i="3"/>
  <c r="AZ368" i="3" s="1"/>
  <c r="AZ221" i="3"/>
  <c r="AZ278" i="3"/>
  <c r="AZ64" i="3"/>
  <c r="S21" i="21"/>
  <c r="S21" i="33"/>
  <c r="AA21" i="33"/>
  <c r="AB21" i="34"/>
  <c r="U21" i="34"/>
  <c r="AB25" i="71"/>
  <c r="F28" i="71"/>
  <c r="F27" i="71" s="1"/>
  <c r="F26" i="71" s="1"/>
  <c r="AB28" i="71"/>
  <c r="BL381" i="3"/>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G245" i="3"/>
  <c r="G246" i="3"/>
  <c r="BL246" i="3"/>
  <c r="G248" i="3"/>
  <c r="G249" i="3"/>
  <c r="G250" i="3"/>
  <c r="G251" i="3"/>
  <c r="G252" i="3"/>
  <c r="BL252" i="3"/>
  <c r="BL254" i="3"/>
  <c r="AZ254" i="3"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AZ113" i="3" s="1"/>
  <c r="G116" i="3"/>
  <c r="BA117" i="3"/>
  <c r="AZ117" i="3" s="1"/>
  <c r="G120" i="3"/>
  <c r="G123"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BA40" i="3"/>
  <c r="AZ40" i="3" s="1"/>
  <c r="BA41" i="3"/>
  <c r="AZ41" i="3" s="1"/>
  <c r="BA42" i="3"/>
  <c r="AZ42" i="3" s="1"/>
  <c r="BA43" i="3"/>
  <c r="AZ43" i="3" s="1"/>
  <c r="AZ108" i="3"/>
  <c r="B100" i="43"/>
  <c r="B77" i="43"/>
  <c r="B68" i="43"/>
  <c r="C29" i="39"/>
  <c r="AA25" i="71"/>
  <c r="AA27" i="71"/>
  <c r="E28" i="71"/>
  <c r="AA26" i="71"/>
  <c r="Y30" i="71"/>
  <c r="Z30" i="71" s="1"/>
  <c r="Y29" i="71"/>
  <c r="Z29" i="71" s="1"/>
  <c r="X31" i="71"/>
  <c r="X32" i="71"/>
  <c r="X28" i="71"/>
  <c r="Y34" i="71"/>
  <c r="Z34" i="71" s="1"/>
  <c r="Y33" i="71"/>
  <c r="Z33" i="71" s="1"/>
  <c r="C35" i="71"/>
  <c r="AB34" i="71"/>
  <c r="AB33" i="71"/>
  <c r="X34" i="71"/>
  <c r="X36" i="71"/>
  <c r="Y38" i="71"/>
  <c r="Z38" i="71" s="1"/>
  <c r="Y37" i="71"/>
  <c r="Z37" i="71" s="1"/>
  <c r="AB38" i="71"/>
  <c r="AB37" i="71"/>
  <c r="D42" i="71"/>
  <c r="C43" i="71"/>
  <c r="D50" i="71"/>
  <c r="C51" i="71"/>
  <c r="C55" i="71"/>
  <c r="D54" i="71"/>
  <c r="C63" i="71"/>
  <c r="D62" i="71"/>
  <c r="S68" i="71"/>
  <c r="N68" i="71"/>
  <c r="T72" i="71"/>
  <c r="C71" i="71"/>
  <c r="D72" i="71"/>
  <c r="U76" i="71"/>
  <c r="E75" i="71"/>
  <c r="E74" i="71" s="1"/>
  <c r="T80" i="71"/>
  <c r="C79" i="71"/>
  <c r="D80" i="71"/>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L110" i="3"/>
  <c r="AZ110" i="3" s="1"/>
  <c r="BA112" i="3"/>
  <c r="AZ112" i="3" s="1"/>
  <c r="C31" i="71"/>
  <c r="C28" i="71"/>
  <c r="Y28" i="71"/>
  <c r="Z28" i="71" s="1"/>
  <c r="X29" i="71"/>
  <c r="X27" i="71"/>
  <c r="X30" i="71"/>
  <c r="Y32" i="71"/>
  <c r="Z32" i="71" s="1"/>
  <c r="AB32" i="71"/>
  <c r="X33" i="71"/>
  <c r="Y36" i="71"/>
  <c r="Z36" i="71" s="1"/>
  <c r="AB36" i="71"/>
  <c r="E38" i="71"/>
  <c r="E39" i="71" s="1"/>
  <c r="E40" i="71" s="1"/>
  <c r="U40" i="71" s="1"/>
  <c r="AA34" i="71"/>
  <c r="AA35" i="71"/>
  <c r="AA36" i="71"/>
  <c r="B63" i="71"/>
  <c r="B64" i="71" s="1"/>
  <c r="S64" i="71" s="1"/>
  <c r="B22" i="71"/>
  <c r="B21" i="71" s="1"/>
  <c r="B20" i="71" s="1"/>
  <c r="X25" i="71"/>
  <c r="E23" i="71"/>
  <c r="E22" i="71" s="1"/>
  <c r="E21" i="71" s="1"/>
  <c r="E20" i="71" s="1"/>
  <c r="V20" i="71" s="1"/>
  <c r="V24" i="71"/>
  <c r="F22" i="71"/>
  <c r="F21" i="71" s="1"/>
  <c r="F20" i="71" s="1"/>
  <c r="F19" i="71" s="1"/>
  <c r="F18" i="71" s="1"/>
  <c r="F17" i="71" s="1"/>
  <c r="F31" i="71"/>
  <c r="F32" i="71" s="1"/>
  <c r="V32" i="71" s="1"/>
  <c r="F35" i="71"/>
  <c r="F36" i="71" s="1"/>
  <c r="V36" i="71" s="1"/>
  <c r="F39" i="71"/>
  <c r="F40" i="71" s="1"/>
  <c r="V40" i="71" s="1"/>
  <c r="B59" i="71"/>
  <c r="B60" i="71" s="1"/>
  <c r="S60" i="71" s="1"/>
  <c r="W43" i="21"/>
  <c r="H43" i="21"/>
  <c r="AB43" i="21" s="1"/>
  <c r="F43" i="21"/>
  <c r="S43" i="21" s="1"/>
  <c r="H42" i="21"/>
  <c r="U42" i="21" s="1"/>
  <c r="AA29" i="21"/>
  <c r="AC29" i="21"/>
  <c r="W29" i="21"/>
  <c r="H29" i="21"/>
  <c r="J42" i="21"/>
  <c r="F42" i="21"/>
  <c r="AB38" i="21"/>
  <c r="U27" i="21"/>
  <c r="I89" i="21"/>
  <c r="J89" i="21" s="1"/>
  <c r="K89" i="21" s="1"/>
  <c r="L89" i="21" s="1"/>
  <c r="M89" i="21" s="1"/>
  <c r="F26" i="21"/>
  <c r="H26" i="21"/>
  <c r="AB26" i="21" s="1"/>
  <c r="AC26" i="21"/>
  <c r="U26" i="21"/>
  <c r="AB25" i="21"/>
  <c r="AC40" i="21"/>
  <c r="AB39" i="21"/>
  <c r="AA38" i="21"/>
  <c r="U35" i="21"/>
  <c r="S34" i="21"/>
  <c r="AC27" i="21"/>
  <c r="S44" i="21"/>
  <c r="W44" i="21"/>
  <c r="S23" i="21"/>
  <c r="AA23" i="21"/>
  <c r="H23" i="21"/>
  <c r="AC23" i="21"/>
  <c r="AB21" i="21"/>
  <c r="AC21" i="21"/>
  <c r="S19" i="21"/>
  <c r="AC19" i="21"/>
  <c r="U17" i="21"/>
  <c r="AA15" i="21"/>
  <c r="AB15" i="21"/>
  <c r="AC15" i="21"/>
  <c r="AB13" i="21"/>
  <c r="U13" i="21"/>
  <c r="S12" i="21"/>
  <c r="AA12" i="21"/>
  <c r="F13" i="21"/>
  <c r="J13" i="21"/>
  <c r="H12" i="21"/>
  <c r="S9" i="21"/>
  <c r="AA9" i="21"/>
  <c r="J9" i="21"/>
  <c r="A118" i="9"/>
  <c r="M20" i="67"/>
  <c r="F34" i="15"/>
  <c r="F62" i="15" s="1"/>
  <c r="F34" i="67"/>
  <c r="F62" i="67" s="1"/>
  <c r="B41" i="1"/>
  <c r="F32" i="67"/>
  <c r="F60" i="67" s="1"/>
  <c r="D68" i="9"/>
  <c r="F30" i="69"/>
  <c r="F48" i="69" s="1"/>
  <c r="F31" i="12"/>
  <c r="G26" i="12"/>
  <c r="G22" i="69"/>
  <c r="E19" i="71"/>
  <c r="E18" i="71" s="1"/>
  <c r="E17" i="71" s="1"/>
  <c r="E16" i="71" s="1"/>
  <c r="M23" i="43" s="1"/>
  <c r="AB43" i="33"/>
  <c r="U43" i="33"/>
  <c r="AZ495" i="3"/>
  <c r="AZ513" i="3"/>
  <c r="AZ555" i="3"/>
  <c r="AZ504" i="3"/>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F14" i="39"/>
  <c r="J14" i="39"/>
  <c r="AC14" i="39" s="1"/>
  <c r="AC23" i="39"/>
  <c r="W23" i="39"/>
  <c r="H31" i="39"/>
  <c r="F31" i="39"/>
  <c r="J31" i="39"/>
  <c r="J32" i="40"/>
  <c r="F32" i="40"/>
  <c r="H32" i="40"/>
  <c r="AB31" i="35"/>
  <c r="U31" i="35"/>
  <c r="F36" i="39"/>
  <c r="H36" i="39"/>
  <c r="J36" i="39"/>
  <c r="BL584" i="3"/>
  <c r="AZ584" i="3" s="1"/>
  <c r="BL583" i="3"/>
  <c r="BA583" i="3"/>
  <c r="BA582" i="3"/>
  <c r="AZ582" i="3" s="1"/>
  <c r="BA581" i="3"/>
  <c r="AZ581" i="3" s="1"/>
  <c r="BA580" i="3"/>
  <c r="AZ580" i="3" s="1"/>
  <c r="BA579" i="3"/>
  <c r="AZ579" i="3" s="1"/>
  <c r="BL578" i="3"/>
  <c r="BA578" i="3"/>
  <c r="BL569" i="3"/>
  <c r="BA569" i="3"/>
  <c r="BL568" i="3"/>
  <c r="BA568" i="3"/>
  <c r="BA567" i="3"/>
  <c r="AZ567" i="3" s="1"/>
  <c r="BA566" i="3"/>
  <c r="AZ566" i="3" s="1"/>
  <c r="BL565" i="3"/>
  <c r="AZ565" i="3" s="1"/>
  <c r="BA564" i="3"/>
  <c r="AZ564" i="3" s="1"/>
  <c r="BA563" i="3"/>
  <c r="AZ563" i="3" s="1"/>
  <c r="BL562" i="3"/>
  <c r="BA562" i="3"/>
  <c r="AZ562" i="3" s="1"/>
  <c r="BL554" i="3"/>
  <c r="AZ554" i="3" s="1"/>
  <c r="BL553" i="3"/>
  <c r="BA553" i="3"/>
  <c r="BL552" i="3"/>
  <c r="BA552" i="3"/>
  <c r="BL550" i="3"/>
  <c r="AZ550" i="3" s="1"/>
  <c r="BL549" i="3"/>
  <c r="BA549" i="3"/>
  <c r="AZ549" i="3" s="1"/>
  <c r="BL548" i="3"/>
  <c r="D19" i="53"/>
  <c r="B38" i="72" s="1"/>
  <c r="D16" i="53"/>
  <c r="B34" i="72" s="1"/>
  <c r="W17" i="21"/>
  <c r="G28" i="6"/>
  <c r="F29" i="6"/>
  <c r="AZ362" i="3"/>
  <c r="S41" i="34"/>
  <c r="AA41" i="34"/>
  <c r="S25" i="21"/>
  <c r="AA25" i="21"/>
  <c r="AZ557" i="3"/>
  <c r="AZ517" i="3"/>
  <c r="AZ548" i="3"/>
  <c r="AA26" i="33"/>
  <c r="S26" i="33"/>
  <c r="J26" i="33"/>
  <c r="H26" i="33"/>
  <c r="AC9" i="34"/>
  <c r="W9" i="34"/>
  <c r="J27" i="34"/>
  <c r="F27" i="34"/>
  <c r="AC31" i="37"/>
  <c r="W31" i="37"/>
  <c r="AB14" i="37"/>
  <c r="U14" i="37"/>
  <c r="F28" i="37"/>
  <c r="J28" i="37"/>
  <c r="H28" i="37"/>
  <c r="H38" i="37"/>
  <c r="J38" i="37"/>
  <c r="F38" i="37"/>
  <c r="J12" i="40"/>
  <c r="F12" i="40"/>
  <c r="H14" i="40"/>
  <c r="J14" i="40"/>
  <c r="F14" i="40"/>
  <c r="F38" i="40"/>
  <c r="J38" i="40"/>
  <c r="H38" i="40"/>
  <c r="U41" i="21"/>
  <c r="AB41" i="21"/>
  <c r="BA525" i="3"/>
  <c r="AZ525" i="3" s="1"/>
  <c r="BA524" i="3"/>
  <c r="AZ524" i="3" s="1"/>
  <c r="BL523" i="3"/>
  <c r="AZ523" i="3" s="1"/>
  <c r="BL522" i="3"/>
  <c r="BA522" i="3"/>
  <c r="BA521" i="3"/>
  <c r="AZ521" i="3" s="1"/>
  <c r="BL520" i="3"/>
  <c r="AZ520" i="3" s="1"/>
  <c r="BL519" i="3"/>
  <c r="BA519" i="3"/>
  <c r="BL518" i="3"/>
  <c r="BA518" i="3"/>
  <c r="BL516" i="3"/>
  <c r="BA516" i="3"/>
  <c r="BL515" i="3"/>
  <c r="BA515" i="3"/>
  <c r="BL514" i="3"/>
  <c r="BA514" i="3"/>
  <c r="BL512" i="3"/>
  <c r="BA512" i="3"/>
  <c r="BL511" i="3"/>
  <c r="BA511" i="3"/>
  <c r="BL510" i="3"/>
  <c r="AZ510" i="3" s="1"/>
  <c r="BA509" i="3"/>
  <c r="AZ509" i="3" s="1"/>
  <c r="BL508" i="3"/>
  <c r="BA508" i="3"/>
  <c r="BL507" i="3"/>
  <c r="AZ507" i="3" s="1"/>
  <c r="BA506" i="3"/>
  <c r="AZ506" i="3" s="1"/>
  <c r="BA505" i="3"/>
  <c r="AZ505" i="3" s="1"/>
  <c r="BL503" i="3"/>
  <c r="AZ503" i="3" s="1"/>
  <c r="BL502" i="3"/>
  <c r="BA502" i="3"/>
  <c r="BA501" i="3"/>
  <c r="AZ501" i="3" s="1"/>
  <c r="BL500" i="3"/>
  <c r="BA500" i="3"/>
  <c r="BL498" i="3"/>
  <c r="AZ498" i="3" s="1"/>
  <c r="BA497" i="3"/>
  <c r="AZ497" i="3" s="1"/>
  <c r="BL496" i="3"/>
  <c r="BA496" i="3"/>
  <c r="BL494" i="3"/>
  <c r="BA494" i="3"/>
  <c r="BA493" i="3"/>
  <c r="AZ493" i="3" s="1"/>
  <c r="AZ532" i="3"/>
  <c r="AZ544" i="3"/>
  <c r="BL586" i="3"/>
  <c r="BA586" i="3"/>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A575" i="3"/>
  <c r="AZ575" i="3" s="1"/>
  <c r="BA574" i="3"/>
  <c r="AZ574" i="3" s="1"/>
  <c r="BA572" i="3"/>
  <c r="AZ572" i="3" s="1"/>
  <c r="BA571" i="3"/>
  <c r="AZ571" i="3" s="1"/>
  <c r="BL570" i="3"/>
  <c r="BA570" i="3"/>
  <c r="AZ570" i="3" s="1"/>
  <c r="BL560" i="3"/>
  <c r="BA560" i="3"/>
  <c r="AZ560" i="3" s="1"/>
  <c r="BA559" i="3"/>
  <c r="AZ559" i="3" s="1"/>
  <c r="BA551" i="3"/>
  <c r="AZ551" i="3" s="1"/>
  <c r="BL546" i="3"/>
  <c r="BA546" i="3"/>
  <c r="AZ546" i="3" s="1"/>
  <c r="BL540" i="3"/>
  <c r="AZ540" i="3" s="1"/>
  <c r="BL538" i="3"/>
  <c r="AZ538" i="3" s="1"/>
  <c r="BL530" i="3"/>
  <c r="AZ530" i="3" s="1"/>
  <c r="BA528" i="3"/>
  <c r="AZ528" i="3" s="1"/>
  <c r="BA526" i="3"/>
  <c r="AZ526" i="3" s="1"/>
  <c r="AZ399" i="3"/>
  <c r="AZ404" i="3"/>
  <c r="AZ424" i="3"/>
  <c r="AZ429" i="3"/>
  <c r="AZ439" i="3"/>
  <c r="AZ475" i="3"/>
  <c r="AZ483" i="3"/>
  <c r="AZ489" i="3"/>
  <c r="AZ409" i="3"/>
  <c r="AZ416" i="3"/>
  <c r="AZ420" i="3"/>
  <c r="AZ426" i="3"/>
  <c r="AZ431" i="3"/>
  <c r="AZ448" i="3"/>
  <c r="AZ452" i="3"/>
  <c r="AZ461" i="3"/>
  <c r="AZ463" i="3"/>
  <c r="AZ468" i="3"/>
  <c r="AZ470" i="3"/>
  <c r="AZ479" i="3"/>
  <c r="AZ485" i="3"/>
  <c r="AZ211" i="3"/>
  <c r="AZ300" i="3"/>
  <c r="AZ302" i="3"/>
  <c r="AZ126" i="3"/>
  <c r="AZ141" i="3"/>
  <c r="AZ161" i="3"/>
  <c r="AZ177" i="3"/>
  <c r="AZ193" i="3"/>
  <c r="AZ34" i="3"/>
  <c r="AZ226" i="3"/>
  <c r="AZ246" i="3"/>
  <c r="AZ252" i="3"/>
  <c r="AZ258" i="3"/>
  <c r="AZ267" i="3"/>
  <c r="AZ272" i="3"/>
  <c r="AZ284" i="3"/>
  <c r="AZ289" i="3"/>
  <c r="AZ44" i="3"/>
  <c r="AZ56" i="3"/>
  <c r="AZ60" i="3"/>
  <c r="AZ73" i="3"/>
  <c r="AZ78" i="3"/>
  <c r="AZ87" i="3"/>
  <c r="AZ91" i="3"/>
  <c r="AZ95" i="3"/>
  <c r="AZ98" i="3"/>
  <c r="AZ100" i="3"/>
  <c r="AZ104" i="3"/>
  <c r="AC21" i="37"/>
  <c r="U18" i="35"/>
  <c r="S21" i="37"/>
  <c r="U18" i="36"/>
  <c r="AB27" i="71"/>
  <c r="AA29" i="71"/>
  <c r="Y9" i="71"/>
  <c r="Z9" i="71" s="1"/>
  <c r="Y10" i="71"/>
  <c r="Z10" i="71" s="1"/>
  <c r="AA9" i="71"/>
  <c r="AA10" i="71"/>
  <c r="X24" i="71"/>
  <c r="AA24" i="71"/>
  <c r="Y23" i="71"/>
  <c r="Z23" i="71" s="1"/>
  <c r="AA22" i="71"/>
  <c r="X21" i="71"/>
  <c r="Y21" i="71"/>
  <c r="Z21" i="71" s="1"/>
  <c r="Y14" i="71"/>
  <c r="Z14" i="71" s="1"/>
  <c r="X9" i="71"/>
  <c r="X10" i="71"/>
  <c r="AB10" i="71"/>
  <c r="AB9" i="71"/>
  <c r="Y24" i="71"/>
  <c r="Z24" i="71" s="1"/>
  <c r="AB24" i="71"/>
  <c r="Y22" i="71"/>
  <c r="Z22" i="71" s="1"/>
  <c r="AB23" i="71"/>
  <c r="AB21" i="71"/>
  <c r="X18" i="71"/>
  <c r="Y17" i="71"/>
  <c r="Z17" i="71" s="1"/>
  <c r="AA18" i="71"/>
  <c r="AB18" i="71"/>
  <c r="X13" i="71"/>
  <c r="AA14" i="71"/>
  <c r="AA21" i="71"/>
  <c r="Y18" i="71"/>
  <c r="Z18" i="71" s="1"/>
  <c r="AB15" i="71"/>
  <c r="X17" i="71"/>
  <c r="AA17" i="71"/>
  <c r="AB17" i="71"/>
  <c r="AB11" i="71"/>
  <c r="AB14" i="71"/>
  <c r="Y12" i="71"/>
  <c r="Z12" i="71" s="1"/>
  <c r="Y13" i="71"/>
  <c r="Z13" i="71" s="1"/>
  <c r="AA11" i="71"/>
  <c r="AA13" i="71"/>
  <c r="X12" i="71"/>
  <c r="B67" i="71"/>
  <c r="C24" i="71"/>
  <c r="AA23" i="71"/>
  <c r="X22"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F30" i="6"/>
  <c r="E28" i="6"/>
  <c r="M6" i="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15"/>
  <c r="D9" i="69"/>
  <c r="C16" i="67"/>
  <c r="F27" i="69"/>
  <c r="G1" i="73"/>
  <c r="E510" i="3" l="1"/>
  <c r="E539" i="3"/>
  <c r="E165" i="3"/>
  <c r="E244" i="3"/>
  <c r="E212" i="3"/>
  <c r="E167" i="3"/>
  <c r="E199" i="3"/>
  <c r="E141" i="3"/>
  <c r="E286" i="3"/>
  <c r="E312" i="3"/>
  <c r="E575" i="3"/>
  <c r="AD6" i="3"/>
  <c r="E499" i="3"/>
  <c r="E542" i="3"/>
  <c r="E552" i="3"/>
  <c r="E502" i="3"/>
  <c r="E421" i="3"/>
  <c r="E466" i="3"/>
  <c r="E487" i="3"/>
  <c r="E541" i="3"/>
  <c r="E398" i="3"/>
  <c r="E430" i="3"/>
  <c r="E449" i="3"/>
  <c r="E255" i="3"/>
  <c r="E374" i="3"/>
  <c r="I3" i="6"/>
  <c r="AP6" i="3"/>
  <c r="E554" i="3"/>
  <c r="E582" i="3"/>
  <c r="E517" i="3"/>
  <c r="E435" i="3"/>
  <c r="E460" i="3"/>
  <c r="E417" i="3"/>
  <c r="E39" i="3"/>
  <c r="E90" i="3"/>
  <c r="E57" i="3"/>
  <c r="E131" i="3"/>
  <c r="E152" i="3"/>
  <c r="E187" i="3"/>
  <c r="E132" i="3"/>
  <c r="E155" i="3"/>
  <c r="E192" i="3"/>
  <c r="E240" i="3"/>
  <c r="E297" i="3"/>
  <c r="E241" i="3"/>
  <c r="E259" i="3"/>
  <c r="E348" i="3"/>
  <c r="E363" i="3"/>
  <c r="E378" i="3"/>
  <c r="E349" i="3"/>
  <c r="E375" i="3"/>
  <c r="E389" i="3"/>
  <c r="E504" i="3"/>
  <c r="E76" i="3"/>
  <c r="E110" i="3"/>
  <c r="E488" i="3"/>
  <c r="E484" i="3"/>
  <c r="E521" i="3"/>
  <c r="E425" i="3"/>
  <c r="E467" i="3"/>
  <c r="E46" i="3"/>
  <c r="E65" i="3"/>
  <c r="E103" i="3"/>
  <c r="E138" i="3"/>
  <c r="E160" i="3"/>
  <c r="E195" i="3"/>
  <c r="E142" i="3"/>
  <c r="E163" i="3"/>
  <c r="E200" i="3"/>
  <c r="E267" i="3"/>
  <c r="E209" i="3"/>
  <c r="E266" i="3"/>
  <c r="E307" i="3"/>
  <c r="E371" i="3"/>
  <c r="E386" i="3"/>
  <c r="E310" i="3"/>
  <c r="E354" i="3"/>
  <c r="E492" i="3"/>
  <c r="E584" i="3"/>
  <c r="E23" i="3"/>
  <c r="E66" i="3"/>
  <c r="E24" i="3"/>
  <c r="E67" i="3"/>
  <c r="E144" i="3"/>
  <c r="E127" i="3"/>
  <c r="E184" i="3"/>
  <c r="E284" i="3"/>
  <c r="E355" i="3"/>
  <c r="E341" i="3"/>
  <c r="E381" i="3"/>
  <c r="Y6" i="3"/>
  <c r="E68" i="3"/>
  <c r="E51" i="3"/>
  <c r="E19" i="3"/>
  <c r="E81" i="3"/>
  <c r="E154" i="3"/>
  <c r="E118" i="3"/>
  <c r="E179" i="3"/>
  <c r="E264" i="3"/>
  <c r="E222" i="3"/>
  <c r="E283" i="3"/>
  <c r="E323" i="3"/>
  <c r="E309" i="3"/>
  <c r="E21" i="3"/>
  <c r="E329" i="3"/>
  <c r="E205" i="3"/>
  <c r="E16" i="3"/>
  <c r="E296" i="3"/>
  <c r="E188" i="3"/>
  <c r="E223" i="3"/>
  <c r="E197" i="3"/>
  <c r="E173" i="3"/>
  <c r="E105" i="3"/>
  <c r="E369" i="3"/>
  <c r="E393" i="3"/>
  <c r="E525" i="3"/>
  <c r="E493" i="3"/>
  <c r="E534" i="3"/>
  <c r="E564" i="3"/>
  <c r="T6" i="3"/>
  <c r="E543" i="3"/>
  <c r="E405" i="3"/>
  <c r="E427" i="3"/>
  <c r="E486" i="3"/>
  <c r="E507" i="3"/>
  <c r="E422" i="3"/>
  <c r="E440" i="3"/>
  <c r="E490" i="3"/>
  <c r="E376" i="3"/>
  <c r="AH6" i="3"/>
  <c r="J6" i="3"/>
  <c r="E498" i="3"/>
  <c r="E419" i="3"/>
  <c r="E483" i="3"/>
  <c r="E40" i="3"/>
  <c r="E25" i="3"/>
  <c r="E178" i="3"/>
  <c r="E119" i="3"/>
  <c r="E202" i="3"/>
  <c r="E242" i="3"/>
  <c r="E226" i="3"/>
  <c r="E276" i="3"/>
  <c r="E346" i="3"/>
  <c r="E333" i="3"/>
  <c r="E372" i="3"/>
  <c r="L6" i="3"/>
  <c r="E43" i="3"/>
  <c r="E473" i="3"/>
  <c r="E15" i="3"/>
  <c r="E455" i="3"/>
  <c r="E79" i="3"/>
  <c r="E170" i="3"/>
  <c r="E137" i="3"/>
  <c r="E194" i="3"/>
  <c r="E219" i="3"/>
  <c r="E325" i="3"/>
  <c r="AQ6" i="3"/>
  <c r="E52" i="3"/>
  <c r="E36" i="3"/>
  <c r="E112" i="3"/>
  <c r="E147" i="3"/>
  <c r="E289" i="3"/>
  <c r="E340" i="3"/>
  <c r="E364" i="3"/>
  <c r="E50" i="3"/>
  <c r="E20" i="3"/>
  <c r="E62" i="3"/>
  <c r="E176" i="3"/>
  <c r="E218" i="3"/>
  <c r="E265" i="3"/>
  <c r="E365" i="3"/>
  <c r="E524" i="3"/>
  <c r="E101" i="3"/>
  <c r="E456" i="3"/>
  <c r="E469" i="3"/>
  <c r="E512" i="3"/>
  <c r="E451" i="3"/>
  <c r="E360" i="3"/>
  <c r="E556" i="3"/>
  <c r="E497" i="3"/>
  <c r="E13" i="3"/>
  <c r="E494" i="3"/>
  <c r="E26" i="3"/>
  <c r="E41" i="3"/>
  <c r="E115" i="3"/>
  <c r="E198" i="3"/>
  <c r="E139" i="3"/>
  <c r="E225" i="3"/>
  <c r="E281" i="3"/>
  <c r="E243" i="3"/>
  <c r="E332" i="3"/>
  <c r="E391" i="3"/>
  <c r="E356" i="3"/>
  <c r="AL6" i="3"/>
  <c r="E42" i="3"/>
  <c r="E75" i="3"/>
  <c r="E428" i="3"/>
  <c r="E482" i="3"/>
  <c r="E412" i="3"/>
  <c r="E18" i="3"/>
  <c r="E96" i="3"/>
  <c r="E129" i="3"/>
  <c r="E190" i="3"/>
  <c r="E174" i="3"/>
  <c r="E220" i="3"/>
  <c r="E275" i="3"/>
  <c r="E324" i="3"/>
  <c r="E383" i="3"/>
  <c r="E342" i="3"/>
  <c r="E522" i="3"/>
  <c r="E35" i="3"/>
  <c r="E49" i="3"/>
  <c r="E206" i="3"/>
  <c r="E370" i="3"/>
  <c r="AF6" i="3"/>
  <c r="E102" i="3"/>
  <c r="E80" i="3"/>
  <c r="E113" i="3"/>
  <c r="E158" i="3"/>
  <c r="E287" i="3"/>
  <c r="E308" i="3"/>
  <c r="E326" i="3"/>
  <c r="E22" i="3"/>
  <c r="E500" i="3"/>
  <c r="E566" i="3"/>
  <c r="E462" i="3"/>
  <c r="E491" i="3"/>
  <c r="E373" i="3"/>
  <c r="E51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6" i="3"/>
  <c r="E544" i="3"/>
  <c r="E413" i="3"/>
  <c r="E464" i="3"/>
  <c r="E520" i="3"/>
  <c r="E149" i="3"/>
  <c r="R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H6" i="3" s="1"/>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E29" i="6"/>
  <c r="G30" i="6"/>
  <c r="G31" i="6" s="1"/>
  <c r="AZ586" i="3"/>
  <c r="BL5" i="3"/>
  <c r="AZ502" i="3"/>
  <c r="AZ508" i="3"/>
  <c r="AZ511" i="3"/>
  <c r="AZ512" i="3"/>
  <c r="AZ514" i="3"/>
  <c r="AZ515" i="3"/>
  <c r="AZ516" i="3"/>
  <c r="AZ518" i="3"/>
  <c r="AZ519" i="3"/>
  <c r="AZ522" i="3"/>
  <c r="B19" i="71"/>
  <c r="B18" i="71" s="1"/>
  <c r="B17" i="71" s="1"/>
  <c r="B16" i="71" s="1"/>
  <c r="S16" i="71" s="1"/>
  <c r="S20" i="71"/>
  <c r="D31" i="71"/>
  <c r="C32" i="71"/>
  <c r="E108" i="3"/>
  <c r="E100" i="3"/>
  <c r="E98" i="3"/>
  <c r="E94" i="3"/>
  <c r="E87" i="3"/>
  <c r="E83" i="3"/>
  <c r="E78" i="3"/>
  <c r="E64" i="3"/>
  <c r="E59" i="3"/>
  <c r="E48" i="3"/>
  <c r="C70" i="71"/>
  <c r="D70" i="71" s="1"/>
  <c r="D71" i="71"/>
  <c r="D51" i="71"/>
  <c r="C52" i="71"/>
  <c r="D43" i="71"/>
  <c r="C44" i="71"/>
  <c r="D35" i="71"/>
  <c r="C36" i="71"/>
  <c r="E37" i="3"/>
  <c r="E34" i="3"/>
  <c r="E123" i="3"/>
  <c r="E300" i="3"/>
  <c r="E292" i="3"/>
  <c r="E258" i="3"/>
  <c r="E251" i="3"/>
  <c r="E249" i="3"/>
  <c r="E235" i="3"/>
  <c r="E233" i="3"/>
  <c r="E339" i="3"/>
  <c r="E479" i="3"/>
  <c r="E470" i="3"/>
  <c r="E463" i="3"/>
  <c r="E452" i="3"/>
  <c r="E446" i="3"/>
  <c r="E436" i="3"/>
  <c r="E420" i="3"/>
  <c r="E409" i="3"/>
  <c r="E401" i="3"/>
  <c r="E540" i="3"/>
  <c r="D39" i="71"/>
  <c r="C40" i="71"/>
  <c r="W33" i="40"/>
  <c r="AC33" i="40"/>
  <c r="U27" i="40"/>
  <c r="AB27" i="40"/>
  <c r="AB30" i="33"/>
  <c r="U30" i="33"/>
  <c r="U27" i="33"/>
  <c r="AB27" i="33"/>
  <c r="AC9" i="33"/>
  <c r="W9" i="33"/>
  <c r="U13" i="39"/>
  <c r="AB13" i="39"/>
  <c r="AA24" i="35"/>
  <c r="S24" i="35"/>
  <c r="D121" i="9"/>
  <c r="D7" i="52" s="1"/>
  <c r="D6" i="52"/>
  <c r="U9" i="21"/>
  <c r="AB9" i="21"/>
  <c r="AZ573" i="3"/>
  <c r="AC9" i="36"/>
  <c r="W9" i="36"/>
  <c r="AB9" i="33"/>
  <c r="U9" i="33"/>
  <c r="C31" i="12"/>
  <c r="F32" i="83"/>
  <c r="F60" i="83" s="1"/>
  <c r="F28" i="83"/>
  <c r="C28" i="83" s="1"/>
  <c r="M18" i="83"/>
  <c r="S17" i="21"/>
  <c r="U43" i="21"/>
  <c r="C27" i="71"/>
  <c r="D28" i="71"/>
  <c r="U28" i="71" s="1"/>
  <c r="T28" i="71"/>
  <c r="E104" i="3"/>
  <c r="E95" i="3"/>
  <c r="E86" i="3"/>
  <c r="E84" i="3"/>
  <c r="E82" i="3"/>
  <c r="E63" i="3"/>
  <c r="E60" i="3"/>
  <c r="E58" i="3"/>
  <c r="E56" i="3"/>
  <c r="E47" i="3"/>
  <c r="C78" i="71"/>
  <c r="D78" i="71" s="1"/>
  <c r="D79" i="71"/>
  <c r="D63" i="71"/>
  <c r="C64" i="71"/>
  <c r="C56" i="71"/>
  <c r="D55" i="71"/>
  <c r="E27" i="71"/>
  <c r="E26" i="71" s="1"/>
  <c r="V28" i="71"/>
  <c r="E38" i="3"/>
  <c r="E33" i="3"/>
  <c r="E148" i="3"/>
  <c r="E140" i="3"/>
  <c r="E116" i="3"/>
  <c r="E299" i="3"/>
  <c r="E250" i="3"/>
  <c r="E248" i="3"/>
  <c r="E234" i="3"/>
  <c r="E232" i="3"/>
  <c r="E392" i="3"/>
  <c r="AZ487" i="3"/>
  <c r="AZ481" i="3"/>
  <c r="E459" i="3"/>
  <c r="AZ454" i="3"/>
  <c r="E442" i="3"/>
  <c r="AZ422" i="3"/>
  <c r="E416" i="3"/>
  <c r="E408" i="3"/>
  <c r="AZ536" i="3"/>
  <c r="AA33" i="40"/>
  <c r="S33" i="40"/>
  <c r="S27" i="40"/>
  <c r="AA27" i="40"/>
  <c r="AC30" i="33"/>
  <c r="W30" i="33"/>
  <c r="AA27" i="33"/>
  <c r="S27" i="33"/>
  <c r="AA27" i="21"/>
  <c r="S27" i="21"/>
  <c r="AC12" i="21"/>
  <c r="W12" i="21"/>
  <c r="AZ547" i="3"/>
  <c r="AZ558" i="3"/>
  <c r="AA9" i="36"/>
  <c r="S9" i="36"/>
  <c r="AA43" i="21"/>
  <c r="AB42" i="21"/>
  <c r="O6" i="1"/>
  <c r="U29" i="21"/>
  <c r="AB29" i="21"/>
  <c r="AC42" i="21"/>
  <c r="W42" i="21"/>
  <c r="S42" i="21"/>
  <c r="AA42" i="21"/>
  <c r="F11" i="83"/>
  <c r="M11" i="83"/>
  <c r="J10" i="83" s="1"/>
  <c r="N94" i="46"/>
  <c r="J26" i="43"/>
  <c r="N370" i="46"/>
  <c r="G26" i="43"/>
  <c r="D26" i="43" s="1"/>
  <c r="C25" i="43" s="1"/>
  <c r="S26" i="21"/>
  <c r="AA26" i="21"/>
  <c r="U23" i="21"/>
  <c r="AB23" i="21"/>
  <c r="AB12" i="21"/>
  <c r="U12" i="21"/>
  <c r="S13" i="21"/>
  <c r="AA13" i="21"/>
  <c r="W13" i="21"/>
  <c r="AC13" i="21"/>
  <c r="AC9" i="21"/>
  <c r="W9" i="21"/>
  <c r="C48" i="69"/>
  <c r="C30" i="69"/>
  <c r="F48" i="9"/>
  <c r="O52" i="9" s="1"/>
  <c r="F30" i="68"/>
  <c r="F32" i="15"/>
  <c r="F60" i="15" s="1"/>
  <c r="F52" i="9"/>
  <c r="F54" i="9"/>
  <c r="F53" i="9"/>
  <c r="F30" i="11"/>
  <c r="M18" i="67"/>
  <c r="M18" i="15"/>
  <c r="F28" i="67"/>
  <c r="C28" i="67" s="1"/>
  <c r="F28" i="15"/>
  <c r="C28" i="15" s="1"/>
  <c r="F7" i="36"/>
  <c r="S7" i="36" s="1"/>
  <c r="J7" i="37"/>
  <c r="H7" i="36"/>
  <c r="AB7" i="36" s="1"/>
  <c r="T36" i="36" s="1"/>
  <c r="G36" i="36" s="1"/>
  <c r="B66" i="71"/>
  <c r="N67" i="71"/>
  <c r="AB39" i="40"/>
  <c r="U39" i="40"/>
  <c r="W44" i="39"/>
  <c r="AC44" i="39"/>
  <c r="U44" i="39"/>
  <c r="AB44" i="39"/>
  <c r="AB26" i="37"/>
  <c r="U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C38" i="40"/>
  <c r="W38" i="40"/>
  <c r="AA14" i="40"/>
  <c r="S14" i="40"/>
  <c r="U14" i="40"/>
  <c r="AB14" i="40"/>
  <c r="AC12" i="40"/>
  <c r="W12" i="40"/>
  <c r="AC38" i="37"/>
  <c r="W38" i="37"/>
  <c r="AB28" i="37"/>
  <c r="U28" i="37"/>
  <c r="AA28" i="37"/>
  <c r="S28" i="37"/>
  <c r="W27" i="34"/>
  <c r="AC27" i="34"/>
  <c r="AC26" i="33"/>
  <c r="W26" i="33"/>
  <c r="BA5" i="3"/>
  <c r="AZ552" i="3"/>
  <c r="AZ553" i="3"/>
  <c r="AZ568" i="3"/>
  <c r="AZ569" i="3"/>
  <c r="AZ578" i="3"/>
  <c r="AZ583" i="3"/>
  <c r="U36" i="39"/>
  <c r="AB36" i="39"/>
  <c r="AB32" i="40"/>
  <c r="U32" i="40"/>
  <c r="W32" i="40"/>
  <c r="AC32" i="40"/>
  <c r="AA31" i="39"/>
  <c r="S31" i="39"/>
  <c r="AA25" i="37"/>
  <c r="S25" i="37"/>
  <c r="U25" i="37"/>
  <c r="AB25" i="37"/>
  <c r="S24" i="36"/>
  <c r="AA24" i="36"/>
  <c r="S12" i="36"/>
  <c r="AA12" i="36"/>
  <c r="W12" i="36"/>
  <c r="AC12" i="36"/>
  <c r="AC23" i="35"/>
  <c r="W23" i="35"/>
  <c r="S31" i="21"/>
  <c r="AA31" i="21"/>
  <c r="AB31" i="21"/>
  <c r="U31" i="21"/>
  <c r="AA28" i="21"/>
  <c r="S28" i="21"/>
  <c r="B15" i="71"/>
  <c r="B14" i="71" s="1"/>
  <c r="B13" i="71" s="1"/>
  <c r="B12" i="71" s="1"/>
  <c r="C23" i="71"/>
  <c r="T24" i="71"/>
  <c r="D24" i="71"/>
  <c r="U24" i="71" s="1"/>
  <c r="AC39" i="40"/>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494" i="3"/>
  <c r="AZ496" i="3"/>
  <c r="AZ500" i="3"/>
  <c r="U38" i="40"/>
  <c r="AB38" i="40"/>
  <c r="S38" i="40"/>
  <c r="AA38" i="40"/>
  <c r="W14" i="40"/>
  <c r="AC14" i="40"/>
  <c r="S12" i="40"/>
  <c r="AA12" i="40"/>
  <c r="S38" i="37"/>
  <c r="AA38" i="37"/>
  <c r="AB38" i="37"/>
  <c r="U38" i="37"/>
  <c r="AC28" i="37"/>
  <c r="W28" i="37"/>
  <c r="AA27" i="34"/>
  <c r="S27" i="34"/>
  <c r="U26" i="33"/>
  <c r="AB26" i="33"/>
  <c r="AC36" i="39"/>
  <c r="W36" i="39"/>
  <c r="S36" i="39"/>
  <c r="AA36" i="39"/>
  <c r="S32" i="40"/>
  <c r="AA32" i="40"/>
  <c r="W31" i="39"/>
  <c r="AC31" i="39"/>
  <c r="AB31" i="39"/>
  <c r="U31" i="39"/>
  <c r="S14" i="39"/>
  <c r="AA14" i="39"/>
  <c r="W25" i="37"/>
  <c r="AC25" i="37"/>
  <c r="AB24" i="36"/>
  <c r="U24" i="36"/>
  <c r="AC24" i="36"/>
  <c r="W24" i="36"/>
  <c r="U12" i="36"/>
  <c r="AB12" i="36"/>
  <c r="AA23" i="35"/>
  <c r="S23" i="35"/>
  <c r="U23" i="35"/>
  <c r="AB23" i="35"/>
  <c r="AC31" i="21"/>
  <c r="W31" i="21"/>
  <c r="AC28" i="21"/>
  <c r="W28" i="21"/>
  <c r="AB28" i="21"/>
  <c r="U28" i="2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S10" i="39"/>
  <c r="AA10" i="39"/>
  <c r="H7" i="33"/>
  <c r="J7" i="33"/>
  <c r="D65" i="40"/>
  <c r="E63" i="40"/>
  <c r="F48" i="35"/>
  <c r="AA7" i="36"/>
  <c r="R36" i="36" s="1"/>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37" i="83"/>
  <c r="M24" i="83"/>
  <c r="F13" i="83"/>
  <c r="F38" i="83"/>
  <c r="M22" i="83"/>
  <c r="L48" i="83"/>
  <c r="M8" i="83"/>
  <c r="M6" i="83"/>
  <c r="M26" i="83"/>
  <c r="M28" i="83"/>
  <c r="C76" i="83"/>
  <c r="F16" i="83"/>
  <c r="J15" i="83"/>
  <c r="F8" i="83"/>
  <c r="M23" i="83"/>
  <c r="M9" i="83"/>
  <c r="M29" i="83"/>
  <c r="F36" i="83"/>
  <c r="F40" i="83"/>
  <c r="AE6" i="1"/>
  <c r="L47" i="83"/>
  <c r="J6" i="83" l="1"/>
  <c r="M17" i="83"/>
  <c r="L59" i="83"/>
  <c r="M59" i="83"/>
  <c r="N59" i="83"/>
  <c r="L58" i="83"/>
  <c r="F64" i="83"/>
  <c r="F65" i="83"/>
  <c r="F66" i="83"/>
  <c r="L60" i="83"/>
  <c r="J59" i="83"/>
  <c r="J60" i="83"/>
  <c r="Q48" i="83" s="1"/>
  <c r="J53" i="83"/>
  <c r="L56" i="83" s="1"/>
  <c r="J57" i="83"/>
  <c r="J55" i="83" s="1"/>
  <c r="J58" i="83" s="1"/>
  <c r="Q50" i="83" s="1"/>
  <c r="F68" i="83"/>
  <c r="Q71" i="83"/>
  <c r="F31" i="83"/>
  <c r="C6" i="83"/>
  <c r="C10" i="83" s="1"/>
  <c r="C5" i="83" s="1"/>
  <c r="F51" i="83"/>
  <c r="C28" i="43"/>
  <c r="T15" i="43" s="1"/>
  <c r="V15" i="43" s="1"/>
  <c r="J5" i="83"/>
  <c r="J26" i="83" s="1"/>
  <c r="D56" i="71"/>
  <c r="T56" i="71"/>
  <c r="D40" i="71"/>
  <c r="T40" i="71"/>
  <c r="K15" i="1"/>
  <c r="K16" i="1" s="1"/>
  <c r="L19" i="6"/>
  <c r="L27" i="6" s="1"/>
  <c r="U7" i="36"/>
  <c r="F67" i="39"/>
  <c r="E30" i="6"/>
  <c r="AZ5" i="3"/>
  <c r="D64" i="71"/>
  <c r="T64" i="71"/>
  <c r="C26" i="71"/>
  <c r="D26" i="71" s="1"/>
  <c r="D27" i="71"/>
  <c r="D36" i="71"/>
  <c r="T36" i="71"/>
  <c r="D44" i="71"/>
  <c r="T44" i="71"/>
  <c r="D52" i="71"/>
  <c r="T52" i="71"/>
  <c r="D32" i="71"/>
  <c r="T32" i="71"/>
  <c r="L36" i="43"/>
  <c r="P36" i="43" s="1"/>
  <c r="F24" i="83"/>
  <c r="C53" i="83"/>
  <c r="F48" i="68"/>
  <c r="C48" i="68"/>
  <c r="C30" i="68"/>
  <c r="C48" i="11"/>
  <c r="C30" i="11"/>
  <c r="E3" i="6"/>
  <c r="D37" i="11" s="1"/>
  <c r="AY6" i="3"/>
  <c r="E65" i="39"/>
  <c r="N65" i="71"/>
  <c r="N66" i="71"/>
  <c r="E11" i="71"/>
  <c r="E10" i="71" s="1"/>
  <c r="E9" i="71" s="1"/>
  <c r="E8" i="71" s="1"/>
  <c r="E7" i="71" s="1"/>
  <c r="E6" i="71" s="1"/>
  <c r="E5" i="71" s="1"/>
  <c r="V12" i="71"/>
  <c r="C22" i="71"/>
  <c r="D23"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3" i="43"/>
  <c r="V13" i="43" s="1"/>
  <c r="T9" i="43"/>
  <c r="V9" i="43" s="1"/>
  <c r="T16" i="43"/>
  <c r="V16" i="43" s="1"/>
  <c r="T12" i="43"/>
  <c r="V12" i="43" s="1"/>
  <c r="T8" i="43"/>
  <c r="V8" i="43" s="1"/>
  <c r="T3" i="43"/>
  <c r="V3" i="43" s="1"/>
  <c r="T6" i="43"/>
  <c r="V6" i="43" s="1"/>
  <c r="C33"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B1" i="74" s="1"/>
  <c r="D3" i="34"/>
  <c r="D3" i="33"/>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3"/>
  <c r="M27" i="67"/>
  <c r="C16" i="83"/>
  <c r="M27" i="83"/>
  <c r="C17" i="83"/>
  <c r="M27" i="15"/>
  <c r="F41" i="67"/>
  <c r="F41" i="15"/>
  <c r="J24" i="83" l="1"/>
  <c r="C31" i="83"/>
  <c r="Q60" i="83"/>
  <c r="Q73" i="83"/>
  <c r="C42" i="43"/>
  <c r="E42" i="43" s="1"/>
  <c r="D3" i="37"/>
  <c r="C17" i="4"/>
  <c r="B4" i="52" s="1"/>
  <c r="B43" i="72" s="1"/>
  <c r="D19" i="11"/>
  <c r="C19" i="11" s="1"/>
  <c r="C24" i="11" s="1"/>
  <c r="C41" i="43"/>
  <c r="C40" i="43"/>
  <c r="G40" i="43" s="1"/>
  <c r="I40" i="43" s="1"/>
  <c r="T5" i="43"/>
  <c r="V5" i="43" s="1"/>
  <c r="T2" i="43"/>
  <c r="V2" i="43" s="1"/>
  <c r="T4" i="43"/>
  <c r="V4" i="43" s="1"/>
  <c r="T10" i="43"/>
  <c r="V10" i="43" s="1"/>
  <c r="T14" i="43"/>
  <c r="V14" i="43" s="1"/>
  <c r="T7" i="43"/>
  <c r="V7" i="43" s="1"/>
  <c r="T11" i="43"/>
  <c r="V11" i="43" s="1"/>
  <c r="C49" i="83"/>
  <c r="C48" i="83" s="1"/>
  <c r="C66" i="83" s="1"/>
  <c r="F59" i="83"/>
  <c r="F1" i="83"/>
  <c r="Q52" i="83"/>
  <c r="Q66" i="83"/>
  <c r="Q57" i="83"/>
  <c r="Q74" i="83"/>
  <c r="Q61" i="83"/>
  <c r="J17" i="83"/>
  <c r="J19" i="83"/>
  <c r="J18" i="83"/>
  <c r="L37" i="43"/>
  <c r="P37" i="43" s="1"/>
  <c r="F69" i="83"/>
  <c r="J29" i="83"/>
  <c r="O36" i="43"/>
  <c r="N36" i="43"/>
  <c r="M36" i="43"/>
  <c r="Q36" i="43"/>
  <c r="C38" i="83"/>
  <c r="C24" i="83"/>
  <c r="F69" i="67"/>
  <c r="D116" i="43"/>
  <c r="C21" i="71"/>
  <c r="D2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D10" i="68"/>
  <c r="C14" i="67"/>
  <c r="C34" i="69"/>
  <c r="C14" i="83"/>
  <c r="D10" i="69"/>
  <c r="C17" i="67"/>
  <c r="C17" i="15"/>
  <c r="C15" i="83" l="1"/>
  <c r="C18" i="83"/>
  <c r="M19" i="9"/>
  <c r="C118" i="9" s="1"/>
  <c r="B2" i="74" s="1"/>
  <c r="D30" i="6"/>
  <c r="C59" i="83"/>
  <c r="O37" i="43"/>
  <c r="M37" i="43"/>
  <c r="N37" i="43"/>
  <c r="Q37" i="43"/>
  <c r="H24" i="6"/>
  <c r="H22" i="6"/>
  <c r="C25" i="11"/>
  <c r="C22" i="11" s="1"/>
  <c r="C31" i="11" s="1"/>
  <c r="H25" i="6"/>
  <c r="C20" i="71"/>
  <c r="D21"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9" i="83" l="1"/>
  <c r="C20" i="83" s="1"/>
  <c r="C19" i="71"/>
  <c r="T20" i="71"/>
  <c r="D20" i="71"/>
  <c r="U20"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6" i="83" l="1"/>
  <c r="C23" i="83"/>
  <c r="F7" i="21"/>
  <c r="S7" i="21" s="1"/>
  <c r="J7" i="21"/>
  <c r="W7" i="21" s="1"/>
  <c r="C18" i="7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C29" i="83" l="1"/>
  <c r="AC7" i="21"/>
  <c r="V48" i="21" s="1"/>
  <c r="I48" i="21" s="1"/>
  <c r="G53" i="21" s="1"/>
  <c r="H53" i="21" s="1"/>
  <c r="J7" i="35"/>
  <c r="W7" i="35" s="1"/>
  <c r="C17" i="7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U7" i="35"/>
  <c r="AB7" i="35"/>
  <c r="T38" i="35" s="1"/>
  <c r="G38" i="35" s="1"/>
  <c r="E48" i="21"/>
  <c r="G52" i="21"/>
  <c r="H52" i="21" s="1"/>
  <c r="F7" i="35"/>
  <c r="M21" i="15"/>
  <c r="F35" i="15"/>
  <c r="F35" i="67"/>
  <c r="F35" i="83"/>
  <c r="M21" i="83"/>
  <c r="M21" i="67"/>
  <c r="C57" i="83" l="1"/>
  <c r="C64" i="83" s="1"/>
  <c r="J14" i="83"/>
  <c r="Q49" i="83"/>
  <c r="C36" i="83"/>
  <c r="C13" i="83"/>
  <c r="I52" i="21"/>
  <c r="J52" i="21" s="1"/>
  <c r="F63" i="83"/>
  <c r="J20" i="83"/>
  <c r="R49" i="21"/>
  <c r="C48"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B3" i="69"/>
  <c r="C49" i="21" l="1"/>
  <c r="J22" i="83"/>
  <c r="J13" i="83"/>
  <c r="J23" i="83" s="1"/>
  <c r="Q70" i="83"/>
  <c r="C37" i="83"/>
  <c r="C30" i="83" s="1"/>
  <c r="C39" i="83" s="1"/>
  <c r="C75" i="83"/>
  <c r="C56" i="83"/>
  <c r="C65" i="83" s="1"/>
  <c r="C58" i="83" s="1"/>
  <c r="C67" i="83" s="1"/>
  <c r="C68" i="83" s="1"/>
  <c r="C71" i="83"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3"/>
  <c r="J16" i="83" l="1"/>
  <c r="J25" i="83" s="1"/>
  <c r="Q67" i="83"/>
  <c r="L57" i="83"/>
  <c r="Q69" i="83"/>
  <c r="Q68" i="83" s="1"/>
  <c r="C40" i="83"/>
  <c r="C80" i="83"/>
  <c r="C79" i="83" s="1"/>
  <c r="D15" i="71"/>
  <c r="C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46" i="83" l="1"/>
  <c r="Q65" i="83"/>
  <c r="Q75" i="83" s="1"/>
  <c r="B2" i="83"/>
  <c r="B3" i="83" s="1"/>
  <c r="C43" i="83"/>
  <c r="Q56" i="83"/>
  <c r="Q62" i="83" s="1"/>
  <c r="Q47" i="83"/>
  <c r="Q53" i="83" s="1"/>
  <c r="C83" i="83"/>
  <c r="C82" i="83" s="1"/>
  <c r="C102" i="9"/>
  <c r="C21" i="9"/>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C20" i="9"/>
  <c r="D2" i="34"/>
  <c r="D2" i="36"/>
  <c r="L51" i="15"/>
  <c r="C103" i="9" l="1"/>
  <c r="C12" i="71"/>
  <c r="D13"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11" i="1"/>
  <c r="D19" i="9"/>
  <c r="AO7" i="1"/>
  <c r="AO8" i="1"/>
  <c r="AO6" i="1"/>
  <c r="AO9" i="1"/>
  <c r="F6" i="84" l="1"/>
  <c r="G6" i="84" s="1"/>
  <c r="G19" i="9"/>
  <c r="D22" i="9"/>
  <c r="D102" i="9"/>
  <c r="D21"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7" i="84" l="1"/>
  <c r="G8" i="84" s="1"/>
  <c r="G10" i="84" s="1"/>
  <c r="G22" i="9"/>
  <c r="G12" i="84" s="1"/>
  <c r="D14" i="74"/>
  <c r="C32" i="9"/>
  <c r="C35" i="9" s="1"/>
  <c r="C34" i="9" s="1"/>
  <c r="D10" i="71"/>
  <c r="C9" i="71"/>
  <c r="C42" i="40"/>
  <c r="C43" i="40"/>
  <c r="E47" i="40"/>
  <c r="F47" i="40" s="1"/>
  <c r="E46" i="40"/>
  <c r="F46" i="40" s="1"/>
  <c r="I47" i="40"/>
  <c r="J47" i="40" s="1"/>
  <c r="G13" i="84" l="1"/>
  <c r="G14" i="84"/>
  <c r="G9" i="84"/>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E14" i="74"/>
  <c r="F14" i="74"/>
  <c r="B5" i="74"/>
  <c r="D5" i="74" s="1"/>
  <c r="D7" i="71" l="1"/>
  <c r="C6" i="71"/>
  <c r="B6" i="74"/>
  <c r="D6" i="74" s="1"/>
  <c r="C5" i="71" l="1"/>
  <c r="D5" i="71" s="1"/>
  <c r="D6" i="71"/>
  <c r="M24" i="43" l="1"/>
  <c r="E97" i="9" l="1"/>
  <c r="E96" i="9"/>
  <c r="C96" i="9"/>
  <c r="F119" i="9"/>
  <c r="F5" i="52"/>
  <c r="B53" i="72"/>
  <c r="B47" i="72"/>
  <c r="D4" i="52"/>
  <c r="M55" i="9"/>
  <c r="D59" i="9"/>
  <c r="B31" i="72"/>
  <c r="D15" i="53"/>
  <c r="B22" i="72"/>
  <c r="D6" i="53"/>
  <c r="M48" i="9"/>
  <c r="B21" i="72"/>
  <c r="D7" i="53"/>
  <c r="I4" i="52"/>
  <c r="C105" i="9"/>
  <c r="B32" i="72"/>
  <c r="D14" i="53"/>
  <c r="B51" i="72"/>
  <c r="F4" i="52"/>
  <c r="B52" i="72"/>
  <c r="F118" i="9"/>
  <c r="G118" i="9"/>
  <c r="G4" i="52"/>
  <c r="N58" i="9"/>
  <c r="P57" i="9"/>
  <c r="H108" i="9"/>
  <c r="C6" i="74"/>
  <c r="D53" i="9"/>
  <c r="D52" i="9"/>
  <c r="C104" i="9"/>
  <c r="H4" i="52"/>
  <c r="D54" i="9"/>
  <c r="C64" i="9"/>
  <c r="C63" i="9"/>
  <c r="C67" i="9"/>
  <c r="C68" i="9"/>
  <c r="D9" i="52"/>
  <c r="D123" i="9"/>
  <c r="H102" i="9"/>
  <c r="C5" i="74"/>
  <c r="D13" i="53"/>
  <c r="B30" i="72"/>
  <c r="N61" i="9"/>
  <c r="D55" i="9"/>
  <c r="M53" i="9"/>
  <c r="N57" i="9"/>
  <c r="N59" i="9"/>
  <c r="N60" i="9"/>
  <c r="D5" i="53"/>
  <c r="B20" i="72"/>
  <c r="C93" i="9"/>
  <c r="C86" i="9"/>
  <c r="C78" i="9"/>
  <c r="C73" i="9"/>
  <c r="H119" i="9"/>
  <c r="H5" i="52"/>
  <c r="C81" i="9"/>
  <c r="C72" i="9"/>
  <c r="C79" i="9"/>
  <c r="C80" i="9"/>
  <c r="E80" i="9"/>
  <c r="E81" i="9"/>
  <c r="E4" i="52"/>
  <c r="B48" i="72"/>
  <c r="E118" i="9"/>
  <c r="D118" i="9"/>
  <c r="D119" i="9"/>
  <c r="D5" i="52"/>
  <c r="B49" i="72"/>
  <c r="H107" i="9"/>
  <c r="D122" i="9"/>
  <c r="D8" i="5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<sst xmlns="http://schemas.openxmlformats.org/spreadsheetml/2006/main" count="8400" uniqueCount="3508">
  <si>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</si>
  <si>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</si>
  <si>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</si>
  <si>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</si>
  <si>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</si>
  <si>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</si>
  <si>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</si>
  <si>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</si>
  <si>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</si>
  <si>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</si>
  <si>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</si>
  <si>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</si>
  <si>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</si>
  <si>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</si>
  <si>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</si>
  <si>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</si>
  <si>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</si>
  <si>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</si>
  <si>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</si>
  <si>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</si>
  <si>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</si>
  <si>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</si>
  <si>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</si>
  <si>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</si>
  <si>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</si>
  <si>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</si>
  <si>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</si>
  <si>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</si>
  <si>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</si>
  <si>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</si>
  <si>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</si>
  <si>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</si>
  <si>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</si>
  <si>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</si>
  <si>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</si>
  <si>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</si>
  <si>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</si>
  <si>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</si>
  <si>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</si>
  <si>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</si>
  <si>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</si>
  <si>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</si>
  <si>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</si>
  <si>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</si>
  <si>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</si>
  <si>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</si>
  <si>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</si>
  <si>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</si>
  <si>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</si>
  <si>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</si>
  <si>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</si>
  <si>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</si>
  <si>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</si>
  <si>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</si>
  <si>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</si>
  <si>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</si>
  <si>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</si>
  <si>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</si>
  <si>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</si>
  <si>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</si>
  <si>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</si>
  <si>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</si>
  <si>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</si>
  <si>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</si>
  <si>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</si>
  <si>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</si>
  <si>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</si>
  <si>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</si>
  <si>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</si>
  <si>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</si>
  <si>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</si>
  <si>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</si>
  <si>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</si>
  <si>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</si>
  <si>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</si>
  <si>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</si>
  <si>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</si>
  <si>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</si>
  <si>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</si>
  <si>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</si>
  <si>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</si>
  <si>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</si>
  <si>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</si>
  <si>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</si>
  <si>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</si>
  <si>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</si>
  <si>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</si>
  <si>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</si>
  <si>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</si>
  <si>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</si>
  <si>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</si>
  <si>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</si>
  <si>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</si>
  <si>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</si>
  <si>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</si>
  <si>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</si>
  <si>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</si>
  <si>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</si>
  <si>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</si>
  <si>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</si>
  <si>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</si>
  <si>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</si>
  <si>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</si>
  <si>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</si>
  <si>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</si>
  <si>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</si>
  <si>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</si>
  <si>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</si>
  <si>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</si>
  <si>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</si>
  <si>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</si>
  <si>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</si>
  <si>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</si>
  <si>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</si>
  <si>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</si>
  <si>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</si>
  <si>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</si>
  <si>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</si>
  <si>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</si>
  <si>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</si>
  <si>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</si>
  <si>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</si>
  <si>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</si>
  <si>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</si>
  <si>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</si>
  <si>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</si>
  <si>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</si>
  <si>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</si>
  <si>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</si>
  <si>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</si>
  <si>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</si>
  <si>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</si>
  <si>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</si>
  <si>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</si>
  <si>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</si>
  <si>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</si>
  <si>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</si>
  <si>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</si>
  <si>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</si>
  <si>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</si>
  <si>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</si>
  <si>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</si>
  <si>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</si>
  <si>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</si>
  <si>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</si>
  <si>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</si>
  <si>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</si>
  <si>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</si>
  <si>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</si>
  <si>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</si>
  <si>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</si>
  <si>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</si>
  <si>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</si>
  <si>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</si>
  <si>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</si>
  <si>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</si>
  <si>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</si>
  <si>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</si>
  <si>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</si>
  <si>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</si>
  <si>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</si>
  <si>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</si>
  <si>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</si>
  <si>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</si>
  <si>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</si>
  <si>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</si>
  <si>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</si>
  <si>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</si>
  <si>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</si>
  <si>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</si>
  <si>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</si>
  <si>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</si>
  <si>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</si>
  <si>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</si>
  <si>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</si>
  <si>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</si>
  <si>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</si>
  <si>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</si>
  <si>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</si>
  <si>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</si>
  <si>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</si>
  <si>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</si>
  <si>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</si>
  <si>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</si>
  <si>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</si>
  <si>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</si>
  <si>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</si>
  <si>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</si>
  <si>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</si>
  <si>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</si>
  <si>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</si>
  <si>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</si>
  <si>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</si>
  <si>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</si>
  <si>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</si>
  <si>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</si>
  <si>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</si>
  <si>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</si>
  <si>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</si>
  <si>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</si>
  <si>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</si>
  <si>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</si>
  <si>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</si>
  <si>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</si>
  <si>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</si>
  <si>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</si>
  <si>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</si>
  <si>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</si>
  <si>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</si>
  <si>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</si>
  <si>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</si>
  <si>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</si>
  <si>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</si>
  <si>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</si>
  <si>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</si>
  <si>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</si>
  <si>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</si>
  <si>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</si>
  <si>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</si>
  <si>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</si>
  <si>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</si>
  <si>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</si>
  <si>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</si>
  <si>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</si>
  <si>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</si>
  <si>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</si>
  <si>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</si>
  <si>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</si>
  <si>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</si>
  <si>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</si>
  <si>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</si>
  <si>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</si>
  <si>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</si>
  <si>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</si>
  <si>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</si>
  <si>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</si>
  <si>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</si>
  <si>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</si>
  <si>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</si>
  <si>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</si>
  <si>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</si>
  <si>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</si>
  <si>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</si>
  <si>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</si>
  <si>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</si>
  <si>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</si>
  <si>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</si>
  <si>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</si>
  <si>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</si>
  <si>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</si>
  <si>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</si>
  <si>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</si>
  <si>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</si>
  <si>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</si>
  <si>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</si>
  <si>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</si>
  <si>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</si>
  <si>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</si>
  <si>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</si>
  <si>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</si>
  <si>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</si>
  <si>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</si>
  <si>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</si>
  <si>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</si>
  <si>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</si>
  <si>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</si>
  <si>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</si>
  <si>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</si>
  <si>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</si>
  <si>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</si>
  <si>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</si>
  <si>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</si>
  <si>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</si>
  <si>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</si>
  <si>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</si>
  <si>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</si>
  <si>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</si>
  <si>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</si>
  <si>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</si>
  <si>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</si>
  <si>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</si>
  <si>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</si>
  <si>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</si>
  <si>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</si>
  <si>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</si>
  <si>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</si>
  <si>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</si>
  <si>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</si>
  <si>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</si>
  <si>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</si>
  <si>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</si>
  <si>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</si>
  <si>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</si>
  <si>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</si>
  <si>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</si>
  <si>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</si>
  <si>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</si>
  <si>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</si>
  <si>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</si>
  <si>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</si>
  <si>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</si>
  <si>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</si>
  <si>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</si>
  <si>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</si>
  <si>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</si>
  <si>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</si>
  <si>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</si>
  <si>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</si>
  <si>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</si>
  <si>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</si>
  <si>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</si>
  <si>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</si>
  <si>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</si>
  <si>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</si>
  <si>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</si>
  <si>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</si>
  <si>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</si>
  <si>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</si>
  <si>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</si>
  <si>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</si>
  <si>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</si>
  <si>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</si>
  <si>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</si>
  <si>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</si>
  <si>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</si>
  <si>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</si>
  <si>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</si>
  <si>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</si>
  <si>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</si>
  <si>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</si>
  <si>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</si>
  <si>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</si>
  <si>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</si>
  <si>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</si>
  <si>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</si>
  <si>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</si>
  <si>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</si>
  <si>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</si>
  <si>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</si>
  <si>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</si>
  <si>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</si>
  <si>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</si>
  <si>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</si>
  <si>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</si>
  <si>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</si>
  <si>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</si>
  <si>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</si>
  <si>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</si>
  <si>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</si>
  <si>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</si>
  <si>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</si>
  <si>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</si>
  <si>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</si>
  <si>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</si>
  <si>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</si>
  <si>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</si>
  <si>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</si>
  <si>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</si>
  <si>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</si>
  <si>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</si>
  <si>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</si>
  <si>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</si>
  <si>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</si>
  <si>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</si>
  <si>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</si>
  <si>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</si>
  <si>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</si>
  <si>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</si>
  <si>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</si>
  <si>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</si>
  <si>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</si>
  <si>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</si>
  <si>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</si>
  <si>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</si>
  <si>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</si>
  <si>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</si>
  <si>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</si>
  <si>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</si>
  <si>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</si>
  <si>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</si>
  <si>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</si>
  <si>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</si>
  <si>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</si>
  <si>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</si>
  <si>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</si>
  <si>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</si>
  <si>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</si>
  <si>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</si>
  <si>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</si>
  <si>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</si>
  <si>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</si>
  <si>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</si>
  <si>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</si>
  <si>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</si>
  <si>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</si>
  <si>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</si>
  <si>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</si>
  <si>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</si>
  <si>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</si>
  <si>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</si>
  <si>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</si>
  <si>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</si>
  <si>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</si>
  <si>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</si>
  <si>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</si>
  <si>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</si>
  <si>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</si>
  <si>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</si>
  <si>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</si>
  <si>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</si>
  <si>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</si>
  <si>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</si>
  <si>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</si>
  <si>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</si>
  <si>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</si>
  <si>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</si>
  <si>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</si>
  <si>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</si>
  <si>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</si>
  <si>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</si>
  <si>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</si>
  <si>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</si>
  <si>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</si>
  <si>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</si>
  <si>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</si>
  <si>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</si>
  <si>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</si>
  <si>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</si>
  <si>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</si>
  <si>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</si>
  <si>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</si>
  <si>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</si>
  <si>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</si>
  <si>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</si>
  <si>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</si>
  <si>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</si>
  <si>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</si>
  <si>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</si>
  <si>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</si>
  <si>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</si>
  <si>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</si>
  <si>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</si>
  <si>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</si>
  <si>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</si>
  <si>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</si>
  <si>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</si>
  <si>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</si>
  <si>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</si>
  <si>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</si>
  <si>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</si>
  <si>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</si>
  <si>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</si>
  <si>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</si>
  <si>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</si>
  <si>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</si>
  <si>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</si>
  <si>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</si>
  <si>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</si>
  <si>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</si>
  <si>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</si>
  <si>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</si>
  <si>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</si>
  <si>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</si>
  <si>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</si>
  <si>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</si>
  <si>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</si>
  <si>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</si>
  <si>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</si>
  <si>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</si>
  <si>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</si>
  <si>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</si>
  <si>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</si>
  <si>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</si>
  <si>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</si>
  <si>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</si>
  <si>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</si>
  <si>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</si>
  <si>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</si>
  <si>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</si>
  <si>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</si>
  <si>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</si>
  <si>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</si>
  <si>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</si>
  <si>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</si>
  <si>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</si>
  <si>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</si>
  <si>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</si>
  <si>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</si>
  <si>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</si>
  <si>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</si>
  <si>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</si>
  <si>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</si>
  <si>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</si>
  <si>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</si>
  <si>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</si>
  <si>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</si>
  <si>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</si>
  <si>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</si>
  <si>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</si>
  <si>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</si>
  <si>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</si>
  <si>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</si>
  <si>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</si>
  <si>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</si>
  <si>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</si>
  <si>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</si>
  <si>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</si>
  <si>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</si>
  <si>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</si>
  <si>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</si>
  <si>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</si>
  <si>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</si>
  <si>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</si>
  <si>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</si>
  <si>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</si>
  <si>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</si>
  <si>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</si>
  <si>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</si>
  <si>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</si>
  <si>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</si>
  <si>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</si>
  <si>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</si>
  <si>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</si>
  <si>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</si>
  <si>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</si>
  <si>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</si>
  <si>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</si>
  <si>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</si>
  <si>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</si>
  <si>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</si>
  <si>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</si>
  <si>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</si>
  <si>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</si>
  <si>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</si>
  <si>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</si>
  <si>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</si>
  <si>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</si>
  <si>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</si>
  <si>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</si>
  <si>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</si>
  <si>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</si>
  <si>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</si>
  <si>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</si>
  <si>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</si>
  <si>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</si>
  <si>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</si>
  <si>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</si>
  <si>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</si>
  <si>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</si>
  <si>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</si>
  <si>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</si>
  <si>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</si>
  <si>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</si>
  <si>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</si>
  <si>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</si>
  <si>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</si>
  <si>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</si>
  <si>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</si>
  <si>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</si>
  <si>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</si>
  <si>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</si>
  <si>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</si>
  <si>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</si>
  <si>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</si>
  <si>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</si>
  <si>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</si>
  <si>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</si>
  <si>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</si>
  <si>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</si>
  <si>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</si>
  <si>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</si>
  <si>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</si>
  <si>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</si>
  <si>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</si>
  <si>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</si>
  <si>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</si>
  <si>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</si>
  <si>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</si>
  <si>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</si>
  <si>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</si>
  <si>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</si>
  <si>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</si>
  <si>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</si>
  <si>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</si>
  <si>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</si>
  <si>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</si>
  <si>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</si>
  <si>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</si>
  <si>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</si>
  <si>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</si>
  <si>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</si>
  <si>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</si>
  <si>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</si>
  <si>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</si>
  <si>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</si>
  <si>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</si>
  <si>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</si>
  <si>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</si>
  <si>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</si>
  <si>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</si>
  <si>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</si>
  <si>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</si>
  <si>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</si>
  <si>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</si>
  <si>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</si>
  <si>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</si>
  <si>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</si>
  <si>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</si>
  <si>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</si>
  <si>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</si>
  <si>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</si>
  <si>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</si>
  <si>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</si>
  <si>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</si>
  <si>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</si>
  <si>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</si>
  <si>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</si>
  <si>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</si>
  <si>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</si>
  <si>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</si>
  <si>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</si>
  <si>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</si>
  <si>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</si>
  <si>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</si>
  <si>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</si>
  <si>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</si>
  <si>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</si>
  <si>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</si>
  <si>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</si>
  <si>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</si>
  <si>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</si>
  <si>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</si>
  <si>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</si>
  <si>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</si>
  <si>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</si>
  <si>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</si>
  <si>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</si>
  <si>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</si>
  <si>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</si>
  <si>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</si>
  <si>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</si>
  <si>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</si>
  <si>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</si>
  <si>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</si>
  <si>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</si>
  <si>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</si>
  <si>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</si>
  <si>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</si>
  <si>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</si>
  <si>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</si>
  <si>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</si>
  <si>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</si>
  <si>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</si>
  <si>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</si>
  <si>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</si>
  <si>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</si>
  <si>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</si>
  <si>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</si>
  <si>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</si>
  <si>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</si>
  <si>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</si>
  <si>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</si>
  <si>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</si>
  <si>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</si>
  <si>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</si>
  <si>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</si>
  <si>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</si>
  <si>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</si>
  <si>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</si>
  <si>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</si>
  <si>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</si>
  <si>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</si>
  <si>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</si>
  <si>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</si>
  <si>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</si>
  <si>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</si>
  <si>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</si>
  <si>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</si>
  <si>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</si>
  <si>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</si>
  <si>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</si>
  <si>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</si>
  <si>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</si>
  <si>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</si>
  <si>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</si>
  <si>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</si>
  <si>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</si>
  <si>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</si>
  <si>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</si>
  <si>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</si>
  <si>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</si>
  <si>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</si>
  <si>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</si>
  <si>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</si>
  <si>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</si>
  <si>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</si>
  <si>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</si>
  <si>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</si>
  <si>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</si>
  <si>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</si>
  <si>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</si>
  <si>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</si>
  <si>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</si>
  <si>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</si>
  <si>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</si>
  <si>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</si>
  <si>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</si>
  <si>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</si>
  <si>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</si>
  <si>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</si>
  <si>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</si>
  <si>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</si>
  <si>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</si>
  <si>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</si>
  <si>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</si>
  <si>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</si>
  <si>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</si>
  <si>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</si>
  <si>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</si>
  <si>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</si>
  <si>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</si>
  <si>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</si>
  <si>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</si>
  <si>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</si>
  <si>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</si>
  <si>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</si>
  <si>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</si>
  <si>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</si>
  <si>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</si>
  <si>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</si>
  <si>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</si>
  <si>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</si>
  <si>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</si>
  <si>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</si>
  <si>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</si>
  <si>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</si>
  <si>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</si>
  <si>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</si>
  <si>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</si>
  <si>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</si>
  <si>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</si>
  <si>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</si>
  <si>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</si>
  <si>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</si>
  <si>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</si>
  <si>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</si>
  <si>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</si>
  <si>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</si>
  <si>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</si>
  <si>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</si>
  <si>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</si>
  <si>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</si>
  <si>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</si>
  <si>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</si>
  <si>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</si>
  <si>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</si>
  <si>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</si>
  <si>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</si>
  <si>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</si>
  <si>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</si>
  <si>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</si>
  <si>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</si>
  <si>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</si>
  <si>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</si>
  <si>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</si>
  <si>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</si>
  <si>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</si>
  <si>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</si>
  <si>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</si>
  <si>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</si>
  <si>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</si>
  <si>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</si>
  <si>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</si>
  <si>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</si>
  <si>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</si>
  <si>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</si>
  <si>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</si>
  <si>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</si>
  <si>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</si>
  <si>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</si>
  <si>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</si>
  <si>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</si>
  <si>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</si>
  <si>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</si>
  <si>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</si>
  <si>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</si>
  <si>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</si>
  <si>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</si>
  <si>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</si>
  <si>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</si>
  <si>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</si>
  <si>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</si>
  <si>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</si>
  <si>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</si>
  <si>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</si>
  <si>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</si>
  <si>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</si>
  <si>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</si>
  <si>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</si>
  <si>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</si>
  <si>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</si>
  <si>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</si>
  <si>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</si>
  <si>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</si>
  <si>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</si>
  <si>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</si>
  <si>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</si>
  <si>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</si>
  <si>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</si>
  <si>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</si>
  <si>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</si>
  <si>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</si>
  <si>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</si>
  <si>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</si>
  <si>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</si>
  <si>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</si>
  <si>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</si>
  <si>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</si>
  <si>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</si>
  <si>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</si>
  <si>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</si>
  <si>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</si>
  <si>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</si>
  <si>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</si>
  <si>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</si>
  <si>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</si>
  <si>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</si>
  <si>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</si>
  <si>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</si>
  <si>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</si>
  <si>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</si>
  <si>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</si>
  <si>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</si>
  <si>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</si>
  <si>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</si>
  <si>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</si>
  <si>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</si>
  <si>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</si>
  <si>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</si>
  <si>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</si>
  <si>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</si>
  <si>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</si>
  <si>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</si>
  <si>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</si>
  <si>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</si>
  <si>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</si>
  <si>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</si>
  <si>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</si>
  <si>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</si>
  <si>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</si>
  <si>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</si>
  <si>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</si>
  <si>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</si>
  <si>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</si>
  <si>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</si>
  <si>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</si>
  <si>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</si>
  <si>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</si>
  <si>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</si>
  <si>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</si>
  <si>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</si>
  <si>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</si>
  <si>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</si>
  <si>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</si>
  <si>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</si>
  <si>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</si>
  <si>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</si>
  <si>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</si>
  <si>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</si>
  <si>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</si>
  <si>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</si>
  <si>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</si>
  <si>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</si>
  <si>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</si>
  <si>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</si>
  <si>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</si>
  <si>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</si>
  <si>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</si>
  <si>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</si>
  <si>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</si>
  <si>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</si>
  <si>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</si>
  <si>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</si>
  <si>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</si>
  <si>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</si>
  <si>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</si>
  <si>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</si>
  <si>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</si>
  <si>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</si>
  <si>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</si>
  <si>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</si>
  <si>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</si>
  <si>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</si>
  <si>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</si>
  <si>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</si>
  <si>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</si>
  <si>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</si>
  <si>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</si>
  <si>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</si>
  <si>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</si>
  <si>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</si>
  <si>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</si>
  <si>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</si>
  <si>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</si>
  <si>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</si>
  <si>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</si>
  <si>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</si>
  <si>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</si>
  <si>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</si>
  <si>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</si>
  <si>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</si>
  <si>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</si>
  <si>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</si>
  <si>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</si>
  <si>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</si>
  <si>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</si>
  <si>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</si>
  <si>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</si>
  <si>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</si>
  <si>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</si>
  <si>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</si>
  <si>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</si>
  <si>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</si>
  <si>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</si>
  <si>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</si>
  <si>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</si>
  <si>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</si>
  <si>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</si>
  <si>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</si>
  <si>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</si>
  <si>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</si>
  <si>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</si>
  <si>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</si>
  <si>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</si>
  <si>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</si>
  <si>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</si>
  <si>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</si>
  <si>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</si>
  <si>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</si>
  <si>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</si>
  <si>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</si>
  <si>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</si>
  <si>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</si>
  <si>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</si>
  <si>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</si>
  <si>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</si>
  <si>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</si>
  <si>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</si>
  <si>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</si>
  <si>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</si>
  <si>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</si>
  <si>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</si>
  <si>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</si>
  <si>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</si>
  <si>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</si>
  <si>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</si>
  <si>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</si>
  <si>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</si>
  <si>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</si>
  <si>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</si>
  <si>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</si>
  <si>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</si>
  <si>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</si>
  <si>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</si>
  <si>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</si>
  <si>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</si>
  <si>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</si>
  <si>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</si>
  <si>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</si>
  <si>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</si>
  <si>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</si>
  <si>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</si>
  <si>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</si>
  <si>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</si>
  <si>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</si>
  <si>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</si>
  <si>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</si>
  <si>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</si>
  <si>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</si>
  <si>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</si>
  <si>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</si>
  <si>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</si>
  <si>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</si>
  <si>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</si>
  <si>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</si>
  <si>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</si>
  <si>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</si>
  <si>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</si>
  <si>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</si>
  <si>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</si>
  <si>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</si>
  <si>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</si>
  <si>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</si>
  <si>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</si>
  <si>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</si>
  <si>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</si>
  <si>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</si>
  <si>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</si>
  <si>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</si>
  <si>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</si>
  <si>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</si>
  <si>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</si>
  <si>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</si>
  <si>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</si>
  <si>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</si>
  <si>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</si>
  <si>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</si>
  <si>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</si>
  <si>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</si>
  <si>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</si>
  <si>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</si>
  <si>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</si>
  <si>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</si>
  <si>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</si>
  <si>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</si>
  <si>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</si>
  <si>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</si>
  <si>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</si>
  <si>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</si>
  <si>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</si>
  <si>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</si>
  <si>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</si>
  <si>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</si>
  <si>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</si>
  <si>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</si>
  <si>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</si>
  <si>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</si>
  <si>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</si>
  <si>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</si>
  <si>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</si>
  <si>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</si>
  <si>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</si>
  <si>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</si>
  <si>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</si>
  <si>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</si>
  <si>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</si>
  <si>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</si>
  <si>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</si>
  <si>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</si>
  <si>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</si>
  <si>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</si>
  <si>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</si>
  <si>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</si>
  <si>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</si>
  <si>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</si>
  <si>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</si>
  <si>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</si>
  <si>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</si>
  <si>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</si>
  <si>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</si>
  <si>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</si>
  <si>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</si>
  <si>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</si>
  <si>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</si>
  <si>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</si>
  <si>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</si>
  <si>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</si>
  <si>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</si>
  <si>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</si>
  <si>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</si>
  <si>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</si>
  <si>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</si>
  <si>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</si>
  <si>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</si>
  <si>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</si>
  <si>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</si>
  <si>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</si>
  <si>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</si>
  <si>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</si>
  <si>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</si>
  <si>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</si>
  <si>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</si>
  <si>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</si>
  <si>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</si>
  <si>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</si>
  <si>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</si>
  <si>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</si>
  <si>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</si>
  <si>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</si>
  <si>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</si>
  <si>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</si>
  <si>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</si>
  <si>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</si>
  <si>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</si>
  <si>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</si>
  <si>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</si>
  <si>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</si>
  <si>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</si>
  <si>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</si>
  <si>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</si>
  <si>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</si>
  <si>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</si>
  <si>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</si>
  <si>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</si>
  <si>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</si>
  <si>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</si>
  <si>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</si>
  <si>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</si>
  <si>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</si>
  <si>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</si>
  <si>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</si>
  <si>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</si>
  <si>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</si>
  <si>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</si>
  <si>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</si>
  <si>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</si>
  <si>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</si>
  <si>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</si>
  <si>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</si>
  <si>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</si>
  <si>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</si>
  <si>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</si>
  <si>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</si>
  <si>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</si>
  <si>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</si>
  <si>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</si>
  <si>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</si>
  <si>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</si>
  <si>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</si>
  <si>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</si>
  <si>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</si>
  <si>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</si>
  <si>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</si>
  <si>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</si>
  <si>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</si>
  <si>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</si>
  <si>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</si>
  <si>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</si>
  <si>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</si>
  <si>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</si>
  <si>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</si>
  <si>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</si>
  <si>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</si>
  <si>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</si>
  <si>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</si>
  <si>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</si>
  <si>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</si>
  <si>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</si>
  <si>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</si>
  <si>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</si>
  <si>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</si>
  <si>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</si>
  <si>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</si>
  <si>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</si>
  <si>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</si>
  <si>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</si>
  <si>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</si>
  <si>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</si>
  <si>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</si>
  <si>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</si>
  <si>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</si>
  <si>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</si>
  <si>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</si>
  <si>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</si>
  <si>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</si>
  <si>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</si>
  <si>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</si>
  <si>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</si>
  <si>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</si>
  <si>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</si>
  <si>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</si>
  <si>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</si>
  <si>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</si>
  <si>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</si>
  <si>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</si>
  <si>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</si>
  <si>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</si>
  <si>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</si>
  <si>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</si>
  <si>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</si>
  <si>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</si>
  <si>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</si>
  <si>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</si>
  <si>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</si>
  <si>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</si>
  <si>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</si>
  <si>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</si>
  <si>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</si>
  <si>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</si>
  <si>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</si>
  <si>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</si>
  <si>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</si>
  <si>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</si>
  <si>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</si>
  <si>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</si>
  <si>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</si>
  <si>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</si>
  <si>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</si>
  <si>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</si>
  <si>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</si>
  <si>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</si>
  <si>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</si>
  <si>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</si>
  <si>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</si>
  <si>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</si>
  <si>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</si>
  <si>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</si>
  <si>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</si>
  <si>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</si>
  <si>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</si>
  <si>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</si>
  <si>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</si>
  <si>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</si>
  <si>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</si>
  <si>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</si>
  <si>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</si>
  <si>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</si>
  <si>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</si>
  <si>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</si>
  <si>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</si>
  <si>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</si>
  <si>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</si>
  <si>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</si>
  <si>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</si>
  <si>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</si>
  <si>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</si>
  <si>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</si>
  <si>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</si>
  <si>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</si>
  <si>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</si>
  <si>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</si>
  <si>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</si>
  <si>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</si>
  <si>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</si>
  <si>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</si>
  <si>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</si>
  <si>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</si>
  <si>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</si>
  <si>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</si>
  <si>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</si>
  <si>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</si>
  <si>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</si>
  <si>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</si>
  <si>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</si>
  <si>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</si>
  <si>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</si>
  <si>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</si>
  <si>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</si>
  <si>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</si>
  <si>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</si>
  <si>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</si>
  <si>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</si>
  <si>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</si>
  <si>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</si>
  <si>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</si>
  <si>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</si>
  <si>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</si>
  <si>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</si>
  <si>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</si>
  <si>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</si>
  <si>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</si>
  <si>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</si>
  <si>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</si>
  <si>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</si>
  <si>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</si>
  <si>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</si>
  <si>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</si>
  <si>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</si>
  <si>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</si>
  <si>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</si>
  <si>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</si>
  <si>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</si>
  <si>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</si>
  <si>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</si>
  <si>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</si>
  <si>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</si>
  <si>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</si>
  <si>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</si>
  <si>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</si>
  <si>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</si>
  <si>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</si>
  <si>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</si>
  <si>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</si>
  <si>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</si>
  <si>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</si>
  <si>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</si>
  <si>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</si>
  <si>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</si>
  <si>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</si>
  <si>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</si>
  <si>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</si>
  <si>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</si>
  <si>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</si>
  <si>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</si>
  <si>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</si>
  <si>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</si>
  <si>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</si>
  <si>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</si>
  <si>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</si>
  <si>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</si>
  <si>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</si>
  <si>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</si>
  <si>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</si>
  <si>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</si>
  <si>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</si>
  <si>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</si>
  <si>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</si>
  <si>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</si>
  <si>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</si>
  <si>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</si>
  <si>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</si>
  <si>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</si>
  <si>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</si>
  <si>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</si>
  <si>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</si>
  <si>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</si>
  <si>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</si>
  <si>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</si>
  <si>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</si>
  <si>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</si>
  <si>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</si>
  <si>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</si>
  <si>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</si>
  <si>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</si>
  <si>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</si>
  <si>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</si>
  <si>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</si>
  <si>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</si>
  <si>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</si>
  <si>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</si>
  <si>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</si>
  <si>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</si>
  <si>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</si>
  <si>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</si>
  <si>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</si>
  <si>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</si>
  <si>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</si>
  <si>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</si>
  <si>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</si>
  <si>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</si>
  <si>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</si>
  <si>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</si>
  <si>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</si>
  <si>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</si>
  <si>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</si>
  <si>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</si>
  <si>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</si>
  <si>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</si>
  <si>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</si>
  <si>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</si>
  <si>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</si>
  <si>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</si>
  <si>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</si>
  <si>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</si>
  <si>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</si>
  <si>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</si>
  <si>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</si>
  <si>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</si>
  <si>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</si>
  <si>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</si>
  <si>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</si>
  <si>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</si>
  <si>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</si>
  <si>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</si>
  <si>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</si>
  <si>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</si>
  <si>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</si>
  <si>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</si>
  <si>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</si>
  <si>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</si>
  <si>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</si>
  <si>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</si>
  <si>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</si>
  <si>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</si>
  <si>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</si>
  <si>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</si>
  <si>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</si>
  <si>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</si>
  <si>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</si>
  <si>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</si>
  <si>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</si>
  <si>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</si>
  <si>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</si>
  <si>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</si>
  <si>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</si>
  <si>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</si>
  <si>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</si>
  <si>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</si>
  <si>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</si>
  <si>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</si>
  <si>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</si>
  <si>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</si>
  <si>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</si>
  <si>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</si>
  <si>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</si>
  <si>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</si>
  <si>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</si>
  <si>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</si>
  <si>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</si>
  <si>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</si>
  <si>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</si>
  <si>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</si>
  <si>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</si>
  <si>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</si>
  <si>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</si>
  <si>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</si>
  <si>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</si>
  <si>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</si>
  <si>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</si>
  <si>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</si>
  <si>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</si>
  <si>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</si>
  <si>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</si>
  <si>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</si>
  <si>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</si>
  <si>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</si>
  <si>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</si>
  <si>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</si>
  <si>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</si>
  <si>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</si>
  <si>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</si>
  <si>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</si>
  <si>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</si>
  <si>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</si>
  <si>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</si>
  <si>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</si>
  <si>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</si>
  <si>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</si>
  <si>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</si>
  <si>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</si>
  <si>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</si>
  <si>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</si>
  <si>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</si>
  <si>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</si>
  <si>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</si>
  <si>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</si>
  <si>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</si>
  <si>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</si>
  <si>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</si>
  <si>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</si>
  <si>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</si>
  <si>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</si>
  <si>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</si>
  <si>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</si>
  <si>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</si>
  <si>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</si>
  <si>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</si>
  <si>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</si>
  <si>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</si>
  <si>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</si>
  <si>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</si>
  <si>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</si>
  <si>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</si>
  <si>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</si>
  <si>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</si>
  <si>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</si>
  <si>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</si>
  <si>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</si>
  <si>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</si>
  <si>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</si>
  <si>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</si>
  <si>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</si>
  <si>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</si>
  <si>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</si>
  <si>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</si>
  <si>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</si>
  <si>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</si>
  <si>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</si>
  <si>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</si>
  <si>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</si>
  <si>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</si>
  <si>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</si>
  <si>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</si>
  <si>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</si>
  <si>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</si>
  <si>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</si>
  <si>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</si>
  <si>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</si>
  <si>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</si>
  <si>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</si>
  <si>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</si>
  <si>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</si>
  <si>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</si>
  <si>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</si>
  <si>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</si>
  <si>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</si>
  <si>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</si>
  <si>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</si>
  <si>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</si>
  <si>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</si>
  <si>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</si>
  <si>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</si>
  <si>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</si>
  <si>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</si>
  <si>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</si>
  <si>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</si>
  <si>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</si>
  <si>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</si>
  <si>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</si>
  <si>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</si>
  <si>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</si>
  <si>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</si>
  <si>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</si>
  <si>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</si>
  <si>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</si>
  <si>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</si>
  <si>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</si>
  <si>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</si>
  <si>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</si>
  <si>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</si>
  <si>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</si>
  <si>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</si>
  <si>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</si>
  <si>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</si>
  <si>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</si>
  <si>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</si>
  <si>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</si>
  <si>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</si>
  <si>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</si>
  <si>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</si>
  <si>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</si>
  <si>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</si>
  <si>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</si>
  <si>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</si>
  <si>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</si>
  <si>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</si>
  <si>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</si>
  <si>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</si>
  <si>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</si>
  <si>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</si>
  <si>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</si>
  <si>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</si>
  <si>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</si>
  <si>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</si>
  <si>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</si>
  <si>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</si>
  <si>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</si>
  <si>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</si>
  <si>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</si>
  <si>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</si>
  <si>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</si>
  <si>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</si>
  <si>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</si>
  <si>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</si>
  <si>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</si>
  <si>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</si>
  <si>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</si>
  <si>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</si>
  <si>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</si>
  <si>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</si>
  <si>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</si>
  <si>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</si>
  <si>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</si>
  <si>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</si>
  <si>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</si>
  <si>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</si>
  <si>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</si>
  <si>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</si>
  <si>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</si>
  <si>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</si>
  <si>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</si>
  <si>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</si>
  <si>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</si>
  <si>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</si>
  <si>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</si>
  <si>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</si>
  <si>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</si>
  <si>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</si>
  <si>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</si>
  <si>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</si>
  <si>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</si>
  <si>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</si>
  <si>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</si>
  <si>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</si>
  <si>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</si>
  <si>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</si>
  <si>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</si>
  <si>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</si>
  <si>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</si>
  <si>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</si>
  <si>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</si>
  <si>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</si>
  <si>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</si>
  <si>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</si>
  <si>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</si>
  <si>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</si>
  <si>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</si>
  <si>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</si>
  <si>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</si>
  <si>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</si>
  <si>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</si>
  <si>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</si>
  <si>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</si>
  <si>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</si>
  <si>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</si>
  <si>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</si>
  <si>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</si>
  <si>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</si>
  <si>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</si>
  <si>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</si>
  <si>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</si>
  <si>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</si>
  <si>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</si>
  <si>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</si>
  <si>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</si>
  <si>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</si>
  <si>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</si>
  <si>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</si>
  <si>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</si>
  <si>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</si>
  <si>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</si>
  <si>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</si>
  <si>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</si>
  <si>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</si>
  <si>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</si>
  <si>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</si>
  <si>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</si>
  <si>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</si>
  <si>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</si>
  <si>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</si>
  <si>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</si>
  <si>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</si>
  <si>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</si>
  <si>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</si>
  <si>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</si>
  <si>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</si>
  <si>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</si>
  <si>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</si>
  <si>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</si>
  <si>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</si>
  <si>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</si>
  <si>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</si>
  <si>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</si>
  <si>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</si>
  <si>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</si>
  <si>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</si>
  <si>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</si>
  <si>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</si>
  <si>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</si>
  <si>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</si>
  <si>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</si>
  <si>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</si>
  <si>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</si>
  <si>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</si>
  <si>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</si>
  <si>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</si>
  <si>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</si>
  <si>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</si>
  <si>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</si>
  <si>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</si>
  <si>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</si>
  <si>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</si>
  <si>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</si>
  <si>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</si>
  <si>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</si>
  <si>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</si>
  <si>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</si>
  <si>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</si>
  <si>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</si>
  <si>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</si>
  <si>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</si>
  <si>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</si>
  <si>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</si>
  <si>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</si>
  <si>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</si>
  <si>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</si>
  <si>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</si>
  <si>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</si>
  <si>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</si>
  <si>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</si>
  <si>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</si>
  <si>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</si>
  <si>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</si>
  <si>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</si>
  <si>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</si>
  <si>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</si>
  <si>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</si>
  <si>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</si>
  <si>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</si>
  <si>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</si>
  <si>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</si>
  <si>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</si>
  <si>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</si>
  <si>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</si>
  <si>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</si>
  <si>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</si>
  <si>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</si>
  <si>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</si>
  <si>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</si>
  <si>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</si>
  <si>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</si>
  <si>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</si>
  <si>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</si>
  <si>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</si>
  <si>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</si>
  <si>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</si>
  <si>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</si>
  <si>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</si>
  <si>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</si>
  <si>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</si>
  <si>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</si>
  <si>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</si>
  <si>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</si>
  <si>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</si>
  <si>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</si>
  <si>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</si>
  <si>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</si>
  <si>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</si>
  <si>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</si>
  <si>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</si>
  <si>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</si>
  <si>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</si>
  <si>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</si>
  <si>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</si>
  <si>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</si>
  <si>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</si>
  <si>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</si>
  <si>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</si>
  <si>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</si>
  <si>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</si>
  <si>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</si>
  <si>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</si>
  <si>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</si>
  <si>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</si>
  <si>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</si>
  <si>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</si>
  <si>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</si>
  <si>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</si>
  <si>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</si>
  <si>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</si>
  <si>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</si>
  <si>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</si>
  <si>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</si>
  <si>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</si>
  <si>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</si>
  <si>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</si>
  <si>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</si>
  <si>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</si>
  <si>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</si>
  <si>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</si>
  <si>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</si>
  <si>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</si>
  <si>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</si>
  <si>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</si>
  <si>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</si>
  <si>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</si>
  <si>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</si>
  <si>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</si>
  <si>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</si>
  <si>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</si>
  <si>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</si>
  <si>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</si>
  <si>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</si>
  <si>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</si>
  <si>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</si>
  <si>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</si>
  <si>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</si>
  <si>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</si>
  <si>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</si>
  <si>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</si>
  <si>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</si>
  <si>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</si>
  <si>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</si>
  <si>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</si>
  <si>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</si>
  <si>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</si>
  <si>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</si>
  <si>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</si>
  <si>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</si>
  <si>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</si>
  <si>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</si>
  <si>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</si>
  <si>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</si>
  <si>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</si>
  <si>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</si>
  <si>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</si>
  <si>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</si>
  <si>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</si>
  <si>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</si>
  <si>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</si>
  <si>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</si>
  <si>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</si>
  <si>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</si>
  <si>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</si>
  <si>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</si>
  <si>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</si>
  <si>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</si>
  <si>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</si>
  <si>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</si>
  <si>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</si>
  <si>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</si>
  <si>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</si>
  <si>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</si>
  <si>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</si>
  <si>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</si>
  <si>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</si>
  <si>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</si>
  <si>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</si>
  <si>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</si>
  <si>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</si>
  <si>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</si>
  <si>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</si>
  <si>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</si>
  <si>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</si>
  <si>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</si>
  <si>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</si>
  <si>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</si>
  <si>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</si>
  <si>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</si>
  <si>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</si>
  <si>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</si>
  <si>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</si>
  <si>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</si>
  <si>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</si>
  <si>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</si>
  <si>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</si>
  <si>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</si>
  <si>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</si>
  <si>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</si>
  <si>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</si>
  <si>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</si>
  <si>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</si>
  <si>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</si>
  <si>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</si>
  <si>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</si>
  <si>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</si>
  <si>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</si>
  <si>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</si>
  <si>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</si>
  <si>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</si>
  <si>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</si>
  <si>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</si>
  <si>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</si>
  <si>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</si>
  <si>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</si>
  <si>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</si>
  <si>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</si>
  <si>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</si>
  <si>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</si>
  <si>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</si>
  <si>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</si>
  <si>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</si>
  <si>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</si>
  <si>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</si>
  <si>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</si>
  <si>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</si>
  <si>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</si>
  <si>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</si>
  <si>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</si>
  <si>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</si>
  <si>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</si>
  <si>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</si>
  <si>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</si>
  <si>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</si>
  <si>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</si>
  <si>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</si>
  <si>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</si>
  <si>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</si>
  <si>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</si>
  <si>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</si>
  <si>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</si>
  <si>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</si>
  <si>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</si>
  <si>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</si>
  <si>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</si>
  <si>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</si>
  <si>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</si>
  <si>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</si>
  <si>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</si>
  <si>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</si>
  <si>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</si>
  <si>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</si>
  <si>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</si>
  <si>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</si>
  <si>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</si>
  <si>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</si>
  <si>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</si>
  <si>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</si>
  <si>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</si>
  <si>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</si>
  <si>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</si>
  <si>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</si>
  <si>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</si>
  <si>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</si>
  <si>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</si>
  <si>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</si>
  <si>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</si>
  <si>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</si>
  <si>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</si>
  <si>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</si>
  <si>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</si>
  <si>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</si>
  <si>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</si>
  <si>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</si>
  <si>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</si>
  <si>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</si>
  <si>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</si>
  <si>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</si>
  <si>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</si>
  <si>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</si>
  <si>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</si>
  <si>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</si>
  <si>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</si>
  <si>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</si>
  <si>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</si>
  <si>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</si>
  <si>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</si>
  <si>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</si>
  <si>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</si>
  <si>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</si>
  <si>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</si>
  <si>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</si>
  <si>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</si>
  <si>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</si>
  <si>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</si>
  <si>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</si>
  <si>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</si>
  <si>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</si>
  <si>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</si>
  <si>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</si>
  <si>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</si>
  <si>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</si>
  <si>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</si>
  <si>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</si>
  <si>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</si>
  <si>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</si>
  <si>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</si>
  <si>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</si>
  <si>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</si>
  <si>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</si>
  <si>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</si>
  <si>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</si>
  <si>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</si>
  <si>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</si>
  <si>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</si>
  <si>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</si>
  <si>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</si>
  <si>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</si>
  <si>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</si>
  <si>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</si>
  <si>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</si>
  <si>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</si>
  <si>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</si>
  <si>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</si>
  <si>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</si>
  <si>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</si>
  <si>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</si>
  <si>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</si>
  <si>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</si>
  <si>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</si>
  <si>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</si>
  <si>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</si>
  <si>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</si>
  <si>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</si>
  <si>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</si>
  <si>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</si>
  <si>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</si>
  <si>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</si>
  <si>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</si>
  <si>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</si>
  <si>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</si>
  <si>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</si>
  <si>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</si>
  <si>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</si>
  <si>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</si>
  <si>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</si>
  <si>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</si>
  <si>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</si>
  <si>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</si>
  <si>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</si>
  <si>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</si>
  <si>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</si>
  <si>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</si>
  <si>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</si>
  <si>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</si>
  <si>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</si>
  <si>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</si>
  <si>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</si>
  <si>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</si>
  <si>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</si>
  <si>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</si>
  <si>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</si>
  <si>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</si>
  <si>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</si>
  <si>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</si>
  <si>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</si>
  <si>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</si>
  <si>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</si>
  <si>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</si>
  <si>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</si>
  <si>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</si>
  <si>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</si>
  <si>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</si>
  <si>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</si>
  <si>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</si>
  <si>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</si>
  <si>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</si>
  <si>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</si>
  <si>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</si>
  <si>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</si>
  <si>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</si>
  <si>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</si>
  <si>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</si>
  <si>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</si>
  <si>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</si>
  <si>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</si>
  <si>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</si>
  <si>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</si>
  <si>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</si>
  <si>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</si>
  <si>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</si>
  <si>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</si>
  <si>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</si>
  <si>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</si>
  <si>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</si>
  <si>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</si>
  <si>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</si>
  <si>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</si>
  <si>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</si>
  <si>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</si>
  <si>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</si>
  <si>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</si>
  <si>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</si>
  <si>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</si>
  <si>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</si>
  <si>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</si>
  <si>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</si>
  <si>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</si>
  <si>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</si>
  <si>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</si>
  <si>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</si>
  <si>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</si>
  <si>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</si>
  <si>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</si>
  <si>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</si>
  <si>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</si>
  <si>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</si>
  <si>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</si>
  <si>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</si>
  <si>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</si>
  <si>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</si>
  <si>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</si>
  <si>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</si>
  <si>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</si>
  <si>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</si>
  <si>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</si>
  <si>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</si>
  <si>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</si>
  <si>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</si>
  <si>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</si>
  <si>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</si>
  <si>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</si>
  <si>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</si>
  <si>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</si>
  <si>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</si>
  <si>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</si>
  <si>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</si>
  <si>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</si>
  <si>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</si>
  <si>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</si>
  <si>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</si>
  <si>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</si>
  <si>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</si>
  <si>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</si>
  <si>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</si>
  <si>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</si>
  <si>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</si>
  <si>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</si>
  <si>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</si>
  <si>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</si>
  <si>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</si>
  <si>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</si>
  <si>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</si>
  <si>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</si>
  <si>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</si>
  <si>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</si>
  <si>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</si>
  <si>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</si>
  <si>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</si>
  <si>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</si>
  <si>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</si>
  <si>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</si>
  <si>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</si>
  <si>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</si>
  <si>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</si>
  <si>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</si>
  <si>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</si>
  <si>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</si>
  <si>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</si>
  <si>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</si>
  <si>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</si>
  <si>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</si>
  <si>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</si>
  <si>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</si>
  <si>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</si>
  <si>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</si>
  <si>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</si>
  <si>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</si>
  <si>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</si>
  <si>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</si>
  <si>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</si>
  <si>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</si>
  <si>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</si>
  <si>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</si>
  <si>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</si>
  <si>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</si>
  <si>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</si>
  <si>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</si>
  <si>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</si>
  <si>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</si>
  <si>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</si>
  <si>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</si>
  <si>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</si>
  <si>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</si>
  <si>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</si>
  <si>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</si>
  <si>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</si>
  <si>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</si>
  <si>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</si>
  <si>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</si>
  <si>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</si>
  <si>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</si>
  <si>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</si>
  <si>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</si>
  <si>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</si>
  <si>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</si>
  <si>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</si>
  <si>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</si>
  <si>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</si>
  <si>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</si>
  <si>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</si>
  <si>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</si>
  <si>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</si>
  <si>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</si>
  <si>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</si>
  <si>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</si>
  <si>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</si>
  <si>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</si>
  <si>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</si>
  <si>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</si>
  <si>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</si>
  <si>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</si>
  <si>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</si>
  <si>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</si>
  <si>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</si>
  <si>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</si>
  <si>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</si>
  <si>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</si>
  <si>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</si>
  <si>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</si>
  <si>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</si>
  <si>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</si>
  <si>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</si>
  <si>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</si>
  <si>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</si>
  <si>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</si>
  <si>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</si>
  <si>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</si>
  <si>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</si>
  <si>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</si>
  <si>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</si>
  <si>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</si>
  <si>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</si>
  <si>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</si>
  <si>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</si>
  <si>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</si>
  <si>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</si>
  <si>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</si>
  <si>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</si>
  <si>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</si>
  <si>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</si>
  <si>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</si>
  <si>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</si>
  <si>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</si>
  <si>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</si>
  <si>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</si>
  <si>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</si>
  <si>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</si>
  <si>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</si>
  <si>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</si>
  <si>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</si>
  <si>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</si>
  <si>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</si>
  <si>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</si>
  <si>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</si>
  <si>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</si>
  <si>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</si>
  <si>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</si>
  <si>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</si>
  <si>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</si>
  <si>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</si>
  <si>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</si>
  <si>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</si>
  <si>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</si>
  <si>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</si>
  <si>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</si>
  <si>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</si>
  <si>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</si>
  <si>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</si>
  <si>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</si>
  <si>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</si>
  <si>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</si>
  <si>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</si>
  <si>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</si>
  <si>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</si>
  <si>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</si>
  <si>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</si>
  <si>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</si>
  <si>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</si>
  <si>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</si>
  <si>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</si>
  <si>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</si>
  <si>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</si>
  <si>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</si>
  <si>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</si>
  <si>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</si>
  <si>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</si>
  <si>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</si>
  <si>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</si>
  <si>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</si>
  <si>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</si>
  <si>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</si>
  <si>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</si>
  <si>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</si>
  <si>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</si>
  <si>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</si>
  <si>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</si>
  <si>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</si>
  <si>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</si>
  <si>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</si>
  <si>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</si>
  <si>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</si>
  <si>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</si>
  <si>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</si>
  <si>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</si>
  <si>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</si>
  <si>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</si>
  <si>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</si>
  <si>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</si>
  <si>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</si>
  <si>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</si>
  <si>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</si>
  <si>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</si>
  <si>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</si>
  <si>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</si>
  <si>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</si>
  <si>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</si>
  <si>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</si>
  <si>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</si>
  <si>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</si>
  <si>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</si>
  <si>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</si>
  <si>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</si>
  <si>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</si>
  <si>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</si>
  <si>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</si>
  <si>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</si>
  <si>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</si>
  <si>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</si>
  <si>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</si>
  <si>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</si>
  <si>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</si>
  <si>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</si>
  <si>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</si>
  <si>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</si>
  <si>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</si>
  <si>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</si>
  <si>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</si>
  <si>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</si>
  <si>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</si>
  <si>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</si>
  <si>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</si>
  <si>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</si>
  <si>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</si>
  <si>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</si>
  <si>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</si>
  <si>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</si>
  <si>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</si>
  <si>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</si>
  <si>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</si>
  <si>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</si>
  <si>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</si>
  <si>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</si>
  <si>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</si>
  <si>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</si>
  <si>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</si>
  <si>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</si>
  <si>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</si>
  <si>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</si>
  <si>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</si>
  <si>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</si>
  <si>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</si>
  <si>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</si>
  <si>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</si>
  <si>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</si>
  <si>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</si>
  <si>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</si>
  <si>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</si>
  <si>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</si>
  <si>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</si>
  <si>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</si>
  <si>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</si>
  <si>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</si>
  <si>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</si>
  <si>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</si>
  <si>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</si>
  <si>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</si>
  <si>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</si>
  <si>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</si>
  <si>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</si>
  <si>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</si>
  <si>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</si>
  <si>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</si>
  <si>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</si>
  <si>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</si>
  <si>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</si>
  <si>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</si>
  <si>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</si>
  <si>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</si>
  <si>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</si>
  <si>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</si>
  <si>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</si>
  <si>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</si>
  <si>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</si>
  <si>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</si>
  <si>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</si>
  <si>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</si>
  <si>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</si>
  <si>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</si>
  <si>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</si>
  <si>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</si>
  <si>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</si>
  <si>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</si>
  <si>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</si>
  <si>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</si>
  <si>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</si>
  <si>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</si>
  <si>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</si>
  <si>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</si>
  <si>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</si>
  <si>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</si>
  <si>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</si>
  <si>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</si>
  <si>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</si>
  <si>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</si>
  <si>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</si>
  <si>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</si>
  <si>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</si>
  <si>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</si>
  <si>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</si>
  <si>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</si>
  <si>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</si>
  <si>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</si>
  <si>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</si>
  <si>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</si>
  <si>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</si>
  <si>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</si>
  <si>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</si>
  <si>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</si>
  <si>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</si>
  <si>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</si>
  <si>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</si>
  <si>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</si>
  <si>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</si>
  <si>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</si>
  <si>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</si>
  <si>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</si>
  <si>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</si>
  <si>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</si>
  <si>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</si>
  <si>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</si>
  <si>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</si>
  <si>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</si>
  <si>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</si>
  <si>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</si>
  <si>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</si>
  <si>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</si>
  <si>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</si>
  <si>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</si>
  <si>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</si>
  <si>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</si>
  <si>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</si>
  <si>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</si>
  <si>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</si>
  <si>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</si>
  <si>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</si>
  <si>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</si>
  <si>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</si>
  <si>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</si>
  <si>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</si>
  <si>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</si>
  <si>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</si>
  <si>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</si>
  <si>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</si>
  <si>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</si>
  <si>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</si>
  <si>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</si>
  <si>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</si>
  <si>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</si>
  <si>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</si>
  <si>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</si>
  <si>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</si>
  <si>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</si>
  <si>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</si>
  <si>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</si>
  <si>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</si>
  <si>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</si>
  <si>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</si>
  <si>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</si>
  <si>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</si>
  <si>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</si>
  <si>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</si>
  <si>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</si>
  <si>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</si>
  <si>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</si>
  <si>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</si>
  <si>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</si>
  <si>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</si>
  <si>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</si>
  <si>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</si>
  <si>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</si>
  <si>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</si>
  <si>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</si>
  <si>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</si>
  <si>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</si>
  <si>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</si>
  <si>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</si>
  <si>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</si>
  <si>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</si>
  <si>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</si>
  <si>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</si>
  <si>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</si>
  <si>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</si>
  <si>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</si>
  <si>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</si>
  <si>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</si>
  <si>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</si>
  <si>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</si>
  <si>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</si>
  <si>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</si>
  <si>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</si>
  <si>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</si>
  <si>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</si>
  <si>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</si>
  <si>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</si>
  <si>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</si>
  <si>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</si>
  <si>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</si>
  <si>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</si>
  <si>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</si>
  <si>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</si>
  <si>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</si>
  <si>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</si>
  <si>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</si>
  <si>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</si>
  <si>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</si>
  <si>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</si>
  <si>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</si>
  <si>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</si>
  <si>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</si>
  <si>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</si>
  <si>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</si>
  <si>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</si>
  <si>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</si>
  <si>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</si>
  <si>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</si>
  <si>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</si>
  <si>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</si>
  <si>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</si>
  <si>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</si>
  <si>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</si>
  <si>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</si>
  <si>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</si>
  <si>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</si>
  <si>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</si>
  <si>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</si>
  <si>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</si>
  <si>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</si>
  <si>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</si>
  <si>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</si>
  <si>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</si>
  <si>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</si>
  <si>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</si>
  <si>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</si>
  <si>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</si>
  <si>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</si>
  <si>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</si>
  <si>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</si>
  <si>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</si>
  <si>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</si>
  <si>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</si>
  <si>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</si>
  <si>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</si>
  <si>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</si>
  <si>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</si>
  <si>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</si>
  <si>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</si>
  <si>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</si>
  <si>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</si>
  <si>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</si>
  <si>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</si>
  <si>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</si>
  <si>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</si>
  <si>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</si>
  <si>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</si>
  <si>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</si>
  <si>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</si>
  <si>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</si>
  <si>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</si>
  <si>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</si>
  <si>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</si>
  <si>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</si>
  <si>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</si>
  <si>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</si>
  <si>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</si>
  <si>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</si>
  <si>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</si>
  <si>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</si>
  <si>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</si>
  <si>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</si>
  <si>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</si>
  <si>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</si>
  <si>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</si>
  <si>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</si>
  <si>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</si>
  <si>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</si>
  <si>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</si>
  <si>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</si>
  <si>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</si>
  <si>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</si>
  <si>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</si>
  <si>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</si>
  <si>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</si>
  <si>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</si>
  <si>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</si>
  <si>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</si>
  <si>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</si>
  <si>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</si>
  <si>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</si>
  <si>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</si>
  <si>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</si>
  <si>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</si>
  <si>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</si>
  <si>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</si>
  <si>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</si>
  <si>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</si>
  <si>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</si>
  <si>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</si>
  <si>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</si>
  <si>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</si>
  <si>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</si>
  <si>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</si>
  <si>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</si>
  <si>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</si>
  <si>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</si>
  <si>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</si>
  <si>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</si>
  <si>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</si>
  <si>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</si>
  <si>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</si>
  <si>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</si>
  <si>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</si>
  <si>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</si>
  <si>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</si>
  <si>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</si>
  <si>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</si>
  <si>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</si>
  <si>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</si>
  <si>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</si>
  <si>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</si>
  <si>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</si>
  <si>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</si>
  <si>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</si>
  <si>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</si>
  <si>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</si>
  <si>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</si>
  <si>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</si>
  <si>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</si>
  <si>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</si>
  <si>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</si>
  <si>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</si>
  <si>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</si>
  <si>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</si>
  <si>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</si>
  <si>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</si>
  <si>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</si>
  <si>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</si>
  <si>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</si>
  <si>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</si>
  <si>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</si>
  <si>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</si>
  <si>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</si>
  <si>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</si>
  <si>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</si>
  <si>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</si>
  <si>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</si>
  <si>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</si>
  <si>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</si>
  <si>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</si>
  <si>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</si>
  <si>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</si>
  <si>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</si>
  <si>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</si>
  <si>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</si>
  <si>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</si>
  <si>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</si>
  <si>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</si>
  <si>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</si>
  <si>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</si>
  <si>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</si>
  <si>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</si>
  <si>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</si>
  <si>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</si>
  <si>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</si>
  <si>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</si>
  <si>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</si>
  <si>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</si>
  <si>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</si>
  <si>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</si>
  <si>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</si>
  <si>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</si>
  <si>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</si>
  <si>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</si>
  <si>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</si>
  <si>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</si>
  <si>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</si>
  <si>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</si>
  <si>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</si>
  <si>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</si>
  <si>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</si>
  <si>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</si>
  <si>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</si>
  <si>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</si>
  <si>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</si>
  <si>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</si>
  <si>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</si>
  <si>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</si>
  <si>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</si>
  <si>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</si>
  <si>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</si>
  <si>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</si>
  <si>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</si>
  <si>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</si>
  <si>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</si>
  <si>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</si>
  <si>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</si>
  <si>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</si>
  <si>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</si>
  <si>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</si>
  <si>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</si>
  <si>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</si>
  <si>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</si>
  <si>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</si>
  <si>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</si>
  <si>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</si>
  <si>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</si>
  <si>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</si>
  <si>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</si>
  <si>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</si>
  <si>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</si>
  <si>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</si>
  <si>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</si>
  <si>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</si>
  <si>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</si>
  <si>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</si>
  <si>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</si>
  <si>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</si>
  <si>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</si>
  <si>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</si>
  <si>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</si>
  <si>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</si>
  <si>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</si>
  <si>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</si>
  <si>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</si>
  <si>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</si>
  <si>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</si>
  <si>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</si>
  <si>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</si>
  <si>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</si>
  <si>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</si>
  <si>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</si>
  <si>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</si>
  <si>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</si>
  <si>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</si>
  <si>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</si>
  <si>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</si>
  <si>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</si>
  <si>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</si>
  <si>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</si>
  <si>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</si>
  <si>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</si>
  <si>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</si>
  <si>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</si>
  <si>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</si>
  <si>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</si>
  <si>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</si>
  <si>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</si>
  <si>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</si>
  <si>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</si>
  <si>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</si>
  <si>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</si>
  <si>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</si>
  <si>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</si>
  <si>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</si>
  <si>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</si>
  <si>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</si>
  <si>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</si>
  <si>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</si>
  <si>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</si>
  <si>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</si>
  <si>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</si>
  <si>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</si>
  <si>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</si>
  <si>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</si>
  <si>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</si>
  <si>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</si>
  <si>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</si>
  <si>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</si>
  <si>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</si>
  <si>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</si>
  <si>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</si>
  <si>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</si>
  <si>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</si>
  <si>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</si>
  <si>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</si>
  <si>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</si>
  <si>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</si>
  <si>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</si>
  <si>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</si>
  <si>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</si>
  <si>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</si>
  <si>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</si>
  <si>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</si>
  <si>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</si>
  <si>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</si>
  <si>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</si>
  <si>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</si>
  <si>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</si>
  <si>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</si>
  <si>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</si>
  <si>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</si>
  <si>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</si>
  <si>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</si>
  <si>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</si>
  <si>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</si>
  <si>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</si>
  <si>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</si>
  <si>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</si>
  <si>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</si>
  <si>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</si>
  <si>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</si>
  <si>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</si>
  <si>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</si>
  <si>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</si>
  <si>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</si>
  <si>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</si>
  <si>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</si>
  <si>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</si>
  <si>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</si>
  <si>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</si>
  <si>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</si>
  <si>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</si>
  <si>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</si>
  <si>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</si>
  <si>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</si>
  <si>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</si>
  <si>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</si>
  <si>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</si>
  <si>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</si>
  <si>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</si>
  <si>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</si>
  <si>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</si>
  <si>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</si>
  <si>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</si>
  <si>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</si>
  <si>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</si>
  <si>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</si>
  <si>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</si>
  <si>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</si>
  <si>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</si>
  <si>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</si>
  <si>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</si>
  <si>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</si>
  <si>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</si>
  <si>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</si>
  <si>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</si>
  <si>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</si>
  <si>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</si>
  <si>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</si>
  <si>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</si>
  <si>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</si>
  <si>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</si>
  <si>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</si>
  <si>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</si>
  <si>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</si>
  <si>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</si>
  <si>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</si>
  <si>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</si>
  <si>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</si>
  <si>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</si>
  <si>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</si>
  <si>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</si>
  <si>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</si>
  <si>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</si>
  <si>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</si>
  <si>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</si>
  <si>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</si>
  <si>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</si>
  <si>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</si>
  <si>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</si>
  <si>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</si>
  <si>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</si>
  <si>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</si>
  <si>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</si>
  <si>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</si>
  <si>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</si>
  <si>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</si>
  <si>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</si>
  <si>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</si>
  <si>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</si>
  <si>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</si>
  <si>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</si>
  <si>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</si>
  <si>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</si>
  <si>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</si>
  <si>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</si>
  <si>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</si>
  <si>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</si>
  <si>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</si>
  <si>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</si>
  <si>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</si>
  <si>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</si>
  <si>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</si>
  <si>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</si>
  <si>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</si>
  <si>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</si>
  <si>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</si>
  <si>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</si>
  <si>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</si>
  <si>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</si>
  <si>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</si>
  <si>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</si>
  <si>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</si>
  <si>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</si>
  <si>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</si>
  <si>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</si>
  <si>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</si>
  <si>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</si>
  <si>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</si>
  <si>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</si>
  <si>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</si>
  <si>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</si>
  <si>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</si>
  <si>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</si>
  <si>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</si>
  <si>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</si>
  <si>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</si>
  <si>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</si>
  <si>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</si>
  <si>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</si>
  <si>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</si>
  <si>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</si>
  <si>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</si>
  <si>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</si>
  <si>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</si>
  <si>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</si>
  <si>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</si>
  <si>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</si>
  <si>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</si>
  <si>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</si>
  <si>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</si>
  <si>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</si>
  <si>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</si>
  <si>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</si>
  <si>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</si>
  <si>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</si>
  <si>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</si>
  <si>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</si>
  <si>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</si>
  <si>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</si>
  <si>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</si>
  <si>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</si>
  <si>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</si>
  <si>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</si>
  <si>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</si>
  <si>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</si>
  <si>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</si>
  <si>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</si>
  <si>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</si>
  <si>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</si>
  <si>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</si>
  <si>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</si>
  <si>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</si>
  <si>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</si>
  <si>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</si>
  <si>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</si>
  <si>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</si>
  <si>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</si>
  <si>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</si>
  <si>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</si>
  <si>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</si>
  <si>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</si>
  <si>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</si>
  <si>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</si>
  <si>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</si>
  <si>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</si>
  <si>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</si>
  <si>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</si>
  <si>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</si>
  <si>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</si>
  <si>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</si>
  <si>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</si>
  <si>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</si>
  <si>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</si>
  <si>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</si>
  <si>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</si>
  <si>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</si>
  <si>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</si>
  <si>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</si>
  <si>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</si>
  <si>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</si>
  <si>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</si>
  <si>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</si>
  <si>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</si>
  <si>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</si>
  <si>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</si>
  <si>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</si>
  <si>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</si>
  <si>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</si>
  <si>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</si>
  <si>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</si>
  <si>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</si>
  <si>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</si>
  <si>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</si>
  <si>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</si>
  <si>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</si>
  <si>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</si>
  <si>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</si>
  <si>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</si>
  <si>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</si>
  <si>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</si>
  <si>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</si>
  <si>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</si>
  <si>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</si>
  <si>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</si>
  <si>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</si>
  <si>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</si>
  <si>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</si>
  <si>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</si>
  <si>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</si>
  <si>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</si>
  <si>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</si>
  <si>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</si>
  <si>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</si>
  <si>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</si>
  <si>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</si>
  <si>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</si>
  <si>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</si>
  <si>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</si>
  <si>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</si>
  <si>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</si>
  <si>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</si>
  <si>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</si>
  <si>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</si>
  <si>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</si>
  <si>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</si>
  <si>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</si>
  <si>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</si>
  <si>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</si>
  <si>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</si>
  <si>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</si>
  <si>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</si>
  <si>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</si>
  <si>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</si>
  <si>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</si>
  <si>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</si>
  <si>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</si>
  <si>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</si>
  <si>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</si>
  <si>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</si>
  <si>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</si>
  <si>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</si>
  <si>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</si>
  <si>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</si>
  <si>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</si>
  <si>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</si>
  <si>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</si>
  <si>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</si>
  <si>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</si>
  <si>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</si>
  <si>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</si>
  <si>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</si>
  <si>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</si>
  <si>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</si>
  <si>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</si>
  <si>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</si>
  <si>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</si>
  <si>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</si>
  <si>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</si>
  <si>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</si>
  <si>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</si>
  <si>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</si>
  <si>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</si>
  <si>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</si>
  <si>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</si>
  <si>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</si>
  <si>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</si>
  <si>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</si>
  <si>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</si>
  <si>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</si>
  <si>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</si>
  <si>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</si>
  <si>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</si>
  <si>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</si>
  <si>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</si>
  <si>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</si>
  <si>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</si>
  <si>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</si>
  <si>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</si>
  <si>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</si>
  <si>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</si>
  <si>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</si>
  <si>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</si>
  <si>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</si>
  <si>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</si>
  <si>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</si>
  <si>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</si>
  <si>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</si>
  <si>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</si>
  <si>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</si>
  <si>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</si>
  <si>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</si>
  <si>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</si>
  <si>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</si>
  <si>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</si>
  <si>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</si>
  <si>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</si>
  <si>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</si>
  <si>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</si>
  <si>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</si>
  <si>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</si>
  <si>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</si>
  <si>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</si>
  <si>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</si>
  <si>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</si>
  <si>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</si>
  <si>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</si>
  <si>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</si>
  <si>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</si>
  <si>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</si>
  <si>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</si>
  <si>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</si>
  <si>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</si>
  <si>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</si>
  <si>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</si>
  <si>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</si>
  <si>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</si>
  <si>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</si>
  <si>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</si>
  <si>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</si>
  <si>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</si>
  <si>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</si>
  <si>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</si>
  <si>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</si>
  <si>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</si>
  <si>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</si>
  <si>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</si>
  <si>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</si>
  <si>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</si>
  <si>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</si>
  <si>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</si>
  <si>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</si>
  <si>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</si>
  <si>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</si>
  <si>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</si>
  <si>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</si>
  <si>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</si>
  <si>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</si>
  <si>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</si>
  <si>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</si>
  <si>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</si>
  <si>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</si>
  <si>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</si>
  <si>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</si>
  <si>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</si>
  <si>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</si>
  <si>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</si>
  <si>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</si>
  <si>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</si>
  <si>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</si>
  <si>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</si>
  <si>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</si>
  <si>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</si>
  <si>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</si>
  <si>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</si>
  <si>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</si>
  <si>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</si>
  <si>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</si>
  <si>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</si>
  <si>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</si>
  <si>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</si>
  <si>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</si>
  <si>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</si>
  <si>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</si>
  <si>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</si>
  <si>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</si>
  <si>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</si>
  <si>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</si>
  <si>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</si>
  <si>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</si>
  <si>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</si>
  <si>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</si>
  <si>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</si>
  <si>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</si>
  <si>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</si>
  <si>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</si>
  <si>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</si>
  <si>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</si>
  <si>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</si>
  <si>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</si>
  <si>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</si>
  <si>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</si>
  <si>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</si>
  <si>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</si>
  <si>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</si>
  <si>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</si>
  <si>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</si>
  <si>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</si>
  <si>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</si>
  <si>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</si>
  <si>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</si>
  <si>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</si>
  <si>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</si>
  <si>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</si>
  <si>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</si>
  <si>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</si>
  <si>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</si>
  <si>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</si>
  <si>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</si>
  <si>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</si>
  <si>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</si>
  <si>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</si>
  <si>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</si>
  <si>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</si>
  <si>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</si>
  <si>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</si>
  <si>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</si>
  <si>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</si>
  <si>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</si>
  <si>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</si>
  <si>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</si>
  <si>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</si>
  <si>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</si>
  <si>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</si>
  <si>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</si>
  <si>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</si>
  <si>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</si>
  <si>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</si>
  <si>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</si>
  <si>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</si>
  <si>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</si>
  <si>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</si>
  <si>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</si>
  <si>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</si>
  <si>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</si>
  <si>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</si>
  <si>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</si>
  <si>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</si>
  <si>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</si>
  <si>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</si>
  <si>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</si>
  <si>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</si>
  <si>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</si>
  <si>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</si>
  <si>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</si>
  <si>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</si>
  <si>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</si>
  <si>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</si>
  <si>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</si>
  <si>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</si>
  <si>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</si>
  <si>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</si>
  <si>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</si>
  <si>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</si>
  <si>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</si>
  <si>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</si>
  <si>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</si>
  <si>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</si>
  <si>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</si>
  <si>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</si>
  <si>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</si>
  <si>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</si>
  <si>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</si>
  <si>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</si>
  <si>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</si>
  <si>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</si>
  <si>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</si>
  <si>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</si>
  <si>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</si>
  <si>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</si>
  <si>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</si>
  <si>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</si>
  <si>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</si>
  <si>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</si>
  <si>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</si>
  <si>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</si>
  <si>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</si>
  <si>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</si>
  <si>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</si>
  <si>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</si>
  <si>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</si>
  <si>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</si>
  <si>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</si>
  <si>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</si>
  <si>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</si>
  <si>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</si>
  <si>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</si>
  <si>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</si>
  <si>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</si>
  <si>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</si>
  <si>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</si>
  <si>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</si>
  <si>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</si>
  <si>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</si>
  <si>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</si>
  <si>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</si>
  <si>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</si>
  <si>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</si>
  <si>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</si>
  <si>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</si>
  <si>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</si>
  <si>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</si>
  <si>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</si>
  <si>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</si>
  <si>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</si>
  <si>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</si>
  <si>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</si>
  <si>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</si>
  <si>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</si>
  <si>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</si>
  <si>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</si>
  <si>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</si>
  <si>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</si>
  <si>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</si>
  <si>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</si>
  <si>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</si>
  <si>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</si>
  <si>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</si>
  <si>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</si>
  <si>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</si>
  <si>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</si>
  <si>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</si>
  <si>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</si>
  <si>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</si>
  <si>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</si>
  <si>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</si>
  <si>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</si>
  <si>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</si>
  <si>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</si>
  <si>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</si>
  <si>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</si>
  <si>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</si>
  <si>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</si>
  <si>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</si>
  <si>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</si>
  <si>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</si>
  <si>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</si>
  <si>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</si>
  <si>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</si>
  <si>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</si>
  <si>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</si>
  <si>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</si>
  <si>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</si>
  <si>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</si>
  <si>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</si>
  <si>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</si>
  <si>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</si>
  <si>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</si>
  <si>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</si>
  <si>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</si>
  <si>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</si>
  <si>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</si>
  <si>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</si>
  <si>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</si>
  <si>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</si>
  <si>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</si>
  <si>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</si>
  <si>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</si>
  <si>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</si>
  <si>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</si>
  <si>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</si>
  <si>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</si>
  <si>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</si>
  <si>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</si>
  <si>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</si>
  <si>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</si>
  <si>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</si>
  <si>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</si>
  <si>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</si>
  <si>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</si>
  <si>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</si>
  <si>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</si>
  <si>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</si>
  <si>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</si>
  <si>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</si>
  <si>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</si>
  <si>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</si>
  <si>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</si>
  <si>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</si>
  <si>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</si>
  <si>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</si>
  <si>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</si>
  <si>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</si>
  <si>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</si>
  <si>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</si>
  <si>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</si>
  <si>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</si>
  <si>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</si>
  <si>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</si>
  <si>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</si>
  <si>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</si>
  <si>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</si>
  <si>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</si>
  <si>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</si>
  <si>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</si>
  <si>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</si>
  <si>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</si>
  <si>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</si>
  <si>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</si>
  <si>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</si>
  <si>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</si>
  <si>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</si>
  <si>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</si>
  <si>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</si>
  <si>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</si>
  <si>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</si>
  <si>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</si>
  <si>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</si>
  <si>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</si>
  <si>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</si>
  <si>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</si>
  <si>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</si>
  <si>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</si>
  <si>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</si>
  <si>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</si>
  <si>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</si>
  <si>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</si>
  <si>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</si>
  <si>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</si>
  <si>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</si>
  <si>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</si>
  <si>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</si>
  <si>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</si>
  <si>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</si>
  <si>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</si>
  <si>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</si>
  <si>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</si>
  <si>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</si>
  <si>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</si>
  <si>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</si>
  <si>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</si>
  <si>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</si>
  <si>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</si>
  <si>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</si>
  <si>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</si>
  <si>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</si>
  <si>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</si>
  <si>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</si>
  <si>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</si>
  <si>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</si>
  <si>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</si>
  <si>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</si>
  <si>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</si>
  <si>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</si>
  <si>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</si>
  <si>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</si>
  <si>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</si>
  <si>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</si>
  <si>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</si>
  <si>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</si>
  <si>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</si>
  <si>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</si>
  <si>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</si>
  <si>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</si>
  <si>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</si>
  <si>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</si>
  <si>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</si>
  <si>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</si>
  <si>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</si>
  <si>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</si>
  <si>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</si>
  <si>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</si>
  <si>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</si>
  <si>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</si>
  <si>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</si>
  <si>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</si>
  <si>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</si>
  <si>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</si>
  <si>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</si>
  <si>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</si>
  <si>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</si>
  <si>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</si>
  <si>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</si>
  <si>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</si>
  <si>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</si>
  <si>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</si>
  <si>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</si>
  <si>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</si>
  <si>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</si>
  <si>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</si>
  <si>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</si>
  <si>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</si>
  <si>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</si>
  <si>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</si>
  <si>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</si>
  <si>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</si>
  <si>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</si>
  <si>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商品房</t>
  </si>
  <si>
    <t>南</t>
    <phoneticPr fontId="134" type="noConversion"/>
  </si>
  <si>
    <t>普通装修</t>
    <phoneticPr fontId="134" type="noConversion"/>
  </si>
  <si>
    <t>七通</t>
    <phoneticPr fontId="134" type="noConversion"/>
  </si>
  <si>
    <t>南北</t>
    <phoneticPr fontId="134" type="noConversion"/>
  </si>
  <si>
    <t>罗庄北里锦秋家园9号楼406</t>
    <phoneticPr fontId="134" type="noConversion"/>
  </si>
  <si>
    <t>锦秋知春</t>
    <phoneticPr fontId="134" type="noConversion"/>
  </si>
  <si>
    <t>罗庄北里锦秋家园5号楼8层2单元803</t>
    <phoneticPr fontId="134" type="noConversion"/>
  </si>
  <si>
    <t>罗庄北里锦秋家园3号楼20层2003</t>
    <phoneticPr fontId="134" type="noConversion"/>
  </si>
  <si>
    <t>罗庄北里锦秋家园1号楼502</t>
    <phoneticPr fontId="134" type="noConversion"/>
  </si>
  <si>
    <t>1室2厅1卫1厨无储藏间无花园无露台无车库其他无</t>
    <phoneticPr fontId="134" type="noConversion"/>
  </si>
  <si>
    <t>北</t>
    <phoneticPr fontId="134" type="noConversion"/>
  </si>
  <si>
    <t>4室1厅2卫1厨1储藏间无花园无露台无车库其他无</t>
    <phoneticPr fontId="134" type="noConversion"/>
  </si>
  <si>
    <t>南</t>
  </si>
  <si>
    <t>1室1厅1卫1厨无储藏间无花园无露台无车库其他无</t>
    <phoneticPr fontId="134" type="noConversion"/>
  </si>
  <si>
    <t>东</t>
  </si>
  <si>
    <t>东</t>
    <phoneticPr fontId="134" type="noConversion"/>
  </si>
  <si>
    <t>2室2厅1卫1厨无储藏间无花园无露台无车库其他无</t>
    <phoneticPr fontId="134" type="noConversion"/>
  </si>
  <si>
    <t>锦秋家园</t>
    <phoneticPr fontId="3"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</si>
  <si>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</si>
  <si>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</si>
  <si>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</si>
  <si>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</si>
  <si>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</si>
  <si>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</si>
  <si>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</si>
  <si>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</si>
  <si>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</si>
  <si>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</si>
  <si>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</si>
  <si>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</si>
  <si>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</si>
  <si>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</si>
  <si>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</si>
  <si>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</si>
  <si>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</si>
  <si>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</si>
  <si>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</si>
  <si>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</si>
  <si>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</si>
  <si>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</si>
  <si>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</si>
  <si>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</si>
  <si>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</si>
  <si>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</si>
  <si>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</si>
  <si>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</si>
  <si>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</si>
  <si>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</si>
  <si>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</si>
  <si>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</si>
  <si>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</si>
  <si>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</si>
  <si>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</si>
  <si>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</si>
  <si>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</si>
  <si>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</si>
  <si>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</si>
  <si>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</si>
  <si>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</si>
  <si>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</si>
  <si>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</si>
  <si>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r>
      <rPr>
        <sz val="11"/>
        <color indexed="8"/>
        <rFont val="宋体"/>
        <family val="3"/>
        <charset val="134"/>
      </rPr>
      <t>城市支路</t>
    </r>
    <r>
      <rPr>
        <sz val="11"/>
        <color indexed="8"/>
        <rFont val="Arial"/>
        <family val="2"/>
      </rPr>
      <t>-</t>
    </r>
    <r>
      <rPr>
        <sz val="11"/>
        <color indexed="8"/>
        <rFont val="宋体"/>
        <family val="3"/>
        <charset val="134"/>
      </rPr>
      <t>罗庄东路</t>
    </r>
    <phoneticPr fontId="24" type="noConversion"/>
  </si>
  <si>
    <r>
      <t>2/24</t>
    </r>
    <r>
      <rPr>
        <sz val="11"/>
        <rFont val="宋体"/>
        <family val="3"/>
        <charset val="134"/>
      </rPr>
      <t>（低楼层）</t>
    </r>
    <phoneticPr fontId="24" type="noConversion"/>
  </si>
  <si>
    <r>
      <t>4/24</t>
    </r>
    <r>
      <rPr>
        <sz val="11"/>
        <rFont val="宋体"/>
        <family val="3"/>
        <charset val="134"/>
      </rPr>
      <t>（低楼层）</t>
    </r>
    <phoneticPr fontId="24" type="noConversion"/>
  </si>
  <si>
    <r>
      <t>20/24</t>
    </r>
    <r>
      <rPr>
        <sz val="11"/>
        <rFont val="宋体"/>
        <family val="3"/>
        <charset val="134"/>
      </rPr>
      <t>（高楼层）</t>
    </r>
    <phoneticPr fontId="24" type="noConversion"/>
  </si>
  <si>
    <r>
      <t>8/8</t>
    </r>
    <r>
      <rPr>
        <sz val="11"/>
        <rFont val="宋体"/>
        <family val="3"/>
        <charset val="134"/>
      </rPr>
      <t>（顶层）</t>
    </r>
    <phoneticPr fontId="24" type="noConversion"/>
  </si>
  <si>
    <t>售价</t>
  </si>
  <si>
    <t>收益法</t>
  </si>
  <si>
    <t>押一</t>
  </si>
  <si>
    <t>非生产用房</t>
  </si>
  <si>
    <t>否</t>
  </si>
  <si>
    <t>成交单价</t>
    <phoneticPr fontId="134" type="noConversion"/>
  </si>
  <si>
    <t>评估单价</t>
    <phoneticPr fontId="134" type="noConversion"/>
  </si>
  <si>
    <t>成交日期</t>
    <phoneticPr fontId="134" type="noConversion"/>
  </si>
  <si>
    <t>城镇住宅用地</t>
  </si>
  <si>
    <t>自定义容积率</t>
  </si>
  <si>
    <t>不临65条商业街</t>
  </si>
  <si>
    <t>比例</t>
    <phoneticPr fontId="134" type="noConversion"/>
  </si>
  <si>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</si>
  <si>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</si>
  <si>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</si>
  <si>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</si>
  <si>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</si>
  <si>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</si>
  <si>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</si>
  <si>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</si>
  <si>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</si>
  <si>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</si>
  <si>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</si>
  <si>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简单装修</t>
  </si>
  <si>
    <t>使用率</t>
    <phoneticPr fontId="134" type="noConversion"/>
  </si>
  <si>
    <t>陈颖</t>
  </si>
  <si>
    <t>梁津</t>
  </si>
  <si>
    <t>采光</t>
    <phoneticPr fontId="24" type="noConversion"/>
  </si>
  <si>
    <t>较差</t>
    <phoneticPr fontId="24" type="noConversion"/>
  </si>
  <si>
    <t>一般</t>
  </si>
  <si>
    <t>一般</t>
    <phoneticPr fontId="24" type="noConversion"/>
  </si>
  <si>
    <t>好</t>
    <phoneticPr fontId="24" type="noConversion"/>
  </si>
  <si>
    <t>较好</t>
    <phoneticPr fontId="24" type="noConversion"/>
  </si>
  <si>
    <t>小高层板楼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</si>
</sst>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indexed="8"/>
      <name val="Arial"/>
      <family val="3"/>
      <charset val="134"/>
    </font>
    <font>
      <sz val="11"/>
      <color rgb="FFFF0000"/>
      <name val="宋体"/>
      <family val="3"/>
      <charset val="134"/>
      <scheme val="minor"/>
    </font>
    <font>
      <sz val="8"/>
      <color rgb="FFFF0000"/>
      <name val="Microsoft YaHei"/>
      <family val="2"/>
      <charset val="134"/>
    </font>
    <font>
      <sz val="8"/>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0" fillId="10" borderId="0" xfId="0" applyFill="1">
      <alignment vertical="center"/>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0" fontId="274" fillId="0" borderId="41"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0" fillId="0" borderId="0" xfId="0" applyNumberFormat="1">
      <alignment vertical="center"/>
    </xf>
    <xf numFmtId="179" fontId="0" fillId="0" borderId="0" xfId="0" applyNumberFormat="1">
      <alignment vertical="center"/>
    </xf>
    <xf numFmtId="14" fontId="275" fillId="0" borderId="0" xfId="0" applyNumberFormat="1" applyFont="1">
      <alignment vertical="center"/>
    </xf>
    <xf numFmtId="177" fontId="275" fillId="0" borderId="0" xfId="0" applyNumberFormat="1" applyFont="1">
      <alignment vertical="center"/>
    </xf>
    <xf numFmtId="179" fontId="275" fillId="0" borderId="0" xfId="0" applyNumberFormat="1" applyFont="1">
      <alignment vertical="center"/>
    </xf>
    <xf numFmtId="0" fontId="276" fillId="10" borderId="1" xfId="0" applyFont="1" applyFill="1" applyBorder="1" applyAlignment="1">
      <alignment horizontal="center" vertical="center" wrapText="1"/>
    </xf>
    <xf numFmtId="31" fontId="276" fillId="10" borderId="1" xfId="0" applyNumberFormat="1" applyFont="1" applyFill="1" applyBorder="1" applyAlignment="1">
      <alignment horizontal="center" vertical="center" wrapText="1"/>
    </xf>
    <xf numFmtId="0" fontId="277" fillId="7" borderId="0" xfId="0" applyFon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0" xfId="0"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11</xdr:row>
      <xdr:rowOff>38100</xdr:rowOff>
    </xdr:from>
    <xdr:to>
      <xdr:col>9</xdr:col>
      <xdr:colOff>208677</xdr:colOff>
      <xdr:row>30</xdr:row>
      <xdr:rowOff>161502</xdr:rowOff>
    </xdr:to>
    <xdr:pic>
      <xdr:nvPicPr>
        <xdr:cNvPr id="2" name="图片 1">
          <a:extLst>
            <a:ext uri="{FF2B5EF4-FFF2-40B4-BE49-F238E27FC236}">
              <a16:creationId xmlns:a16="http://schemas.microsoft.com/office/drawing/2014/main" id="{D1F03A53-73B2-4E25-B521-C255943840CC}"/>
            </a:ext>
          </a:extLst>
        </xdr:cNvPr>
        <xdr:cNvPicPr>
          <a:picLocks noChangeAspect="1"/>
        </xdr:cNvPicPr>
      </xdr:nvPicPr>
      <xdr:blipFill>
        <a:blip xmlns:r="http://schemas.openxmlformats.org/officeDocument/2006/relationships" r:embed="rId1"/>
        <a:stretch>
          <a:fillRect/>
        </a:stretch>
      </xdr:blipFill>
      <xdr:spPr>
        <a:xfrm>
          <a:off x="9525" y="381000"/>
          <a:ext cx="6980952" cy="3380952"/>
        </a:xfrm>
        <a:prstGeom prst="rect">
          <a:avLst/>
        </a:prstGeom>
      </xdr:spPr>
    </xdr:pic>
    <xdr:clientData/>
  </xdr:twoCellAnchor>
  <xdr:twoCellAnchor editAs="oneCell">
    <xdr:from>
      <xdr:col>10</xdr:col>
      <xdr:colOff>85725</xdr:colOff>
      <xdr:row>11</xdr:row>
      <xdr:rowOff>0</xdr:rowOff>
    </xdr:from>
    <xdr:to>
      <xdr:col>16</xdr:col>
      <xdr:colOff>123306</xdr:colOff>
      <xdr:row>29</xdr:row>
      <xdr:rowOff>171043</xdr:rowOff>
    </xdr:to>
    <xdr:pic>
      <xdr:nvPicPr>
        <xdr:cNvPr id="3" name="图片 2">
          <a:extLst>
            <a:ext uri="{FF2B5EF4-FFF2-40B4-BE49-F238E27FC236}">
              <a16:creationId xmlns:a16="http://schemas.microsoft.com/office/drawing/2014/main" id="{77CF6CFA-AF3C-4184-BACB-CA74234338DE}"/>
            </a:ext>
          </a:extLst>
        </xdr:cNvPr>
        <xdr:cNvPicPr>
          <a:picLocks noChangeAspect="1"/>
        </xdr:cNvPicPr>
      </xdr:nvPicPr>
      <xdr:blipFill>
        <a:blip xmlns:r="http://schemas.openxmlformats.org/officeDocument/2006/relationships" r:embed="rId2"/>
        <a:stretch>
          <a:fillRect/>
        </a:stretch>
      </xdr:blipFill>
      <xdr:spPr>
        <a:xfrm>
          <a:off x="7553325" y="1895475"/>
          <a:ext cx="4152381" cy="3257143"/>
        </a:xfrm>
        <a:prstGeom prst="rect">
          <a:avLst/>
        </a:prstGeom>
      </xdr:spPr>
    </xdr:pic>
    <xdr:clientData/>
  </xdr:twoCellAnchor>
  <xdr:twoCellAnchor editAs="oneCell">
    <xdr:from>
      <xdr:col>16</xdr:col>
      <xdr:colOff>95250</xdr:colOff>
      <xdr:row>10</xdr:row>
      <xdr:rowOff>161925</xdr:rowOff>
    </xdr:from>
    <xdr:to>
      <xdr:col>23</xdr:col>
      <xdr:colOff>313698</xdr:colOff>
      <xdr:row>29</xdr:row>
      <xdr:rowOff>132946</xdr:rowOff>
    </xdr:to>
    <xdr:pic>
      <xdr:nvPicPr>
        <xdr:cNvPr id="4" name="图片 3">
          <a:extLst>
            <a:ext uri="{FF2B5EF4-FFF2-40B4-BE49-F238E27FC236}">
              <a16:creationId xmlns:a16="http://schemas.microsoft.com/office/drawing/2014/main" id="{7463B6C3-C16E-424F-AE8D-6099778A2996}"/>
            </a:ext>
          </a:extLst>
        </xdr:cNvPr>
        <xdr:cNvPicPr>
          <a:picLocks noChangeAspect="1"/>
        </xdr:cNvPicPr>
      </xdr:nvPicPr>
      <xdr:blipFill>
        <a:blip xmlns:r="http://schemas.openxmlformats.org/officeDocument/2006/relationships" r:embed="rId3"/>
        <a:stretch>
          <a:fillRect/>
        </a:stretch>
      </xdr:blipFill>
      <xdr:spPr>
        <a:xfrm>
          <a:off x="11677650" y="1885950"/>
          <a:ext cx="5019048" cy="3228571"/>
        </a:xfrm>
        <a:prstGeom prst="rect">
          <a:avLst/>
        </a:prstGeom>
      </xdr:spPr>
    </xdr:pic>
    <xdr:clientData/>
  </xdr:twoCellAnchor>
  <xdr:twoCellAnchor editAs="oneCell">
    <xdr:from>
      <xdr:col>0</xdr:col>
      <xdr:colOff>0</xdr:colOff>
      <xdr:row>37</xdr:row>
      <xdr:rowOff>9525</xdr:rowOff>
    </xdr:from>
    <xdr:to>
      <xdr:col>9</xdr:col>
      <xdr:colOff>237248</xdr:colOff>
      <xdr:row>55</xdr:row>
      <xdr:rowOff>142473</xdr:rowOff>
    </xdr:to>
    <xdr:pic>
      <xdr:nvPicPr>
        <xdr:cNvPr id="5" name="图片 4">
          <a:extLst>
            <a:ext uri="{FF2B5EF4-FFF2-40B4-BE49-F238E27FC236}">
              <a16:creationId xmlns:a16="http://schemas.microsoft.com/office/drawing/2014/main" id="{167AFCFE-AC4B-43AA-A1F1-270639986E81}"/>
            </a:ext>
          </a:extLst>
        </xdr:cNvPr>
        <xdr:cNvPicPr>
          <a:picLocks noChangeAspect="1"/>
        </xdr:cNvPicPr>
      </xdr:nvPicPr>
      <xdr:blipFill>
        <a:blip xmlns:r="http://schemas.openxmlformats.org/officeDocument/2006/relationships" r:embed="rId4"/>
        <a:stretch>
          <a:fillRect/>
        </a:stretch>
      </xdr:blipFill>
      <xdr:spPr>
        <a:xfrm>
          <a:off x="0" y="4810125"/>
          <a:ext cx="7019048" cy="3219048"/>
        </a:xfrm>
        <a:prstGeom prst="rect">
          <a:avLst/>
        </a:prstGeom>
      </xdr:spPr>
    </xdr:pic>
    <xdr:clientData/>
  </xdr:twoCellAnchor>
  <xdr:twoCellAnchor editAs="oneCell">
    <xdr:from>
      <xdr:col>10</xdr:col>
      <xdr:colOff>409575</xdr:colOff>
      <xdr:row>34</xdr:row>
      <xdr:rowOff>114300</xdr:rowOff>
    </xdr:from>
    <xdr:to>
      <xdr:col>17</xdr:col>
      <xdr:colOff>580404</xdr:colOff>
      <xdr:row>54</xdr:row>
      <xdr:rowOff>18633</xdr:rowOff>
    </xdr:to>
    <xdr:pic>
      <xdr:nvPicPr>
        <xdr:cNvPr id="6" name="图片 5">
          <a:extLst>
            <a:ext uri="{FF2B5EF4-FFF2-40B4-BE49-F238E27FC236}">
              <a16:creationId xmlns:a16="http://schemas.microsoft.com/office/drawing/2014/main" id="{B511DD66-17E8-43A4-A6EE-36492C45DAF0}"/>
            </a:ext>
          </a:extLst>
        </xdr:cNvPr>
        <xdr:cNvPicPr>
          <a:picLocks noChangeAspect="1"/>
        </xdr:cNvPicPr>
      </xdr:nvPicPr>
      <xdr:blipFill>
        <a:blip xmlns:r="http://schemas.openxmlformats.org/officeDocument/2006/relationships" r:embed="rId5"/>
        <a:stretch>
          <a:fillRect/>
        </a:stretch>
      </xdr:blipFill>
      <xdr:spPr>
        <a:xfrm>
          <a:off x="7267575" y="4400550"/>
          <a:ext cx="4971429" cy="3333333"/>
        </a:xfrm>
        <a:prstGeom prst="rect">
          <a:avLst/>
        </a:prstGeom>
      </xdr:spPr>
    </xdr:pic>
    <xdr:clientData/>
  </xdr:twoCellAnchor>
  <xdr:twoCellAnchor editAs="oneCell">
    <xdr:from>
      <xdr:col>5</xdr:col>
      <xdr:colOff>447675</xdr:colOff>
      <xdr:row>35</xdr:row>
      <xdr:rowOff>66675</xdr:rowOff>
    </xdr:from>
    <xdr:to>
      <xdr:col>10</xdr:col>
      <xdr:colOff>523437</xdr:colOff>
      <xdr:row>39</xdr:row>
      <xdr:rowOff>28494</xdr:rowOff>
    </xdr:to>
    <xdr:pic>
      <xdr:nvPicPr>
        <xdr:cNvPr id="7" name="图片 6">
          <a:extLst>
            <a:ext uri="{FF2B5EF4-FFF2-40B4-BE49-F238E27FC236}">
              <a16:creationId xmlns:a16="http://schemas.microsoft.com/office/drawing/2014/main" id="{45C0132E-05AC-44CB-B340-AB0E8924BA60}"/>
            </a:ext>
          </a:extLst>
        </xdr:cNvPr>
        <xdr:cNvPicPr>
          <a:picLocks noChangeAspect="1"/>
        </xdr:cNvPicPr>
      </xdr:nvPicPr>
      <xdr:blipFill>
        <a:blip xmlns:r="http://schemas.openxmlformats.org/officeDocument/2006/relationships" r:embed="rId6"/>
        <a:stretch>
          <a:fillRect/>
        </a:stretch>
      </xdr:blipFill>
      <xdr:spPr>
        <a:xfrm>
          <a:off x="3876675" y="4524375"/>
          <a:ext cx="3504762" cy="647619"/>
        </a:xfrm>
        <a:prstGeom prst="rect">
          <a:avLst/>
        </a:prstGeom>
      </xdr:spPr>
    </xdr:pic>
    <xdr:clientData/>
  </xdr:twoCellAnchor>
  <xdr:twoCellAnchor editAs="oneCell">
    <xdr:from>
      <xdr:col>18</xdr:col>
      <xdr:colOff>323850</xdr:colOff>
      <xdr:row>36</xdr:row>
      <xdr:rowOff>66675</xdr:rowOff>
    </xdr:from>
    <xdr:to>
      <xdr:col>22</xdr:col>
      <xdr:colOff>237793</xdr:colOff>
      <xdr:row>52</xdr:row>
      <xdr:rowOff>47284</xdr:rowOff>
    </xdr:to>
    <xdr:pic>
      <xdr:nvPicPr>
        <xdr:cNvPr id="8" name="图片 7">
          <a:extLst>
            <a:ext uri="{FF2B5EF4-FFF2-40B4-BE49-F238E27FC236}">
              <a16:creationId xmlns:a16="http://schemas.microsoft.com/office/drawing/2014/main" id="{D821C830-9B64-44C6-97E3-7AC92D90ECDB}"/>
            </a:ext>
          </a:extLst>
        </xdr:cNvPr>
        <xdr:cNvPicPr>
          <a:picLocks noChangeAspect="1"/>
        </xdr:cNvPicPr>
      </xdr:nvPicPr>
      <xdr:blipFill>
        <a:blip xmlns:r="http://schemas.openxmlformats.org/officeDocument/2006/relationships" r:embed="rId7"/>
        <a:stretch>
          <a:fillRect/>
        </a:stretch>
      </xdr:blipFill>
      <xdr:spPr>
        <a:xfrm>
          <a:off x="12668250" y="4695825"/>
          <a:ext cx="2657143" cy="2723809"/>
        </a:xfrm>
        <a:prstGeom prst="rect">
          <a:avLst/>
        </a:prstGeom>
      </xdr:spPr>
    </xdr:pic>
    <xdr:clientData/>
  </xdr:twoCellAnchor>
  <xdr:twoCellAnchor editAs="oneCell">
    <xdr:from>
      <xdr:col>10</xdr:col>
      <xdr:colOff>209550</xdr:colOff>
      <xdr:row>27</xdr:row>
      <xdr:rowOff>133350</xdr:rowOff>
    </xdr:from>
    <xdr:to>
      <xdr:col>17</xdr:col>
      <xdr:colOff>437521</xdr:colOff>
      <xdr:row>30</xdr:row>
      <xdr:rowOff>152333</xdr:rowOff>
    </xdr:to>
    <xdr:pic>
      <xdr:nvPicPr>
        <xdr:cNvPr id="9" name="图片 8">
          <a:extLst>
            <a:ext uri="{FF2B5EF4-FFF2-40B4-BE49-F238E27FC236}">
              <a16:creationId xmlns:a16="http://schemas.microsoft.com/office/drawing/2014/main" id="{2367645A-6114-46C9-9AC9-727780F80E84}"/>
            </a:ext>
          </a:extLst>
        </xdr:cNvPr>
        <xdr:cNvPicPr>
          <a:picLocks noChangeAspect="1"/>
        </xdr:cNvPicPr>
      </xdr:nvPicPr>
      <xdr:blipFill>
        <a:blip xmlns:r="http://schemas.openxmlformats.org/officeDocument/2006/relationships" r:embed="rId8"/>
        <a:stretch>
          <a:fillRect/>
        </a:stretch>
      </xdr:blipFill>
      <xdr:spPr>
        <a:xfrm>
          <a:off x="7067550" y="3219450"/>
          <a:ext cx="5028571" cy="533333"/>
        </a:xfrm>
        <a:prstGeom prst="rect">
          <a:avLst/>
        </a:prstGeom>
      </xdr:spPr>
    </xdr:pic>
    <xdr:clientData/>
  </xdr:twoCellAnchor>
  <xdr:twoCellAnchor editAs="oneCell">
    <xdr:from>
      <xdr:col>0</xdr:col>
      <xdr:colOff>0</xdr:colOff>
      <xdr:row>60</xdr:row>
      <xdr:rowOff>57150</xdr:rowOff>
    </xdr:from>
    <xdr:to>
      <xdr:col>9</xdr:col>
      <xdr:colOff>170581</xdr:colOff>
      <xdr:row>79</xdr:row>
      <xdr:rowOff>161505</xdr:rowOff>
    </xdr:to>
    <xdr:pic>
      <xdr:nvPicPr>
        <xdr:cNvPr id="10" name="图片 9">
          <a:extLst>
            <a:ext uri="{FF2B5EF4-FFF2-40B4-BE49-F238E27FC236}">
              <a16:creationId xmlns:a16="http://schemas.microsoft.com/office/drawing/2014/main" id="{52DAAC39-9330-4356-9275-10A78DB3CBF0}"/>
            </a:ext>
          </a:extLst>
        </xdr:cNvPr>
        <xdr:cNvPicPr>
          <a:picLocks noChangeAspect="1"/>
        </xdr:cNvPicPr>
      </xdr:nvPicPr>
      <xdr:blipFill>
        <a:blip xmlns:r="http://schemas.openxmlformats.org/officeDocument/2006/relationships" r:embed="rId9"/>
        <a:stretch>
          <a:fillRect/>
        </a:stretch>
      </xdr:blipFill>
      <xdr:spPr>
        <a:xfrm>
          <a:off x="0" y="10353675"/>
          <a:ext cx="6952381" cy="3361905"/>
        </a:xfrm>
        <a:prstGeom prst="rect">
          <a:avLst/>
        </a:prstGeom>
      </xdr:spPr>
    </xdr:pic>
    <xdr:clientData/>
  </xdr:twoCellAnchor>
  <xdr:twoCellAnchor editAs="oneCell">
    <xdr:from>
      <xdr:col>9</xdr:col>
      <xdr:colOff>428625</xdr:colOff>
      <xdr:row>62</xdr:row>
      <xdr:rowOff>19050</xdr:rowOff>
    </xdr:from>
    <xdr:to>
      <xdr:col>19</xdr:col>
      <xdr:colOff>46815</xdr:colOff>
      <xdr:row>69</xdr:row>
      <xdr:rowOff>47471</xdr:rowOff>
    </xdr:to>
    <xdr:pic>
      <xdr:nvPicPr>
        <xdr:cNvPr id="11" name="图片 10">
          <a:extLst>
            <a:ext uri="{FF2B5EF4-FFF2-40B4-BE49-F238E27FC236}">
              <a16:creationId xmlns:a16="http://schemas.microsoft.com/office/drawing/2014/main" id="{7E86FF33-EB3D-4FA0-8B14-58EBAD306CB4}"/>
            </a:ext>
          </a:extLst>
        </xdr:cNvPr>
        <xdr:cNvPicPr>
          <a:picLocks noChangeAspect="1"/>
        </xdr:cNvPicPr>
      </xdr:nvPicPr>
      <xdr:blipFill>
        <a:blip xmlns:r="http://schemas.openxmlformats.org/officeDocument/2006/relationships" r:embed="rId10"/>
        <a:stretch>
          <a:fillRect/>
        </a:stretch>
      </xdr:blipFill>
      <xdr:spPr>
        <a:xfrm>
          <a:off x="7210425" y="10658475"/>
          <a:ext cx="6476190" cy="1228571"/>
        </a:xfrm>
        <a:prstGeom prst="rect">
          <a:avLst/>
        </a:prstGeom>
      </xdr:spPr>
    </xdr:pic>
    <xdr:clientData/>
  </xdr:twoCellAnchor>
  <xdr:twoCellAnchor editAs="oneCell">
    <xdr:from>
      <xdr:col>0</xdr:col>
      <xdr:colOff>0</xdr:colOff>
      <xdr:row>84</xdr:row>
      <xdr:rowOff>9525</xdr:rowOff>
    </xdr:from>
    <xdr:to>
      <xdr:col>9</xdr:col>
      <xdr:colOff>256295</xdr:colOff>
      <xdr:row>104</xdr:row>
      <xdr:rowOff>56715</xdr:rowOff>
    </xdr:to>
    <xdr:pic>
      <xdr:nvPicPr>
        <xdr:cNvPr id="12" name="图片 11">
          <a:extLst>
            <a:ext uri="{FF2B5EF4-FFF2-40B4-BE49-F238E27FC236}">
              <a16:creationId xmlns:a16="http://schemas.microsoft.com/office/drawing/2014/main" id="{58C9297C-507C-48F6-AA2A-B2E5696C492A}"/>
            </a:ext>
          </a:extLst>
        </xdr:cNvPr>
        <xdr:cNvPicPr>
          <a:picLocks noChangeAspect="1"/>
        </xdr:cNvPicPr>
      </xdr:nvPicPr>
      <xdr:blipFill>
        <a:blip xmlns:r="http://schemas.openxmlformats.org/officeDocument/2006/relationships" r:embed="rId11"/>
        <a:stretch>
          <a:fillRect/>
        </a:stretch>
      </xdr:blipFill>
      <xdr:spPr>
        <a:xfrm>
          <a:off x="0" y="14420850"/>
          <a:ext cx="7038095" cy="3476190"/>
        </a:xfrm>
        <a:prstGeom prst="rect">
          <a:avLst/>
        </a:prstGeom>
      </xdr:spPr>
    </xdr:pic>
    <xdr:clientData/>
  </xdr:twoCellAnchor>
  <xdr:twoCellAnchor editAs="oneCell">
    <xdr:from>
      <xdr:col>9</xdr:col>
      <xdr:colOff>142875</xdr:colOff>
      <xdr:row>84</xdr:row>
      <xdr:rowOff>47625</xdr:rowOff>
    </xdr:from>
    <xdr:to>
      <xdr:col>18</xdr:col>
      <xdr:colOff>399246</xdr:colOff>
      <xdr:row>92</xdr:row>
      <xdr:rowOff>37930</xdr:rowOff>
    </xdr:to>
    <xdr:pic>
      <xdr:nvPicPr>
        <xdr:cNvPr id="13" name="图片 12">
          <a:extLst>
            <a:ext uri="{FF2B5EF4-FFF2-40B4-BE49-F238E27FC236}">
              <a16:creationId xmlns:a16="http://schemas.microsoft.com/office/drawing/2014/main" id="{6C318C7E-0CB8-4A7B-A3C7-03BE420E1763}"/>
            </a:ext>
          </a:extLst>
        </xdr:cNvPr>
        <xdr:cNvPicPr>
          <a:picLocks noChangeAspect="1"/>
        </xdr:cNvPicPr>
      </xdr:nvPicPr>
      <xdr:blipFill>
        <a:blip xmlns:r="http://schemas.openxmlformats.org/officeDocument/2006/relationships" r:embed="rId12"/>
        <a:stretch>
          <a:fillRect/>
        </a:stretch>
      </xdr:blipFill>
      <xdr:spPr>
        <a:xfrm>
          <a:off x="6924675" y="14458950"/>
          <a:ext cx="6428571" cy="1361905"/>
        </a:xfrm>
        <a:prstGeom prst="rect">
          <a:avLst/>
        </a:prstGeom>
      </xdr:spPr>
    </xdr:pic>
    <xdr:clientData/>
  </xdr:twoCellAnchor>
  <xdr:twoCellAnchor editAs="oneCell">
    <xdr:from>
      <xdr:col>0</xdr:col>
      <xdr:colOff>0</xdr:colOff>
      <xdr:row>108</xdr:row>
      <xdr:rowOff>19050</xdr:rowOff>
    </xdr:from>
    <xdr:to>
      <xdr:col>9</xdr:col>
      <xdr:colOff>284867</xdr:colOff>
      <xdr:row>127</xdr:row>
      <xdr:rowOff>104357</xdr:rowOff>
    </xdr:to>
    <xdr:pic>
      <xdr:nvPicPr>
        <xdr:cNvPr id="14" name="图片 13">
          <a:extLst>
            <a:ext uri="{FF2B5EF4-FFF2-40B4-BE49-F238E27FC236}">
              <a16:creationId xmlns:a16="http://schemas.microsoft.com/office/drawing/2014/main" id="{92B5C7D0-E6FC-411E-B435-9F5AB74A6916}"/>
            </a:ext>
          </a:extLst>
        </xdr:cNvPr>
        <xdr:cNvPicPr>
          <a:picLocks noChangeAspect="1"/>
        </xdr:cNvPicPr>
      </xdr:nvPicPr>
      <xdr:blipFill>
        <a:blip xmlns:r="http://schemas.openxmlformats.org/officeDocument/2006/relationships" r:embed="rId13"/>
        <a:stretch>
          <a:fillRect/>
        </a:stretch>
      </xdr:blipFill>
      <xdr:spPr>
        <a:xfrm>
          <a:off x="0" y="18545175"/>
          <a:ext cx="7066667" cy="3342857"/>
        </a:xfrm>
        <a:prstGeom prst="rect">
          <a:avLst/>
        </a:prstGeom>
      </xdr:spPr>
    </xdr:pic>
    <xdr:clientData/>
  </xdr:twoCellAnchor>
  <xdr:twoCellAnchor editAs="oneCell">
    <xdr:from>
      <xdr:col>9</xdr:col>
      <xdr:colOff>438150</xdr:colOff>
      <xdr:row>107</xdr:row>
      <xdr:rowOff>9525</xdr:rowOff>
    </xdr:from>
    <xdr:to>
      <xdr:col>17</xdr:col>
      <xdr:colOff>427940</xdr:colOff>
      <xdr:row>118</xdr:row>
      <xdr:rowOff>28337</xdr:rowOff>
    </xdr:to>
    <xdr:pic>
      <xdr:nvPicPr>
        <xdr:cNvPr id="15" name="图片 14">
          <a:extLst>
            <a:ext uri="{FF2B5EF4-FFF2-40B4-BE49-F238E27FC236}">
              <a16:creationId xmlns:a16="http://schemas.microsoft.com/office/drawing/2014/main" id="{D774A6FE-A39C-4C70-88EF-203DC4771F24}"/>
            </a:ext>
          </a:extLst>
        </xdr:cNvPr>
        <xdr:cNvPicPr>
          <a:picLocks noChangeAspect="1"/>
        </xdr:cNvPicPr>
      </xdr:nvPicPr>
      <xdr:blipFill>
        <a:blip xmlns:r="http://schemas.openxmlformats.org/officeDocument/2006/relationships" r:embed="rId14"/>
        <a:stretch>
          <a:fillRect/>
        </a:stretch>
      </xdr:blipFill>
      <xdr:spPr>
        <a:xfrm>
          <a:off x="7219950" y="18364200"/>
          <a:ext cx="5476190" cy="1904762"/>
        </a:xfrm>
        <a:prstGeom prst="rect">
          <a:avLst/>
        </a:prstGeom>
      </xdr:spPr>
    </xdr:pic>
    <xdr:clientData/>
  </xdr:twoCellAnchor>
  <xdr:twoCellAnchor editAs="oneCell">
    <xdr:from>
      <xdr:col>9</xdr:col>
      <xdr:colOff>342900</xdr:colOff>
      <xdr:row>118</xdr:row>
      <xdr:rowOff>76200</xdr:rowOff>
    </xdr:from>
    <xdr:to>
      <xdr:col>17</xdr:col>
      <xdr:colOff>399357</xdr:colOff>
      <xdr:row>133</xdr:row>
      <xdr:rowOff>47307</xdr:rowOff>
    </xdr:to>
    <xdr:pic>
      <xdr:nvPicPr>
        <xdr:cNvPr id="16" name="图片 15">
          <a:extLst>
            <a:ext uri="{FF2B5EF4-FFF2-40B4-BE49-F238E27FC236}">
              <a16:creationId xmlns:a16="http://schemas.microsoft.com/office/drawing/2014/main" id="{ECEC6F9B-E7FD-4C0C-A6CE-33D728F341AC}"/>
            </a:ext>
          </a:extLst>
        </xdr:cNvPr>
        <xdr:cNvPicPr>
          <a:picLocks noChangeAspect="1"/>
        </xdr:cNvPicPr>
      </xdr:nvPicPr>
      <xdr:blipFill>
        <a:blip xmlns:r="http://schemas.openxmlformats.org/officeDocument/2006/relationships" r:embed="rId15"/>
        <a:stretch>
          <a:fillRect/>
        </a:stretch>
      </xdr:blipFill>
      <xdr:spPr>
        <a:xfrm>
          <a:off x="7124700" y="20316825"/>
          <a:ext cx="5542857" cy="2542857"/>
        </a:xfrm>
        <a:prstGeom prst="rect">
          <a:avLst/>
        </a:prstGeom>
      </xdr:spPr>
    </xdr:pic>
    <xdr:clientData/>
  </xdr:twoCellAnchor>
  <xdr:twoCellAnchor editAs="oneCell">
    <xdr:from>
      <xdr:col>0</xdr:col>
      <xdr:colOff>0</xdr:colOff>
      <xdr:row>137</xdr:row>
      <xdr:rowOff>104775</xdr:rowOff>
    </xdr:from>
    <xdr:to>
      <xdr:col>9</xdr:col>
      <xdr:colOff>237248</xdr:colOff>
      <xdr:row>155</xdr:row>
      <xdr:rowOff>37723</xdr:rowOff>
    </xdr:to>
    <xdr:pic>
      <xdr:nvPicPr>
        <xdr:cNvPr id="17" name="图片 16">
          <a:extLst>
            <a:ext uri="{FF2B5EF4-FFF2-40B4-BE49-F238E27FC236}">
              <a16:creationId xmlns:a16="http://schemas.microsoft.com/office/drawing/2014/main" id="{F81F3BC7-AF65-4578-8065-79829CE6D4A8}"/>
            </a:ext>
          </a:extLst>
        </xdr:cNvPr>
        <xdr:cNvPicPr>
          <a:picLocks noChangeAspect="1"/>
        </xdr:cNvPicPr>
      </xdr:nvPicPr>
      <xdr:blipFill>
        <a:blip xmlns:r="http://schemas.openxmlformats.org/officeDocument/2006/relationships" r:embed="rId16"/>
        <a:stretch>
          <a:fillRect/>
        </a:stretch>
      </xdr:blipFill>
      <xdr:spPr>
        <a:xfrm>
          <a:off x="0" y="23602950"/>
          <a:ext cx="7019048" cy="3019048"/>
        </a:xfrm>
        <a:prstGeom prst="rect">
          <a:avLst/>
        </a:prstGeom>
      </xdr:spPr>
    </xdr:pic>
    <xdr:clientData/>
  </xdr:twoCellAnchor>
  <xdr:twoCellAnchor editAs="oneCell">
    <xdr:from>
      <xdr:col>9</xdr:col>
      <xdr:colOff>200025</xdr:colOff>
      <xdr:row>139</xdr:row>
      <xdr:rowOff>95250</xdr:rowOff>
    </xdr:from>
    <xdr:to>
      <xdr:col>19</xdr:col>
      <xdr:colOff>113453</xdr:colOff>
      <xdr:row>152</xdr:row>
      <xdr:rowOff>152114</xdr:rowOff>
    </xdr:to>
    <xdr:pic>
      <xdr:nvPicPr>
        <xdr:cNvPr id="18" name="图片 17">
          <a:extLst>
            <a:ext uri="{FF2B5EF4-FFF2-40B4-BE49-F238E27FC236}">
              <a16:creationId xmlns:a16="http://schemas.microsoft.com/office/drawing/2014/main" id="{DE202A1D-8919-4D3D-9E55-5A1A7D1C514D}"/>
            </a:ext>
          </a:extLst>
        </xdr:cNvPr>
        <xdr:cNvPicPr>
          <a:picLocks noChangeAspect="1"/>
        </xdr:cNvPicPr>
      </xdr:nvPicPr>
      <xdr:blipFill>
        <a:blip xmlns:r="http://schemas.openxmlformats.org/officeDocument/2006/relationships" r:embed="rId17"/>
        <a:stretch>
          <a:fillRect/>
        </a:stretch>
      </xdr:blipFill>
      <xdr:spPr>
        <a:xfrm>
          <a:off x="6981825" y="23936325"/>
          <a:ext cx="6771428" cy="2285714"/>
        </a:xfrm>
        <a:prstGeom prst="rect">
          <a:avLst/>
        </a:prstGeom>
      </xdr:spPr>
    </xdr:pic>
    <xdr:clientData/>
  </xdr:twoCellAnchor>
  <xdr:twoCellAnchor editAs="oneCell">
    <xdr:from>
      <xdr:col>0</xdr:col>
      <xdr:colOff>0</xdr:colOff>
      <xdr:row>159</xdr:row>
      <xdr:rowOff>38100</xdr:rowOff>
    </xdr:from>
    <xdr:to>
      <xdr:col>9</xdr:col>
      <xdr:colOff>265819</xdr:colOff>
      <xdr:row>179</xdr:row>
      <xdr:rowOff>18624</xdr:rowOff>
    </xdr:to>
    <xdr:pic>
      <xdr:nvPicPr>
        <xdr:cNvPr id="19" name="图片 18">
          <a:extLst>
            <a:ext uri="{FF2B5EF4-FFF2-40B4-BE49-F238E27FC236}">
              <a16:creationId xmlns:a16="http://schemas.microsoft.com/office/drawing/2014/main" id="{329D46C1-A15A-41C8-9EBC-870ACEB7156B}"/>
            </a:ext>
          </a:extLst>
        </xdr:cNvPr>
        <xdr:cNvPicPr>
          <a:picLocks noChangeAspect="1"/>
        </xdr:cNvPicPr>
      </xdr:nvPicPr>
      <xdr:blipFill>
        <a:blip xmlns:r="http://schemas.openxmlformats.org/officeDocument/2006/relationships" r:embed="rId18"/>
        <a:stretch>
          <a:fillRect/>
        </a:stretch>
      </xdr:blipFill>
      <xdr:spPr>
        <a:xfrm>
          <a:off x="0" y="27308175"/>
          <a:ext cx="7047619" cy="3409524"/>
        </a:xfrm>
        <a:prstGeom prst="rect">
          <a:avLst/>
        </a:prstGeom>
      </xdr:spPr>
    </xdr:pic>
    <xdr:clientData/>
  </xdr:twoCellAnchor>
  <xdr:twoCellAnchor editAs="oneCell">
    <xdr:from>
      <xdr:col>8</xdr:col>
      <xdr:colOff>628650</xdr:colOff>
      <xdr:row>161</xdr:row>
      <xdr:rowOff>76200</xdr:rowOff>
    </xdr:from>
    <xdr:to>
      <xdr:col>18</xdr:col>
      <xdr:colOff>656364</xdr:colOff>
      <xdr:row>174</xdr:row>
      <xdr:rowOff>56874</xdr:rowOff>
    </xdr:to>
    <xdr:pic>
      <xdr:nvPicPr>
        <xdr:cNvPr id="20" name="图片 19">
          <a:extLst>
            <a:ext uri="{FF2B5EF4-FFF2-40B4-BE49-F238E27FC236}">
              <a16:creationId xmlns:a16="http://schemas.microsoft.com/office/drawing/2014/main" id="{CEB6A57A-797E-4D79-8CD0-1DB394E63337}"/>
            </a:ext>
          </a:extLst>
        </xdr:cNvPr>
        <xdr:cNvPicPr>
          <a:picLocks noChangeAspect="1"/>
        </xdr:cNvPicPr>
      </xdr:nvPicPr>
      <xdr:blipFill>
        <a:blip xmlns:r="http://schemas.openxmlformats.org/officeDocument/2006/relationships" r:embed="rId19"/>
        <a:stretch>
          <a:fillRect/>
        </a:stretch>
      </xdr:blipFill>
      <xdr:spPr>
        <a:xfrm>
          <a:off x="6724650" y="27689175"/>
          <a:ext cx="6885714" cy="2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16</xdr:col>
      <xdr:colOff>427362</xdr:colOff>
      <xdr:row>31</xdr:row>
      <xdr:rowOff>218717</xdr:rowOff>
    </xdr:to>
    <xdr:pic>
      <xdr:nvPicPr>
        <xdr:cNvPr id="2" name="图片 1">
          <a:extLst>
            <a:ext uri="{FF2B5EF4-FFF2-40B4-BE49-F238E27FC236}">
              <a16:creationId xmlns:a16="http://schemas.microsoft.com/office/drawing/2014/main" id="{767CC0F1-A500-475B-8624-648215C72327}"/>
            </a:ext>
          </a:extLst>
        </xdr:cNvPr>
        <xdr:cNvPicPr>
          <a:picLocks noChangeAspect="1"/>
        </xdr:cNvPicPr>
      </xdr:nvPicPr>
      <xdr:blipFill>
        <a:blip xmlns:r="http://schemas.openxmlformats.org/officeDocument/2006/relationships" r:embed="rId1"/>
        <a:stretch>
          <a:fillRect/>
        </a:stretch>
      </xdr:blipFill>
      <xdr:spPr>
        <a:xfrm>
          <a:off x="0" y="5029200"/>
          <a:ext cx="10104762" cy="2866667"/>
        </a:xfrm>
        <a:prstGeom prst="rect">
          <a:avLst/>
        </a:prstGeom>
      </xdr:spPr>
    </xdr:pic>
    <xdr:clientData/>
  </xdr:twoCellAnchor>
  <xdr:twoCellAnchor editAs="oneCell">
    <xdr:from>
      <xdr:col>0</xdr:col>
      <xdr:colOff>0</xdr:colOff>
      <xdr:row>36</xdr:row>
      <xdr:rowOff>28575</xdr:rowOff>
    </xdr:from>
    <xdr:to>
      <xdr:col>16</xdr:col>
      <xdr:colOff>408314</xdr:colOff>
      <xdr:row>39</xdr:row>
      <xdr:rowOff>209435</xdr:rowOff>
    </xdr:to>
    <xdr:pic>
      <xdr:nvPicPr>
        <xdr:cNvPr id="4" name="图片 3">
          <a:extLst>
            <a:ext uri="{FF2B5EF4-FFF2-40B4-BE49-F238E27FC236}">
              <a16:creationId xmlns:a16="http://schemas.microsoft.com/office/drawing/2014/main" id="{F6A54EDC-1139-4959-BC7F-25FD72694921}"/>
            </a:ext>
          </a:extLst>
        </xdr:cNvPr>
        <xdr:cNvPicPr>
          <a:picLocks noChangeAspect="1"/>
        </xdr:cNvPicPr>
      </xdr:nvPicPr>
      <xdr:blipFill>
        <a:blip xmlns:r="http://schemas.openxmlformats.org/officeDocument/2006/relationships" r:embed="rId2"/>
        <a:stretch>
          <a:fillRect/>
        </a:stretch>
      </xdr:blipFill>
      <xdr:spPr>
        <a:xfrm>
          <a:off x="0" y="8943975"/>
          <a:ext cx="10085714" cy="923810"/>
        </a:xfrm>
        <a:prstGeom prst="rect">
          <a:avLst/>
        </a:prstGeom>
      </xdr:spPr>
    </xdr:pic>
    <xdr:clientData/>
  </xdr:twoCellAnchor>
  <xdr:twoCellAnchor editAs="oneCell">
    <xdr:from>
      <xdr:col>0</xdr:col>
      <xdr:colOff>1</xdr:colOff>
      <xdr:row>12</xdr:row>
      <xdr:rowOff>95250</xdr:rowOff>
    </xdr:from>
    <xdr:to>
      <xdr:col>15</xdr:col>
      <xdr:colOff>504826</xdr:colOff>
      <xdr:row>19</xdr:row>
      <xdr:rowOff>75971</xdr:rowOff>
    </xdr:to>
    <xdr:pic>
      <xdr:nvPicPr>
        <xdr:cNvPr id="8" name="图片 7">
          <a:extLst>
            <a:ext uri="{FF2B5EF4-FFF2-40B4-BE49-F238E27FC236}">
              <a16:creationId xmlns:a16="http://schemas.microsoft.com/office/drawing/2014/main" id="{0B1C8FA4-3EEB-422B-8EC2-126D13B14E30}"/>
            </a:ext>
          </a:extLst>
        </xdr:cNvPr>
        <xdr:cNvPicPr>
          <a:picLocks noChangeAspect="1"/>
        </xdr:cNvPicPr>
      </xdr:nvPicPr>
      <xdr:blipFill>
        <a:blip xmlns:r="http://schemas.openxmlformats.org/officeDocument/2006/relationships" r:embed="rId3"/>
        <a:stretch>
          <a:fillRect/>
        </a:stretch>
      </xdr:blipFill>
      <xdr:spPr>
        <a:xfrm>
          <a:off x="1" y="3067050"/>
          <a:ext cx="9353550" cy="1714271"/>
        </a:xfrm>
        <a:prstGeom prst="rect">
          <a:avLst/>
        </a:prstGeom>
      </xdr:spPr>
    </xdr:pic>
    <xdr:clientData/>
  </xdr:twoCellAnchor>
  <xdr:twoCellAnchor editAs="oneCell">
    <xdr:from>
      <xdr:col>0</xdr:col>
      <xdr:colOff>0</xdr:colOff>
      <xdr:row>5</xdr:row>
      <xdr:rowOff>142876</xdr:rowOff>
    </xdr:from>
    <xdr:to>
      <xdr:col>15</xdr:col>
      <xdr:colOff>504825</xdr:colOff>
      <xdr:row>12</xdr:row>
      <xdr:rowOff>113986</xdr:rowOff>
    </xdr:to>
    <xdr:pic>
      <xdr:nvPicPr>
        <xdr:cNvPr id="9" name="图片 8">
          <a:extLst>
            <a:ext uri="{FF2B5EF4-FFF2-40B4-BE49-F238E27FC236}">
              <a16:creationId xmlns:a16="http://schemas.microsoft.com/office/drawing/2014/main" id="{36D0C2FB-D966-4FDE-939E-B645D9D07DAB}"/>
            </a:ext>
          </a:extLst>
        </xdr:cNvPr>
        <xdr:cNvPicPr>
          <a:picLocks noChangeAspect="1"/>
        </xdr:cNvPicPr>
      </xdr:nvPicPr>
      <xdr:blipFill>
        <a:blip xmlns:r="http://schemas.openxmlformats.org/officeDocument/2006/relationships" r:embed="rId4"/>
        <a:stretch>
          <a:fillRect/>
        </a:stretch>
      </xdr:blipFill>
      <xdr:spPr>
        <a:xfrm>
          <a:off x="0" y="1381126"/>
          <a:ext cx="9353550" cy="1704660"/>
        </a:xfrm>
        <a:prstGeom prst="rect">
          <a:avLst/>
        </a:prstGeom>
      </xdr:spPr>
    </xdr:pic>
    <xdr:clientData/>
  </xdr:twoCellAnchor>
  <xdr:twoCellAnchor editAs="oneCell">
    <xdr:from>
      <xdr:col>0</xdr:col>
      <xdr:colOff>0</xdr:colOff>
      <xdr:row>32</xdr:row>
      <xdr:rowOff>38100</xdr:rowOff>
    </xdr:from>
    <xdr:to>
      <xdr:col>16</xdr:col>
      <xdr:colOff>427362</xdr:colOff>
      <xdr:row>35</xdr:row>
      <xdr:rowOff>228483</xdr:rowOff>
    </xdr:to>
    <xdr:pic>
      <xdr:nvPicPr>
        <xdr:cNvPr id="12" name="图片 11">
          <a:extLst>
            <a:ext uri="{FF2B5EF4-FFF2-40B4-BE49-F238E27FC236}">
              <a16:creationId xmlns:a16="http://schemas.microsoft.com/office/drawing/2014/main" id="{0F5262D2-382E-4197-A25D-B6616C7A56EF}"/>
            </a:ext>
          </a:extLst>
        </xdr:cNvPr>
        <xdr:cNvPicPr>
          <a:picLocks noChangeAspect="1"/>
        </xdr:cNvPicPr>
      </xdr:nvPicPr>
      <xdr:blipFill>
        <a:blip xmlns:r="http://schemas.openxmlformats.org/officeDocument/2006/relationships" r:embed="rId5"/>
        <a:stretch>
          <a:fillRect/>
        </a:stretch>
      </xdr:blipFill>
      <xdr:spPr>
        <a:xfrm>
          <a:off x="0" y="7962900"/>
          <a:ext cx="10104762" cy="933333"/>
        </a:xfrm>
        <a:prstGeom prst="rect">
          <a:avLst/>
        </a:prstGeom>
      </xdr:spPr>
    </xdr:pic>
    <xdr:clientData/>
  </xdr:twoCellAnchor>
  <xdr:twoCellAnchor editAs="oneCell">
    <xdr:from>
      <xdr:col>0</xdr:col>
      <xdr:colOff>9525</xdr:colOff>
      <xdr:row>39</xdr:row>
      <xdr:rowOff>209550</xdr:rowOff>
    </xdr:from>
    <xdr:to>
      <xdr:col>16</xdr:col>
      <xdr:colOff>419101</xdr:colOff>
      <xdr:row>43</xdr:row>
      <xdr:rowOff>104664</xdr:rowOff>
    </xdr:to>
    <xdr:pic>
      <xdr:nvPicPr>
        <xdr:cNvPr id="13" name="图片 12">
          <a:extLst>
            <a:ext uri="{FF2B5EF4-FFF2-40B4-BE49-F238E27FC236}">
              <a16:creationId xmlns:a16="http://schemas.microsoft.com/office/drawing/2014/main" id="{0E28A017-6B1D-47C6-AF0E-CECE095BA852}"/>
            </a:ext>
          </a:extLst>
        </xdr:cNvPr>
        <xdr:cNvPicPr>
          <a:picLocks noChangeAspect="1"/>
        </xdr:cNvPicPr>
      </xdr:nvPicPr>
      <xdr:blipFill>
        <a:blip xmlns:r="http://schemas.openxmlformats.org/officeDocument/2006/relationships" r:embed="rId6"/>
        <a:stretch>
          <a:fillRect/>
        </a:stretch>
      </xdr:blipFill>
      <xdr:spPr>
        <a:xfrm>
          <a:off x="9525" y="9867900"/>
          <a:ext cx="10086976" cy="885714"/>
        </a:xfrm>
        <a:prstGeom prst="rect">
          <a:avLst/>
        </a:prstGeom>
      </xdr:spPr>
    </xdr:pic>
    <xdr:clientData/>
  </xdr:twoCellAnchor>
  <xdr:twoCellAnchor editAs="oneCell">
    <xdr:from>
      <xdr:col>15</xdr:col>
      <xdr:colOff>676275</xdr:colOff>
      <xdr:row>5</xdr:row>
      <xdr:rowOff>130301</xdr:rowOff>
    </xdr:from>
    <xdr:to>
      <xdr:col>16</xdr:col>
      <xdr:colOff>2466205</xdr:colOff>
      <xdr:row>13</xdr:row>
      <xdr:rowOff>237510</xdr:rowOff>
    </xdr:to>
    <xdr:pic>
      <xdr:nvPicPr>
        <xdr:cNvPr id="14" name="图片 13">
          <a:extLst>
            <a:ext uri="{FF2B5EF4-FFF2-40B4-BE49-F238E27FC236}">
              <a16:creationId xmlns:a16="http://schemas.microsoft.com/office/drawing/2014/main" id="{77BEAF56-C6F4-49A4-92D4-74BE39E699EE}"/>
            </a:ext>
          </a:extLst>
        </xdr:cNvPr>
        <xdr:cNvPicPr>
          <a:picLocks noChangeAspect="1"/>
        </xdr:cNvPicPr>
      </xdr:nvPicPr>
      <xdr:blipFill>
        <a:blip xmlns:r="http://schemas.openxmlformats.org/officeDocument/2006/relationships" r:embed="rId7"/>
        <a:stretch>
          <a:fillRect/>
        </a:stretch>
      </xdr:blipFill>
      <xdr:spPr>
        <a:xfrm>
          <a:off x="9525000" y="1368551"/>
          <a:ext cx="2618605" cy="20884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427800</xdr:colOff>
      <xdr:row>29</xdr:row>
      <xdr:rowOff>151759</xdr:rowOff>
    </xdr:to>
    <xdr:pic>
      <xdr:nvPicPr>
        <xdr:cNvPr id="2" name="图片 1">
          <a:extLst>
            <a:ext uri="{FF2B5EF4-FFF2-40B4-BE49-F238E27FC236}">
              <a16:creationId xmlns:a16="http://schemas.microsoft.com/office/drawing/2014/main" id="{0FA87EAC-96A4-4234-8B47-4E4D2FEEE1B4}"/>
            </a:ext>
          </a:extLst>
        </xdr:cNvPr>
        <xdr:cNvPicPr>
          <a:picLocks noChangeAspect="1"/>
        </xdr:cNvPicPr>
      </xdr:nvPicPr>
      <xdr:blipFill>
        <a:blip xmlns:r="http://schemas.openxmlformats.org/officeDocument/2006/relationships" r:embed="rId1"/>
        <a:stretch>
          <a:fillRect/>
        </a:stretch>
      </xdr:blipFill>
      <xdr:spPr>
        <a:xfrm>
          <a:off x="0" y="0"/>
          <a:ext cx="6600000" cy="5123809"/>
        </a:xfrm>
        <a:prstGeom prst="rect">
          <a:avLst/>
        </a:prstGeom>
      </xdr:spPr>
    </xdr:pic>
    <xdr:clientData/>
  </xdr:twoCellAnchor>
  <xdr:twoCellAnchor editAs="oneCell">
    <xdr:from>
      <xdr:col>0</xdr:col>
      <xdr:colOff>0</xdr:colOff>
      <xdr:row>30</xdr:row>
      <xdr:rowOff>0</xdr:rowOff>
    </xdr:from>
    <xdr:to>
      <xdr:col>9</xdr:col>
      <xdr:colOff>361133</xdr:colOff>
      <xdr:row>59</xdr:row>
      <xdr:rowOff>37474</xdr:rowOff>
    </xdr:to>
    <xdr:pic>
      <xdr:nvPicPr>
        <xdr:cNvPr id="3" name="图片 2">
          <a:extLst>
            <a:ext uri="{FF2B5EF4-FFF2-40B4-BE49-F238E27FC236}">
              <a16:creationId xmlns:a16="http://schemas.microsoft.com/office/drawing/2014/main" id="{E5BC8405-75AC-4FC0-8743-91CEEFA76D44}"/>
            </a:ext>
          </a:extLst>
        </xdr:cNvPr>
        <xdr:cNvPicPr>
          <a:picLocks noChangeAspect="1"/>
        </xdr:cNvPicPr>
      </xdr:nvPicPr>
      <xdr:blipFill>
        <a:blip xmlns:r="http://schemas.openxmlformats.org/officeDocument/2006/relationships" r:embed="rId2"/>
        <a:stretch>
          <a:fillRect/>
        </a:stretch>
      </xdr:blipFill>
      <xdr:spPr>
        <a:xfrm>
          <a:off x="0" y="5143500"/>
          <a:ext cx="6533333" cy="5009524"/>
        </a:xfrm>
        <a:prstGeom prst="rect">
          <a:avLst/>
        </a:prstGeom>
      </xdr:spPr>
    </xdr:pic>
    <xdr:clientData/>
  </xdr:twoCellAnchor>
  <xdr:twoCellAnchor editAs="oneCell">
    <xdr:from>
      <xdr:col>0</xdr:col>
      <xdr:colOff>0</xdr:colOff>
      <xdr:row>60</xdr:row>
      <xdr:rowOff>0</xdr:rowOff>
    </xdr:from>
    <xdr:to>
      <xdr:col>9</xdr:col>
      <xdr:colOff>675419</xdr:colOff>
      <xdr:row>74</xdr:row>
      <xdr:rowOff>75890</xdr:rowOff>
    </xdr:to>
    <xdr:pic>
      <xdr:nvPicPr>
        <xdr:cNvPr id="5" name="图片 4">
          <a:extLst>
            <a:ext uri="{FF2B5EF4-FFF2-40B4-BE49-F238E27FC236}">
              <a16:creationId xmlns:a16="http://schemas.microsoft.com/office/drawing/2014/main" id="{FEB7A073-6C2A-417F-8724-A6ECF13AEAAF}"/>
            </a:ext>
          </a:extLst>
        </xdr:cNvPr>
        <xdr:cNvPicPr>
          <a:picLocks noChangeAspect="1"/>
        </xdr:cNvPicPr>
      </xdr:nvPicPr>
      <xdr:blipFill>
        <a:blip xmlns:r="http://schemas.openxmlformats.org/officeDocument/2006/relationships" r:embed="rId3"/>
        <a:stretch>
          <a:fillRect/>
        </a:stretch>
      </xdr:blipFill>
      <xdr:spPr>
        <a:xfrm>
          <a:off x="0" y="10287000"/>
          <a:ext cx="6847619" cy="2476190"/>
        </a:xfrm>
        <a:prstGeom prst="rect">
          <a:avLst/>
        </a:prstGeom>
      </xdr:spPr>
    </xdr:pic>
    <xdr:clientData/>
  </xdr:twoCellAnchor>
  <xdr:twoCellAnchor editAs="oneCell">
    <xdr:from>
      <xdr:col>11</xdr:col>
      <xdr:colOff>342900</xdr:colOff>
      <xdr:row>0</xdr:row>
      <xdr:rowOff>0</xdr:rowOff>
    </xdr:from>
    <xdr:to>
      <xdr:col>21</xdr:col>
      <xdr:colOff>570614</xdr:colOff>
      <xdr:row>16</xdr:row>
      <xdr:rowOff>66324</xdr:rowOff>
    </xdr:to>
    <xdr:pic>
      <xdr:nvPicPr>
        <xdr:cNvPr id="4" name="图片 3">
          <a:extLst>
            <a:ext uri="{FF2B5EF4-FFF2-40B4-BE49-F238E27FC236}">
              <a16:creationId xmlns:a16="http://schemas.microsoft.com/office/drawing/2014/main" id="{F0C0F1B8-7EB2-4DEA-BF60-C2E0AD85284E}"/>
            </a:ext>
          </a:extLst>
        </xdr:cNvPr>
        <xdr:cNvPicPr>
          <a:picLocks noChangeAspect="1"/>
        </xdr:cNvPicPr>
      </xdr:nvPicPr>
      <xdr:blipFill>
        <a:blip xmlns:r="http://schemas.openxmlformats.org/officeDocument/2006/relationships" r:embed="rId4"/>
        <a:stretch>
          <a:fillRect/>
        </a:stretch>
      </xdr:blipFill>
      <xdr:spPr>
        <a:xfrm>
          <a:off x="7886700" y="0"/>
          <a:ext cx="7085714"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陈颖（注册号：1120060040)、梁津（注册号：1119970066)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估价对象为北京市房地产，为所有。根据《国有土地使用证》[]，估价对象（分摊）出让国有建设用地使用权面积为0平方米，建筑面积为100.61平方米。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估价对象为北京市房地产,属开发建设的，该项目尚在开发建设中。根据《国有土地使用证》[]，估价对象（分摊）出让国有建设用地使用权面积为0平方米，规划建筑面积为100.61平方米。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2022年9月17日</v>
      </c>
    </row>
    <row r="13" spans="1:2" s="1203" customFormat="1">
      <c r="A13" s="1201" t="s">
        <v>529</v>
      </c>
      <c r="B13" s="1202" t="str">
        <f>'预评函-1'!A18</f>
        <v>本次估价的“房地产价值”是指在正常市场情况下，在价值时点2022年9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梁津</v>
      </c>
    </row>
    <row r="73" spans="1:2" s="1197" customFormat="1" ht="15" thickBot="1">
      <c r="A73" s="1204" t="s">
        <v>565</v>
      </c>
      <c r="B73" s="1205">
        <f ca="1">'预评函-4'!B5</f>
        <v>1119970066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47" t="s">
        <v>2583</v>
      </c>
      <c r="J2" s="3547"/>
      <c r="K2" s="3547"/>
      <c r="L2" s="3547"/>
      <c r="M2" s="3547"/>
      <c r="N2" s="3547"/>
      <c r="O2" s="3547"/>
      <c r="P2" s="3547"/>
      <c r="Q2" s="3547"/>
      <c r="R2" s="3547"/>
    </row>
    <row r="3" spans="1:18">
      <c r="A3" s="3020" t="s">
        <v>2504</v>
      </c>
      <c r="B3" s="3021">
        <f>项目基本情况!D3</f>
        <v>44821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4.25</v>
      </c>
      <c r="D5" s="3025">
        <f>IF(ISERROR(ROUND(POWER(1+E5,A5-C5)*(POWER(1+E5,C5)-1)/(POWER(1+E5,A5)-1),3)),0,ROUND(POWER(1+E5,A5-C5)*(POWER(1+E5,C5)-1)/(POWER(1+E5,A5)-1),4))</f>
        <v>0.19389999999999999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14.26</v>
      </c>
      <c r="D6" s="3025">
        <f>IF(ISERROR(ROUND(POWER(1+E6,A6-C6)*(POWER(1+E6,C6)-1)/(POWER(1+E6,A6)-1),3)),0,ROUND(POWER(1+E6,A6-C6)*(POWER(1+E6,C6)-1)/(POWER(1+E6,A6)-1),4))</f>
        <v>0.4985</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34.270000000000003</v>
      </c>
      <c r="D7" s="3025">
        <f>IF(ISERROR(ROUND(POWER(1+E7,A7-C7)*(POWER(1+E7,C7)-1)/(POWER(1+E7,A7)-1),3)),0,ROUND(POWER(1+E7,A7-C7)*(POWER(1+E7,C7)-1)/(POWER(1+E7,A7)-1),4))</f>
        <v>0.79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21" sqref="E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8" t="str">
        <f>IF(B10="北京市","北京市",C10)&amp;F10&amp;IF(结果表!G1="在建","出让国有建设用地使用权及在建建筑物",IF(结果表!G1="土地","出让国有建设用地使用权",))&amp;B9&amp;"预评估"</f>
        <v>北京市预评估</v>
      </c>
      <c r="C1" s="3549"/>
      <c r="D1" s="3549"/>
      <c r="E1" s="3549"/>
      <c r="F1" s="3549"/>
      <c r="G1" s="3549"/>
      <c r="H1" s="3549"/>
      <c r="I1" s="355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45231</v>
      </c>
      <c r="C3" s="2374" t="s">
        <v>2171</v>
      </c>
      <c r="D3" s="2373">
        <v>44821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3499</v>
      </c>
      <c r="C4" s="2376">
        <f ca="1">SUMIF(注册房地产估价师,B4,估价师及机构信息!B3:B24)</f>
        <v>1120060040</v>
      </c>
      <c r="D4" s="2375" t="s">
        <v>3500</v>
      </c>
      <c r="E4" s="2377">
        <f ca="1">SUMIF(注册房地产估价师,D4,估价师及机构信息!B3:B24)</f>
        <v>1119970066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陈颖（注册号：1120060040)、梁津（注册号：1119970066)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51" t="s">
        <v>2177</v>
      </c>
      <c r="E8" s="2391"/>
      <c r="F8" s="2392"/>
      <c r="G8" s="2663"/>
      <c r="H8" s="2663"/>
      <c r="I8" s="2663"/>
      <c r="J8" s="2439"/>
      <c r="K8" s="2614"/>
      <c r="L8" s="2613"/>
      <c r="M8" s="2613"/>
      <c r="N8" s="2439"/>
      <c r="O8" s="2450"/>
      <c r="P8" s="2439"/>
      <c r="Q8" s="2439"/>
      <c r="R8" s="2439"/>
    </row>
    <row r="9" spans="1:30" ht="13.5" thickBot="1">
      <c r="A9" s="2393" t="s">
        <v>2178</v>
      </c>
      <c r="B9" s="2394"/>
      <c r="C9" s="2395"/>
      <c r="D9" s="3552"/>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v>62593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48.69</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58"/>
      <c r="C16" s="3559"/>
      <c r="D16" s="3560"/>
      <c r="E16" s="2413" t="s">
        <v>2194</v>
      </c>
      <c r="F16" s="3561"/>
      <c r="G16" s="3562"/>
      <c r="H16" s="3562"/>
      <c r="I16" s="3563"/>
      <c r="J16" s="2439"/>
      <c r="K16" s="2617"/>
      <c r="L16" s="2451"/>
      <c r="M16" s="2451"/>
      <c r="N16" s="2509"/>
      <c r="O16" s="2451"/>
      <c r="P16" s="2509"/>
      <c r="Q16" s="2439"/>
      <c r="R16" s="2439"/>
    </row>
    <row r="17" spans="1:28">
      <c r="A17" s="313" t="s">
        <v>2195</v>
      </c>
      <c r="B17" s="302" t="s">
        <v>2196</v>
      </c>
      <c r="C17" s="8">
        <f>'数据-汇总表'!E3</f>
        <v>100.61</v>
      </c>
      <c r="D17" s="2322" t="s">
        <v>2197</v>
      </c>
      <c r="E17" s="3564" t="s">
        <v>2198</v>
      </c>
      <c r="F17" s="3565"/>
      <c r="G17" s="3565"/>
      <c r="H17" s="3565"/>
      <c r="I17" s="356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7" t="s">
        <v>2202</v>
      </c>
      <c r="F18" s="3568"/>
      <c r="G18" s="3568"/>
      <c r="H18" s="3568"/>
      <c r="I18" s="356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4" t="s">
        <v>2206</v>
      </c>
      <c r="C20" s="3555"/>
      <c r="D20" s="3556" t="s">
        <v>2207</v>
      </c>
      <c r="E20" s="3557"/>
      <c r="F20" s="2647" t="s">
        <v>1056</v>
      </c>
      <c r="G20" s="2664"/>
      <c r="H20" s="2664"/>
      <c r="I20" s="2664"/>
      <c r="J20" s="2439"/>
      <c r="K20" s="355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7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2"/>
      <c r="B30" s="302" t="s">
        <v>2218</v>
      </c>
      <c r="C30" s="3573"/>
      <c r="D30" s="3574"/>
      <c r="E30" s="2664"/>
      <c r="F30" s="2664"/>
      <c r="G30" s="2664"/>
      <c r="H30" s="2664"/>
      <c r="I30" s="2664"/>
      <c r="J30" s="2439"/>
      <c r="K30" s="2616"/>
      <c r="L30" s="2613"/>
      <c r="M30" s="2613"/>
      <c r="N30" s="2439"/>
      <c r="O30" s="2450"/>
      <c r="P30" s="2439"/>
      <c r="Q30" s="2439"/>
      <c r="R30" s="2439"/>
      <c r="S30" s="2439"/>
      <c r="T30" s="2439"/>
      <c r="U30" s="2439"/>
      <c r="V30" s="2439"/>
    </row>
    <row r="31" spans="1:28">
      <c r="A31" s="357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0" t="s">
        <v>2228</v>
      </c>
      <c r="T34" s="2428" t="str">
        <f>NUMBERSTRING(7-K34,1)&amp;"通"</f>
        <v>七通</v>
      </c>
      <c r="U34" s="2439"/>
      <c r="V34" s="2439"/>
    </row>
    <row r="35" spans="1:30">
      <c r="A35" s="2429"/>
      <c r="B35" s="3577" t="s">
        <v>2229</v>
      </c>
      <c r="C35" s="3577"/>
      <c r="D35" s="3577"/>
      <c r="E35" s="357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100.61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100.61</v>
      </c>
      <c r="H5" s="13">
        <f t="shared" ref="H5:AT5" si="0">SUM(H13:H656)</f>
        <v>100.61</v>
      </c>
      <c r="I5" s="13">
        <f t="shared" si="0"/>
        <v>100.61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100.61</v>
      </c>
      <c r="BA5" s="15">
        <f t="shared" si="1"/>
        <v>100.61</v>
      </c>
      <c r="BB5" s="15">
        <f t="shared" si="1"/>
        <v>100.61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100.61</v>
      </c>
      <c r="H13" s="17">
        <f>SUMIF(I$12:AB$12,"总值",I13:AB13)</f>
        <v>100.61</v>
      </c>
      <c r="I13" s="1626">
        <v>100.61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100.61</v>
      </c>
      <c r="BA13" s="13">
        <f>SUM(BB13:BK13)</f>
        <v>100.61</v>
      </c>
      <c r="BB13" s="13">
        <f>IF($D13="是",I13-J13,0)</f>
        <v>100.61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7" t="s">
        <v>1131</v>
      </c>
      <c r="B2" s="3587"/>
      <c r="C2" s="3587"/>
      <c r="D2" s="796" t="s">
        <v>1107</v>
      </c>
      <c r="E2" s="1639" t="s">
        <v>1108</v>
      </c>
      <c r="F2" s="2659"/>
      <c r="G2" s="2650"/>
      <c r="H2" s="2651"/>
      <c r="I2" s="2325" t="s">
        <v>1132</v>
      </c>
      <c r="J2" s="2659"/>
      <c r="K2" s="2659"/>
      <c r="L2" s="2659"/>
      <c r="M2" s="2659"/>
      <c r="N2" s="2661"/>
      <c r="O2" s="2659"/>
      <c r="P2" s="2659"/>
    </row>
    <row r="3" spans="1:16" ht="15.75" thickBot="1">
      <c r="A3" s="3588" t="s">
        <v>1105</v>
      </c>
      <c r="B3" s="3588"/>
      <c r="C3" s="3588"/>
      <c r="D3" s="43">
        <f>'数据-基础表'!AY6</f>
        <v>0</v>
      </c>
      <c r="E3" s="43">
        <f>'数据-基础表'!AZ5</f>
        <v>100.61</v>
      </c>
      <c r="F3" s="2659"/>
      <c r="G3" s="1145"/>
      <c r="H3" s="1026" t="s">
        <v>1106</v>
      </c>
      <c r="I3" s="855" t="e">
        <f>ROUND('数据-基础表'!B3/'数据-基础表'!A3,2)</f>
        <v>#DIV/0!</v>
      </c>
      <c r="J3" s="2659"/>
      <c r="K3" s="2659"/>
      <c r="L3" s="2659"/>
      <c r="M3" s="2659"/>
      <c r="N3" s="2661"/>
      <c r="O3" s="2659"/>
      <c r="P3" s="2659"/>
    </row>
    <row r="4" spans="1:16" ht="15">
      <c r="A4" s="3589"/>
      <c r="B4" s="3590"/>
      <c r="C4" s="359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92" t="s">
        <v>1110</v>
      </c>
      <c r="C5" s="3592"/>
      <c r="D5" s="45">
        <f>ROUND($D$3*E5/$E$3,2)</f>
        <v>0</v>
      </c>
      <c r="E5" s="46">
        <f>SUMIF('数据-基础表'!$11:$11,"住宅",'数据-基础表'!$5:$5)</f>
        <v>100.61</v>
      </c>
      <c r="F5" s="2659"/>
      <c r="G5" s="1145"/>
      <c r="H5" s="1026" t="s">
        <v>1106</v>
      </c>
      <c r="I5" s="855" t="e">
        <f>ROUND(E31/D31,2)</f>
        <v>#DIV/0!</v>
      </c>
      <c r="J5" s="2659"/>
      <c r="K5" s="2659"/>
      <c r="L5" s="2659"/>
      <c r="M5" s="2659"/>
      <c r="N5" s="2659"/>
      <c r="O5" s="2659"/>
      <c r="P5" s="2659"/>
    </row>
    <row r="6" spans="1:16" ht="15" thickBot="1">
      <c r="A6" s="1644"/>
      <c r="B6" s="3592" t="s">
        <v>1111</v>
      </c>
      <c r="C6" s="3592"/>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84"/>
      <c r="B7" s="3585"/>
      <c r="C7" s="358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100.61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100.61</v>
      </c>
      <c r="F16" s="2659"/>
      <c r="G16" s="2660"/>
      <c r="H16" s="1648" t="s">
        <v>1135</v>
      </c>
      <c r="I16" s="1649"/>
      <c r="J16" s="1139"/>
      <c r="K16" s="3581" t="s">
        <v>1135</v>
      </c>
      <c r="L16" s="3582"/>
      <c r="M16" s="3582"/>
      <c r="N16" s="3582"/>
      <c r="O16" s="3582"/>
      <c r="P16" s="3583"/>
    </row>
    <row r="17" spans="1:19" ht="15">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100.61</v>
      </c>
      <c r="F19" s="2795">
        <f>'数据-基础表'!I13</f>
        <v>100.61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100.61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100.61</v>
      </c>
      <c r="F27" s="1140">
        <f>IF(SUM(F19:F26)=E8,SUM(F19:F26),"地上面积有误")</f>
        <v>100.61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100.61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100.61</v>
      </c>
      <c r="F31" s="677">
        <f>F27+F30</f>
        <v>100.61</v>
      </c>
      <c r="G31" s="678">
        <f>G27+G30</f>
        <v>0</v>
      </c>
      <c r="H31" s="2659"/>
      <c r="I31" s="2659"/>
      <c r="J31" s="2659"/>
      <c r="K31" s="2659"/>
      <c r="L31" s="2659"/>
      <c r="M31" s="2659"/>
      <c r="N31" s="2659"/>
      <c r="O31" s="2659"/>
      <c r="P31" s="2659"/>
    </row>
    <row r="32" spans="1:19">
      <c r="A32" s="1643"/>
      <c r="B32" s="1643" t="s">
        <v>1159</v>
      </c>
      <c r="C32" s="1643"/>
      <c r="D32" s="1643"/>
      <c r="E32" s="1053">
        <f>SUMIF(C19:C26,"*住宅*",E19:E26)</f>
        <v>100.61</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13" sqref="K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44821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62593</v>
      </c>
      <c r="F6" s="64">
        <f>SUMIF(项目基本情况!C$12:I$12,C6,项目基本情况!C$15:I$15)</f>
        <v>48.69</v>
      </c>
      <c r="G6" s="65">
        <f>IF(ISERROR(ROUND(POWER(1+H6,D6-F6)*(POWER(1+H6,F6)-1)/(POWER(1+H6,D6)-1),3)),0,ROUND(POWER(1+H6,D6-F6)*(POWER(1+H6,F6)-1)/(POWER(1+H6,D6)-1),3))</f>
        <v>0.91</v>
      </c>
      <c r="H6" s="732">
        <v>0.04</v>
      </c>
      <c r="I6" s="732">
        <v>0.04</v>
      </c>
      <c r="J6" s="66">
        <v>6.5000000000000002E-2</v>
      </c>
      <c r="K6" s="1030">
        <f>SUMIF('数据-汇总表'!C$19:C$33,A6,'数据-汇总表'!E$19:E$33)</f>
        <v>100.61</v>
      </c>
      <c r="L6" s="733">
        <v>3500</v>
      </c>
      <c r="M6" s="67">
        <f t="shared" ref="M6:M14" si="0">ROUND(K6*L6/10000,0)</f>
        <v>35</v>
      </c>
      <c r="N6" s="731">
        <v>0.76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14000</v>
      </c>
      <c r="V6" s="70">
        <v>3.5000000000000003E-2</v>
      </c>
      <c r="W6" s="70">
        <v>0.05</v>
      </c>
      <c r="X6" s="1040"/>
      <c r="Y6" s="71">
        <f>N6</f>
        <v>0.76</v>
      </c>
      <c r="Z6" s="72"/>
      <c r="AA6" s="66"/>
      <c r="AB6" s="66"/>
      <c r="AC6" s="1040"/>
      <c r="AD6" s="73"/>
      <c r="AE6" s="1041">
        <f ca="1">IF(AN6="",0,SUMIF(INDIRECT("'"&amp;AN6&amp;"'"&amp;"!E:E"),$AE$5,INDIRECT("'"&amp;AN6&amp;"'"&amp;"!F:F")))</f>
        <v>48.69</v>
      </c>
      <c r="AF6" s="1348"/>
      <c r="AG6" s="138">
        <f>IF(AF6="",0,AE6-AF6)</f>
        <v>0</v>
      </c>
      <c r="AH6" s="74">
        <v>1</v>
      </c>
      <c r="AI6" s="76">
        <v>12</v>
      </c>
      <c r="AJ6" s="77"/>
      <c r="AK6" s="78">
        <v>5.0000000000000001E-3</v>
      </c>
      <c r="AL6" s="79">
        <v>5.0000000000000001E-4</v>
      </c>
      <c r="AM6" s="80">
        <v>5.0000000000000001E-3</v>
      </c>
      <c r="AN6" s="1715" t="s">
        <v>3475</v>
      </c>
      <c r="AO6" s="52">
        <f ca="1">SUMIF(INDIRECT("'"&amp;AN6&amp;"'"&amp;"!A:A"),"总价",INDIRECT("'"&amp;AN6&amp;"'"&amp;"!B:B"))</f>
        <v>627</v>
      </c>
      <c r="AP6" s="1716">
        <f>IF(C6="住宅",K6*L6,0)</f>
        <v>352135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v>
      </c>
      <c r="H16" s="90">
        <f>ROUND(SUMPRODUCT(H6:H13,K6:K13)/SUMPRODUCT((H6:H13&gt;0)*(K6:K13)),3)</f>
        <v>0.04</v>
      </c>
      <c r="I16" s="91"/>
      <c r="J16" s="91"/>
      <c r="K16" s="92">
        <f>SUM(K6:K15)</f>
        <v>100.61</v>
      </c>
      <c r="L16" s="93">
        <f>ROUND(M16*10000/SUM(K6:K14),0)</f>
        <v>3479</v>
      </c>
      <c r="M16" s="93">
        <f>SUM(M6:M14)</f>
        <v>35</v>
      </c>
      <c r="N16" s="94">
        <f>ROUND(SUMPRODUCT(M6:M14,N6:N14)/M16,3)</f>
        <v>0.76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2003</v>
      </c>
      <c r="O19" s="2671">
        <f>N20-N19</f>
        <v>19</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2022</v>
      </c>
      <c r="O20" s="2671">
        <f>O19/60</f>
        <v>0.31666666666666665</v>
      </c>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f>1-O20</f>
        <v>0.68333333333333335</v>
      </c>
      <c r="P21" s="2671">
        <f>(O21+O22)/2</f>
        <v>0.76666666666666661</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v>0.85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4.7500000000000001E-2</v>
      </c>
      <c r="C40" s="2814">
        <v>1.0999999999999999E-2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2">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2"/>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2"/>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2"/>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2"/>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93" t="s">
        <v>2286</v>
      </c>
      <c r="B1" s="3594"/>
      <c r="C1" s="3594"/>
      <c r="D1" s="3594"/>
      <c r="E1" s="3594"/>
      <c r="F1" s="3594"/>
      <c r="G1" s="359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topLeftCell="A10" zoomScale="90" zoomScaleNormal="100" zoomScaleSheetLayoutView="9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t="s">
        <v>3388</v>
      </c>
      <c r="H1" s="1750" t="str">
        <f>IF(G1="现房","——","估价对象范围")</f>
        <v>——</v>
      </c>
      <c r="I1" s="1751" t="s">
        <v>43</v>
      </c>
    </row>
    <row r="2" spans="1:12" ht="21.75" customHeight="1" thickBot="1">
      <c r="A2" s="3662" t="str">
        <f>项目基本情况!S2</f>
        <v>北京市房地产</v>
      </c>
      <c r="B2" s="3663"/>
      <c r="C2" s="3663"/>
      <c r="D2" s="3663"/>
      <c r="E2" s="3663"/>
      <c r="F2" s="3663"/>
      <c r="G2" s="3663"/>
      <c r="H2" s="3663"/>
      <c r="I2" s="3664"/>
    </row>
    <row r="3" spans="1:12" ht="12.75">
      <c r="A3" s="3666" t="s">
        <v>1264</v>
      </c>
      <c r="B3" s="3667"/>
      <c r="C3" s="3667"/>
      <c r="D3" s="3667"/>
      <c r="E3" s="3667"/>
      <c r="F3" s="3667"/>
      <c r="G3" s="3667"/>
      <c r="H3" s="3667"/>
      <c r="I3" s="3667"/>
    </row>
    <row r="4" spans="1:12" ht="14.25">
      <c r="A4" s="1754" t="s">
        <v>1265</v>
      </c>
      <c r="B4" s="1755" t="s">
        <v>1266</v>
      </c>
      <c r="C4" s="1756" t="s">
        <v>3389</v>
      </c>
      <c r="D4" s="1756" t="s">
        <v>3475</v>
      </c>
      <c r="E4" s="3671" t="s">
        <v>1267</v>
      </c>
      <c r="F4" s="3672"/>
      <c r="G4" s="3672"/>
      <c r="H4" s="3672"/>
      <c r="I4" s="367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0" t="s">
        <v>1268</v>
      </c>
      <c r="B5" s="3665">
        <v>25</v>
      </c>
      <c r="C5" s="3668">
        <v>8</v>
      </c>
      <c r="D5" s="3656">
        <v>2</v>
      </c>
      <c r="E5" s="131" t="s">
        <v>1269</v>
      </c>
      <c r="F5" s="1757"/>
      <c r="G5" s="1757"/>
      <c r="H5" s="1757"/>
      <c r="I5" s="1373"/>
    </row>
    <row r="6" spans="1:12" ht="12.75">
      <c r="A6" s="3610"/>
      <c r="B6" s="3665"/>
      <c r="C6" s="3670"/>
      <c r="D6" s="3656"/>
      <c r="E6" s="131" t="s">
        <v>1270</v>
      </c>
      <c r="F6" s="1757"/>
      <c r="G6" s="1757"/>
      <c r="H6" s="1757"/>
      <c r="I6" s="1373"/>
    </row>
    <row r="7" spans="1:12" ht="12.75">
      <c r="A7" s="3610"/>
      <c r="B7" s="3665"/>
      <c r="C7" s="3669"/>
      <c r="D7" s="3656"/>
      <c r="E7" s="131" t="s">
        <v>1271</v>
      </c>
      <c r="F7" s="1757"/>
      <c r="G7" s="1757"/>
      <c r="H7" s="1757"/>
      <c r="I7" s="1373"/>
    </row>
    <row r="8" spans="1:12" ht="12.75">
      <c r="A8" s="3610" t="s">
        <v>1272</v>
      </c>
      <c r="B8" s="3665">
        <v>15</v>
      </c>
      <c r="C8" s="3668"/>
      <c r="D8" s="3656"/>
      <c r="E8" s="131" t="s">
        <v>1273</v>
      </c>
      <c r="F8" s="1757"/>
      <c r="G8" s="1757"/>
      <c r="H8" s="1757"/>
      <c r="I8" s="1373"/>
    </row>
    <row r="9" spans="1:12" ht="12.75">
      <c r="A9" s="3610"/>
      <c r="B9" s="3665"/>
      <c r="C9" s="3669"/>
      <c r="D9" s="3656"/>
      <c r="E9" s="131" t="s">
        <v>1274</v>
      </c>
      <c r="F9" s="1757"/>
      <c r="G9" s="1757"/>
      <c r="H9" s="1757"/>
      <c r="I9" s="1373"/>
    </row>
    <row r="10" spans="1:12" ht="12.75">
      <c r="A10" s="3610" t="s">
        <v>1275</v>
      </c>
      <c r="B10" s="3665">
        <v>15</v>
      </c>
      <c r="C10" s="3668"/>
      <c r="D10" s="3656"/>
      <c r="E10" s="131" t="s">
        <v>1276</v>
      </c>
      <c r="F10" s="1757"/>
      <c r="G10" s="1757"/>
      <c r="H10" s="1757"/>
      <c r="I10" s="1373"/>
    </row>
    <row r="11" spans="1:12" ht="12.75">
      <c r="A11" s="3610"/>
      <c r="B11" s="3665"/>
      <c r="C11" s="3669"/>
      <c r="D11" s="3656"/>
      <c r="E11" s="131" t="s">
        <v>1277</v>
      </c>
      <c r="F11" s="1757"/>
      <c r="G11" s="1757"/>
      <c r="H11" s="1757"/>
      <c r="I11" s="1373"/>
    </row>
    <row r="12" spans="1:12" ht="12.75">
      <c r="A12" s="3610" t="s">
        <v>1278</v>
      </c>
      <c r="B12" s="3665">
        <v>15</v>
      </c>
      <c r="C12" s="3668"/>
      <c r="D12" s="3656"/>
      <c r="E12" s="131" t="s">
        <v>1279</v>
      </c>
      <c r="F12" s="1757"/>
      <c r="G12" s="1757"/>
      <c r="H12" s="1757"/>
      <c r="I12" s="1373"/>
    </row>
    <row r="13" spans="1:12" ht="12.75">
      <c r="A13" s="3610"/>
      <c r="B13" s="3665"/>
      <c r="C13" s="3669"/>
      <c r="D13" s="3656"/>
      <c r="E13" s="131" t="s">
        <v>1280</v>
      </c>
      <c r="F13" s="1757"/>
      <c r="G13" s="1757"/>
      <c r="H13" s="1757"/>
      <c r="I13" s="1373"/>
    </row>
    <row r="14" spans="1:12" ht="12.75">
      <c r="A14" s="3610" t="s">
        <v>1281</v>
      </c>
      <c r="B14" s="3665">
        <v>30</v>
      </c>
      <c r="C14" s="3668"/>
      <c r="D14" s="3656"/>
      <c r="E14" s="131" t="s">
        <v>1282</v>
      </c>
      <c r="F14" s="1757"/>
      <c r="G14" s="1757"/>
      <c r="H14" s="1757"/>
      <c r="I14" s="1373"/>
    </row>
    <row r="15" spans="1:12" ht="12.75">
      <c r="A15" s="3610"/>
      <c r="B15" s="3665"/>
      <c r="C15" s="3670"/>
      <c r="D15" s="3656"/>
      <c r="E15" s="131" t="s">
        <v>1283</v>
      </c>
      <c r="F15" s="1757"/>
      <c r="G15" s="1757"/>
      <c r="H15" s="1757"/>
      <c r="I15" s="1373"/>
    </row>
    <row r="16" spans="1:12" ht="12.75">
      <c r="A16" s="3610"/>
      <c r="B16" s="3665"/>
      <c r="C16" s="3669"/>
      <c r="D16" s="3656"/>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87" t="s">
        <v>2131</v>
      </c>
      <c r="F18" s="3688"/>
      <c r="G18" s="3688"/>
      <c r="H18" s="3688"/>
      <c r="I18" s="3688"/>
      <c r="K18" s="302" t="s">
        <v>1289</v>
      </c>
      <c r="L18" s="302">
        <f>IF(C1="",'数据-汇总表'!E3,SUMIF(项目类型,C1,'数据-汇总表'!E17:E26)+SUMIF(项目类型,C1,'数据-汇总表'!I17:I26))</f>
        <v>100.61</v>
      </c>
      <c r="M18" s="302">
        <f>IF(C1="",'数据-汇总表'!E3,SUMIF(项目类型,C1,'数据-汇总表'!E17:E26))</f>
        <v>100.61</v>
      </c>
    </row>
    <row r="19" spans="1:36" ht="15">
      <c r="A19" s="1761" t="s">
        <v>1290</v>
      </c>
      <c r="B19" s="1762" t="s">
        <v>1291</v>
      </c>
      <c r="C19" s="134">
        <f ca="1">SUMIF(INDIRECT("'"&amp;C4&amp;"'"&amp;"!A:A"),结果表!B19,INDIRECT("'"&amp;C4&amp;"'"&amp;"!B:B"))</f>
        <v>0</v>
      </c>
      <c r="D19" s="135">
        <f ca="1">SUMIF(INDIRECT("'"&amp;D4&amp;"'"&amp;"!A:A"),结果表!B19,INDIRECT("'"&amp;D4&amp;"'"&amp;"!B:B"))</f>
        <v>627</v>
      </c>
      <c r="E19" s="1761" t="s">
        <v>1292</v>
      </c>
      <c r="F19" s="1762" t="s">
        <v>1291</v>
      </c>
      <c r="G19" s="136">
        <f ca="1">ROUND(C19*$C$18+D19*$D$18,0)</f>
        <v>125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116143</v>
      </c>
      <c r="D20" s="138">
        <f ca="1">SUMIF(INDIRECT("'"&amp;D4&amp;"'"&amp;"!A:A"),结果表!B20,INDIRECT("'"&amp;D4&amp;"'"&amp;"!B:B"))</f>
        <v>62320</v>
      </c>
      <c r="E20" s="1764"/>
      <c r="F20" s="1026" t="s">
        <v>1295</v>
      </c>
      <c r="G20" s="139">
        <f ca="1">ROUND(C20*$C$18+D20*$D$18,0)</f>
        <v>105378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f ca="1">G20*'数据-汇总表'!F19</f>
        <v>10602080.58</v>
      </c>
      <c r="H22" s="129"/>
      <c r="I22" s="129"/>
    </row>
    <row r="23" spans="1:36" ht="13.5" thickBot="1">
      <c r="A23" s="1747"/>
      <c r="B23" s="1747"/>
      <c r="C23" s="1747"/>
      <c r="D23" s="1747"/>
      <c r="E23" s="129"/>
      <c r="F23" s="129"/>
      <c r="G23" s="129"/>
      <c r="H23" s="129"/>
      <c r="I23" s="129"/>
    </row>
    <row r="24" spans="1:36" ht="14.25">
      <c r="A24" s="3680" t="s">
        <v>1299</v>
      </c>
      <c r="B24" s="1762" t="s">
        <v>1291</v>
      </c>
      <c r="C24" s="136">
        <f>IF(B30=0,0,D30)</f>
        <v>0</v>
      </c>
      <c r="D24" s="1769"/>
      <c r="E24" s="129"/>
      <c r="F24" s="129"/>
      <c r="G24" s="129"/>
      <c r="H24" s="129"/>
      <c r="I24" s="129"/>
    </row>
    <row r="25" spans="1:36" ht="14.25">
      <c r="A25" s="36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105378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57" t="s">
        <v>1312</v>
      </c>
      <c r="B36" s="1787" t="s">
        <v>1313</v>
      </c>
      <c r="C36" s="145"/>
      <c r="D36" s="1788"/>
      <c r="E36" s="1789"/>
      <c r="F36" s="1790"/>
      <c r="G36" s="129"/>
      <c r="H36" s="129"/>
      <c r="I36" s="129"/>
    </row>
    <row r="37" spans="1:15" ht="15.75" thickBot="1">
      <c r="A37" s="3658"/>
      <c r="B37" s="1674" t="s">
        <v>1314</v>
      </c>
      <c r="C37" s="147"/>
      <c r="D37" s="1139"/>
      <c r="E37" s="1139"/>
      <c r="F37" s="1790"/>
      <c r="G37" s="129"/>
      <c r="H37" s="129"/>
      <c r="I37" s="129"/>
    </row>
    <row r="38" spans="1:15" ht="15.75" thickBot="1">
      <c r="A38" s="365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7" t="s">
        <v>1326</v>
      </c>
      <c r="B45" s="3678"/>
      <c r="C45" s="3679"/>
      <c r="D45" s="155" t="e">
        <f ca="1">ROUND(H101*F45,0)</f>
        <v>#REF!</v>
      </c>
      <c r="E45" s="156" t="s">
        <v>1327</v>
      </c>
      <c r="F45" s="157">
        <v>1</v>
      </c>
      <c r="G45" s="158" t="s">
        <v>1328</v>
      </c>
      <c r="H45" s="129"/>
      <c r="I45" s="129"/>
      <c r="J45" s="3597" t="s">
        <v>1329</v>
      </c>
      <c r="K45" s="3597"/>
      <c r="L45" s="3597"/>
      <c r="M45" s="3597"/>
      <c r="N45" s="3597"/>
      <c r="O45" s="3597"/>
    </row>
    <row r="46" spans="1:15" ht="14.25" customHeight="1">
      <c r="A46" s="3674" t="s">
        <v>1330</v>
      </c>
      <c r="B46" s="3675"/>
      <c r="C46" s="3675"/>
      <c r="D46" s="3675"/>
      <c r="E46" s="3675"/>
      <c r="F46" s="3675"/>
      <c r="G46" s="3676"/>
      <c r="H46" s="1806"/>
      <c r="I46" s="159"/>
      <c r="J46" s="2523">
        <v>1</v>
      </c>
      <c r="K46" s="3598" t="s">
        <v>1331</v>
      </c>
      <c r="L46" s="3598"/>
      <c r="M46" s="3599"/>
      <c r="N46" s="3599"/>
      <c r="O46" s="3599"/>
    </row>
    <row r="47" spans="1:15" ht="12" customHeight="1">
      <c r="A47" s="160" t="s">
        <v>1332</v>
      </c>
      <c r="B47" s="161"/>
      <c r="C47" s="162"/>
      <c r="D47" s="1087" t="s">
        <v>1333</v>
      </c>
      <c r="E47" s="302" t="s">
        <v>1334</v>
      </c>
      <c r="F47" s="163" t="s">
        <v>1335</v>
      </c>
      <c r="G47" s="2546" t="s">
        <v>1336</v>
      </c>
      <c r="H47" s="2547"/>
      <c r="I47" s="159"/>
      <c r="J47" s="2523">
        <v>2</v>
      </c>
      <c r="K47" s="3598" t="s">
        <v>1337</v>
      </c>
      <c r="L47" s="3598"/>
      <c r="M47" s="3600">
        <f>'数据-取费表'!B2</f>
        <v>44821</v>
      </c>
      <c r="N47" s="3600"/>
      <c r="O47" s="3600"/>
    </row>
    <row r="48" spans="1:15" ht="25.5">
      <c r="A48" s="3660" t="s">
        <v>1338</v>
      </c>
      <c r="B48" s="3661"/>
      <c r="C48" s="366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98" t="s">
        <v>1340</v>
      </c>
      <c r="L48" s="3598"/>
      <c r="M48" s="3601" t="e">
        <f ca="1">H101</f>
        <v>#REF!</v>
      </c>
      <c r="N48" s="3601"/>
      <c r="O48" s="3601"/>
    </row>
    <row r="49" spans="1:35" ht="25.5" customHeight="1">
      <c r="A49" s="2333" t="s">
        <v>1341</v>
      </c>
      <c r="B49" s="3646" t="s">
        <v>1342</v>
      </c>
      <c r="C49" s="3646"/>
      <c r="D49" s="1590">
        <v>0</v>
      </c>
      <c r="E49" s="324" t="s">
        <v>1343</v>
      </c>
      <c r="F49" s="2424" t="s">
        <v>28</v>
      </c>
      <c r="G49" s="3629"/>
      <c r="H49" s="2310" t="s">
        <v>2134</v>
      </c>
      <c r="I49" s="2311"/>
      <c r="J49" s="2523">
        <v>4</v>
      </c>
      <c r="K49" s="3598" t="str">
        <f>IF(项目基本情况!E8="房地产抵押价值","房地产抵押价值","抵押担保权已注销时的房地产抵押价值")</f>
        <v>抵押担保权已注销时的房地产抵押价值</v>
      </c>
      <c r="L49" s="3598"/>
      <c r="M49" s="3601" t="str">
        <f>IF(项目基本情况!E8="房地产抵押价值",H107,H109)</f>
        <v>——</v>
      </c>
      <c r="N49" s="3601"/>
      <c r="O49" s="3601"/>
    </row>
    <row r="50" spans="1:35" ht="25.5" customHeight="1">
      <c r="A50" s="2551"/>
      <c r="B50" s="3646" t="s">
        <v>1344</v>
      </c>
      <c r="C50" s="3646"/>
      <c r="D50" s="2552"/>
      <c r="E50" s="332"/>
      <c r="F50" s="2424"/>
      <c r="G50" s="3630"/>
      <c r="H50" s="2312" t="s">
        <v>2135</v>
      </c>
      <c r="I50" s="2311"/>
      <c r="J50" s="3597" t="s">
        <v>1345</v>
      </c>
      <c r="K50" s="3597"/>
      <c r="L50" s="3597"/>
      <c r="M50" s="3597"/>
      <c r="N50" s="3597"/>
      <c r="O50" s="3597"/>
    </row>
    <row r="51" spans="1:35" ht="20.45" customHeight="1">
      <c r="A51" s="2553"/>
      <c r="B51" s="3646" t="s">
        <v>1346</v>
      </c>
      <c r="C51" s="3646"/>
      <c r="D51" s="1087"/>
      <c r="E51" s="327"/>
      <c r="F51" s="2424"/>
      <c r="G51" s="3631"/>
      <c r="H51" s="2312" t="s">
        <v>2136</v>
      </c>
      <c r="I51" s="2311"/>
      <c r="J51" s="2524" t="s">
        <v>1347</v>
      </c>
      <c r="K51" s="3598" t="s">
        <v>1348</v>
      </c>
      <c r="L51" s="3598"/>
      <c r="M51" s="2524" t="s">
        <v>1349</v>
      </c>
      <c r="N51" s="2524" t="s">
        <v>1350</v>
      </c>
      <c r="O51" s="2524" t="s">
        <v>1351</v>
      </c>
    </row>
    <row r="52" spans="1:35" ht="24" customHeight="1">
      <c r="A52" s="2335" t="s">
        <v>1352</v>
      </c>
      <c r="B52" s="3646" t="s">
        <v>1353</v>
      </c>
      <c r="C52" s="3646"/>
      <c r="D52" s="1087" t="e">
        <f ca="1">ROUND(D45*'数据-取费表'!B41/(1+'数据-取费表'!C42),0)</f>
        <v>#REF!</v>
      </c>
      <c r="E52" s="2334" t="s">
        <v>1354</v>
      </c>
      <c r="F52" s="2554">
        <f>'数据-取费表'!B41</f>
        <v>5.6000000000000001E-2</v>
      </c>
      <c r="G52" s="2555"/>
      <c r="H52" s="2544"/>
      <c r="I52" s="1807"/>
      <c r="J52" s="2523">
        <v>1</v>
      </c>
      <c r="K52" s="3623" t="s">
        <v>1355</v>
      </c>
      <c r="L52" s="3623"/>
      <c r="M52" s="2525" t="b">
        <f>D48</f>
        <v>0</v>
      </c>
      <c r="N52" s="2523" t="str">
        <f>E48</f>
        <v>销售额×税（费）率</v>
      </c>
      <c r="O52" s="2526">
        <f>F48</f>
        <v>5.6000000000000001E-2</v>
      </c>
    </row>
    <row r="53" spans="1:35" ht="12" customHeight="1">
      <c r="A53" s="2335" t="s">
        <v>1356</v>
      </c>
      <c r="B53" s="3647" t="s">
        <v>2291</v>
      </c>
      <c r="C53" s="3648"/>
      <c r="D53" s="1087" t="e">
        <f ca="1">ROUND(D45*'数据-取费表'!B41/(1+'数据-取费表'!C42),0)</f>
        <v>#REF!</v>
      </c>
      <c r="E53" s="2334" t="s">
        <v>1354</v>
      </c>
      <c r="F53" s="2554">
        <f>'数据-取费表'!B41</f>
        <v>5.6000000000000001E-2</v>
      </c>
      <c r="G53" s="2555"/>
      <c r="H53" s="2544"/>
      <c r="I53" s="1807"/>
      <c r="J53" s="2523">
        <v>2</v>
      </c>
      <c r="K53" s="3623" t="s">
        <v>1357</v>
      </c>
      <c r="L53" s="3623"/>
      <c r="M53" s="2525" t="e">
        <f t="shared" ref="M53:O54" ca="1" si="0">D55</f>
        <v>#REF!</v>
      </c>
      <c r="N53" s="2523" t="str">
        <f t="shared" si="0"/>
        <v>销售额×税（费）率</v>
      </c>
      <c r="O53" s="2526" t="str">
        <f t="shared" si="0"/>
        <v>免征</v>
      </c>
    </row>
    <row r="54" spans="1:35" ht="12" customHeight="1">
      <c r="A54" s="2335" t="s">
        <v>1358</v>
      </c>
      <c r="B54" s="3647" t="s">
        <v>2292</v>
      </c>
      <c r="C54" s="3648"/>
      <c r="D54" s="1087" t="e">
        <f ca="1">C68</f>
        <v>#REF!</v>
      </c>
      <c r="E54" s="327" t="s">
        <v>1359</v>
      </c>
      <c r="F54" s="2554">
        <f>'数据-取费表'!B41</f>
        <v>5.6000000000000001E-2</v>
      </c>
      <c r="G54" s="2555"/>
      <c r="H54" s="2556"/>
      <c r="I54" s="1807"/>
      <c r="J54" s="2523">
        <v>3</v>
      </c>
      <c r="K54" s="3623" t="s">
        <v>1360</v>
      </c>
      <c r="L54" s="3623"/>
      <c r="M54" s="2525" t="e">
        <f t="shared" ca="1" si="0"/>
        <v>#REF!</v>
      </c>
      <c r="N54" s="2523" t="str">
        <f t="shared" si="0"/>
        <v>增值额×税（费）率</v>
      </c>
      <c r="O54" s="2527" t="str">
        <f t="shared" si="0"/>
        <v>免征</v>
      </c>
    </row>
    <row r="55" spans="1:35" ht="24" customHeight="1">
      <c r="A55" s="3683" t="s">
        <v>1361</v>
      </c>
      <c r="B55" s="3661"/>
      <c r="C55" s="3661"/>
      <c r="D55" s="2324" t="e">
        <f ca="1">IF(H55="个人住宅",0,ROUND(D45*I55,0))</f>
        <v>#REF!</v>
      </c>
      <c r="E55" s="2334" t="s">
        <v>1362</v>
      </c>
      <c r="F55" s="2554" t="str">
        <f>IF(H55="正常",I55,"免征")</f>
        <v>免征</v>
      </c>
      <c r="G55" s="2555"/>
      <c r="H55" s="2550"/>
      <c r="I55" s="165">
        <f>'数据-取费表'!B49</f>
        <v>5.0000000000000001E-4</v>
      </c>
      <c r="J55" s="2523">
        <f>IF(H59="非个人房产","",4)</f>
        <v>4</v>
      </c>
      <c r="K55" s="3623" t="str">
        <f>IF(H59="非个人房产","——","个人所得税")</f>
        <v>个人所得税</v>
      </c>
      <c r="L55" s="3623"/>
      <c r="M55" s="2528" t="e">
        <f ca="1">D59</f>
        <v>#REF!</v>
      </c>
      <c r="N55" s="2040" t="str">
        <f>E59</f>
        <v>差额计税</v>
      </c>
      <c r="O55" s="2529">
        <f>F59</f>
        <v>0.01</v>
      </c>
    </row>
    <row r="56" spans="1:35" ht="24.75">
      <c r="A56" s="3683" t="s">
        <v>1363</v>
      </c>
      <c r="B56" s="3661"/>
      <c r="C56" s="3661"/>
      <c r="D56" s="2324" t="e">
        <f ca="1">IF(H56="个人住宅",D57,D58)</f>
        <v>#REF!</v>
      </c>
      <c r="E56" s="2334" t="s">
        <v>1364</v>
      </c>
      <c r="F56" s="2554" t="str">
        <f>IF(H56="正常",F58,"免征")</f>
        <v>免征</v>
      </c>
      <c r="G56" s="2557" t="s">
        <v>1365</v>
      </c>
      <c r="H56" s="2558"/>
      <c r="I56" s="1808"/>
      <c r="J56" s="2523" t="str">
        <f>IF(项目基本情况!K6="上海银行",IF(J55="",4,J55+1),"")</f>
        <v/>
      </c>
      <c r="K56" s="3604" t="str">
        <f>IF(项目基本情况!K6="上海银行","其他处置费用","")</f>
        <v/>
      </c>
      <c r="L56" s="3605"/>
      <c r="M56" s="2525" t="str">
        <f>IF(项目基本情况!K6="上海银行",M69,"")</f>
        <v/>
      </c>
      <c r="N56" s="3604" t="str">
        <f>IF(项目基本情况!K6="上海银行","包含处置中涉及的律师、诉讼、拍卖、评估等费用","")</f>
        <v/>
      </c>
      <c r="O56" s="3607"/>
    </row>
    <row r="57" spans="1:35" ht="12.75">
      <c r="A57" s="2335" t="s">
        <v>1341</v>
      </c>
      <c r="B57" s="3647" t="s">
        <v>1366</v>
      </c>
      <c r="C57" s="3648"/>
      <c r="D57" s="1590">
        <v>0</v>
      </c>
      <c r="E57" s="324" t="s">
        <v>1343</v>
      </c>
      <c r="F57" s="302"/>
      <c r="G57" s="2555"/>
      <c r="H57" s="2559"/>
      <c r="I57" s="1808"/>
      <c r="J57" s="3623">
        <f>IF(AND(J55="",J56=""),4,IF(项目基本情况!K6="上海银行",结果表!J56+1,结果表!J55+1))</f>
        <v>5</v>
      </c>
      <c r="K57" s="3623" t="s">
        <v>1367</v>
      </c>
      <c r="L57" s="2530" t="s">
        <v>1368</v>
      </c>
      <c r="M57" s="2531"/>
      <c r="N57" s="2532">
        <f ca="1">SUMIF(M52:M56,"&lt;9e307")</f>
        <v>0</v>
      </c>
      <c r="O57" s="2533"/>
      <c r="P57" s="2690" t="e">
        <f ca="1">N57/M49</f>
        <v>#VALUE!</v>
      </c>
    </row>
    <row r="58" spans="1:35" ht="24.75">
      <c r="A58" s="2335" t="s">
        <v>1352</v>
      </c>
      <c r="B58" s="3647" t="s">
        <v>1369</v>
      </c>
      <c r="C58" s="3646"/>
      <c r="D58" s="2324" t="e">
        <f ca="1">IF(H58="转让取得",C81,C97)</f>
        <v>#REF!</v>
      </c>
      <c r="E58" s="2334" t="s">
        <v>1364</v>
      </c>
      <c r="F58" s="302" t="s">
        <v>28</v>
      </c>
      <c r="G58" s="2555"/>
      <c r="H58" s="2558"/>
      <c r="I58" s="1808"/>
      <c r="J58" s="3623"/>
      <c r="K58" s="3623"/>
      <c r="L58" s="2530" t="s">
        <v>1370</v>
      </c>
      <c r="M58" s="2534"/>
      <c r="N58" s="2535" t="str">
        <f ca="1">NUMBERSTRING(INT(N57*10000),2)&amp;"元整"</f>
        <v>零元整</v>
      </c>
      <c r="O58" s="2536"/>
    </row>
    <row r="59" spans="1:35" ht="24.75" thickBot="1">
      <c r="A59" s="3627" t="s">
        <v>1371</v>
      </c>
      <c r="B59" s="3628"/>
      <c r="C59" s="36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3" t="s">
        <v>1372</v>
      </c>
      <c r="L59" s="2523" t="s">
        <v>1368</v>
      </c>
      <c r="M59" s="2537"/>
      <c r="N59" s="2538" t="e">
        <f ca="1">M49-N57</f>
        <v>#VALUE!</v>
      </c>
      <c r="O59" s="2539"/>
    </row>
    <row r="60" spans="1:35" ht="12" customHeight="1">
      <c r="A60" s="1809"/>
      <c r="B60" s="1747"/>
      <c r="C60" s="1747"/>
      <c r="D60" s="1747"/>
      <c r="E60" s="1578"/>
      <c r="F60" s="1808"/>
      <c r="G60" s="1808"/>
      <c r="H60" s="1810"/>
      <c r="I60" s="129"/>
      <c r="J60" s="3626"/>
      <c r="K60" s="3623"/>
      <c r="L60" s="2530" t="s">
        <v>1370</v>
      </c>
      <c r="M60" s="2534"/>
      <c r="N60" s="2535" t="e">
        <f ca="1">NUMBERSTRING(INT(N59*10000),2)&amp;"元整"</f>
        <v>#VALUE!</v>
      </c>
      <c r="O60" s="2536"/>
    </row>
    <row r="61" spans="1:35" ht="13.5" thickBot="1">
      <c r="A61" s="3682" t="s">
        <v>1373</v>
      </c>
      <c r="B61" s="3682"/>
      <c r="C61" s="3682"/>
      <c r="D61" s="3682"/>
      <c r="E61" s="3682"/>
      <c r="F61" s="1808"/>
      <c r="G61" s="1808"/>
      <c r="H61" s="1810"/>
      <c r="I61" s="129"/>
      <c r="J61" s="2523">
        <f>J59+1</f>
        <v>7</v>
      </c>
      <c r="K61" s="3623" t="s">
        <v>1374</v>
      </c>
      <c r="L61" s="3623"/>
      <c r="M61" s="2540"/>
      <c r="N61" s="2541" t="e">
        <f ca="1">ROUND(N59*10000/'数据-汇总表'!E3,0)</f>
        <v>#VALUE!</v>
      </c>
      <c r="O61" s="2542"/>
    </row>
    <row r="62" spans="1:35" ht="12.75">
      <c r="A62" s="3642" t="s">
        <v>1375</v>
      </c>
      <c r="B62" s="3643"/>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0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0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0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0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0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0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0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0" t="s">
        <v>1394</v>
      </c>
      <c r="B70" s="3651"/>
      <c r="C70" s="3651"/>
      <c r="D70" s="3651"/>
      <c r="E70" s="3651"/>
      <c r="F70" s="3651"/>
      <c r="G70" s="3651"/>
      <c r="H70" s="365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2" t="s">
        <v>1375</v>
      </c>
      <c r="B71" s="364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47" t="s">
        <v>1402</v>
      </c>
      <c r="F76" s="3646"/>
      <c r="G76" s="3646"/>
      <c r="H76" s="36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39" t="s">
        <v>1406</v>
      </c>
      <c r="F78" s="3640"/>
      <c r="G78" s="3640"/>
      <c r="H78" s="364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0" t="s">
        <v>1410</v>
      </c>
      <c r="B83" s="3651"/>
      <c r="C83" s="3651"/>
      <c r="D83" s="3651"/>
      <c r="E83" s="3651"/>
      <c r="F83" s="3651"/>
      <c r="G83" s="3651"/>
      <c r="H83" s="36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2" t="s">
        <v>1375</v>
      </c>
      <c r="B84" s="364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08" t="s">
        <v>2129</v>
      </c>
      <c r="H90" s="360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39" t="s">
        <v>1419</v>
      </c>
      <c r="F91" s="3640"/>
      <c r="G91" s="364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39" t="s">
        <v>1422</v>
      </c>
      <c r="F92" s="3640"/>
      <c r="G92" s="3640"/>
      <c r="H92" s="364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39" t="s">
        <v>1406</v>
      </c>
      <c r="F93" s="3640"/>
      <c r="G93" s="3640"/>
      <c r="H93" s="364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84" t="s">
        <v>1426</v>
      </c>
      <c r="F94" s="3685"/>
      <c r="G94" s="3685"/>
      <c r="H94" s="36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24"/>
      <c r="E100" s="3590" t="s">
        <v>1429</v>
      </c>
      <c r="F100" s="3590"/>
      <c r="G100" s="3590"/>
      <c r="H100" s="3624"/>
      <c r="I100" s="129"/>
    </row>
    <row r="101" spans="1:35" ht="18.75" customHeight="1">
      <c r="A101" s="3632" t="s">
        <v>1430</v>
      </c>
      <c r="B101" s="3633"/>
      <c r="C101" s="2585" t="str">
        <f>C4</f>
        <v>比较法-住宅</v>
      </c>
      <c r="D101" s="2586" t="str">
        <f>D4</f>
        <v>收益法</v>
      </c>
      <c r="E101" s="3602" t="s">
        <v>1431</v>
      </c>
      <c r="F101" s="3603"/>
      <c r="G101" s="1827" t="s">
        <v>1432</v>
      </c>
      <c r="H101" s="2595" t="e">
        <f ca="1">H118</f>
        <v>#REF!</v>
      </c>
      <c r="I101" s="129"/>
    </row>
    <row r="102" spans="1:35" ht="18.75" customHeight="1">
      <c r="A102" s="3634" t="s">
        <v>1433</v>
      </c>
      <c r="B102" s="2584" t="s">
        <v>1432</v>
      </c>
      <c r="C102" s="2585">
        <f ca="1">IF(D32="楼面单价",ROUND(C19,0),C19)</f>
        <v>0</v>
      </c>
      <c r="D102" s="2586">
        <f ca="1">IF(D32="楼面单价",ROUND(D19,0),D19)</f>
        <v>627</v>
      </c>
      <c r="E102" s="3602"/>
      <c r="F102" s="3603"/>
      <c r="G102" s="1827" t="s">
        <v>1434</v>
      </c>
      <c r="H102" s="2555" t="e">
        <f ca="1">I118</f>
        <v>#REF!</v>
      </c>
      <c r="I102" s="129"/>
    </row>
    <row r="103" spans="1:35" ht="42.75" customHeight="1">
      <c r="A103" s="3634"/>
      <c r="B103" s="2584" t="s">
        <v>1434</v>
      </c>
      <c r="C103" s="2587">
        <f ca="1">C20</f>
        <v>116143</v>
      </c>
      <c r="D103" s="2588">
        <f ca="1">D20</f>
        <v>62320</v>
      </c>
      <c r="E103" s="3595" t="s">
        <v>1435</v>
      </c>
      <c r="F103" s="3596"/>
      <c r="G103" s="1828" t="s">
        <v>1436</v>
      </c>
      <c r="H103" s="2595">
        <f>IF(D36="正常操作",H104+H105+H106,H105+H106)</f>
        <v>0</v>
      </c>
      <c r="I103" s="129"/>
    </row>
    <row r="104" spans="1:35" ht="18.75" customHeight="1">
      <c r="A104" s="363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5" t="str">
        <f>IF(项目基本情况!E8="已注销","——","3.房地产抵押价值")</f>
        <v>3.房地产抵押价值</v>
      </c>
      <c r="F107" s="3603"/>
      <c r="G107" s="1827" t="s">
        <v>1432</v>
      </c>
      <c r="H107" s="2595" t="e">
        <f ca="1">IF(E107="——","——",H101-H103)</f>
        <v>#REF!</v>
      </c>
      <c r="I107" s="129"/>
    </row>
    <row r="108" spans="1:35" ht="18.75" customHeight="1">
      <c r="A108" s="129"/>
      <c r="B108" s="129"/>
      <c r="C108" s="129"/>
      <c r="D108" s="129"/>
      <c r="E108" s="3635"/>
      <c r="F108" s="3603"/>
      <c r="G108" s="1827" t="s">
        <v>1434</v>
      </c>
      <c r="H108" s="2555">
        <f ca="1">IF(H107=H101,H102,ROUND(H107*10000/'数据-汇总表'!E3,0))</f>
        <v>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03"/>
      <c r="G109" s="1827" t="s">
        <v>1432</v>
      </c>
      <c r="H109" s="2598" t="str">
        <f>IF(E109="——","——",H101-H105-H106)</f>
        <v>——</v>
      </c>
      <c r="I109" s="129"/>
    </row>
    <row r="110" spans="1:35" ht="18.75" customHeight="1">
      <c r="A110" s="129"/>
      <c r="B110" s="129"/>
      <c r="C110" s="129"/>
      <c r="D110" s="129"/>
      <c r="E110" s="3635"/>
      <c r="F110" s="3603"/>
      <c r="G110" s="1827" t="s">
        <v>1434</v>
      </c>
      <c r="H110" s="2555"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37"/>
      <c r="F112" s="3638"/>
      <c r="G112" s="1830" t="s">
        <v>1434</v>
      </c>
      <c r="H112" s="2599" t="str">
        <f>IF(E111="——","——",N61)</f>
        <v>——</v>
      </c>
      <c r="I112" s="129"/>
    </row>
    <row r="113" spans="1:27" ht="18.75" customHeight="1">
      <c r="A113" s="129"/>
      <c r="B113" s="129"/>
      <c r="C113" s="129"/>
      <c r="D113" s="129"/>
      <c r="E113" s="3645" t="s">
        <v>1440</v>
      </c>
      <c r="F113" s="3645"/>
      <c r="G113" s="3645"/>
      <c r="H113" s="3645"/>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10" t="s">
        <v>1443</v>
      </c>
      <c r="B116" s="3614" t="s">
        <v>1444</v>
      </c>
      <c r="C116" s="3614" t="s">
        <v>1445</v>
      </c>
      <c r="D116" s="3620" t="s">
        <v>1446</v>
      </c>
      <c r="E116" s="3621"/>
      <c r="F116" s="3652" t="s">
        <v>1447</v>
      </c>
      <c r="G116" s="3652"/>
      <c r="H116" s="3610" t="s">
        <v>1448</v>
      </c>
      <c r="I116" s="3610"/>
    </row>
    <row r="117" spans="1:27" ht="18.75" customHeight="1">
      <c r="A117" s="3610"/>
      <c r="B117" s="3615"/>
      <c r="C117" s="361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100.61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10" t="s">
        <v>1452</v>
      </c>
      <c r="B119" s="3610"/>
      <c r="C119" s="3610"/>
      <c r="D119" s="3616" t="e">
        <f ca="1">NUMBERSTRING(INT(D118*10000),2)&amp;"元整"</f>
        <v>#REF!</v>
      </c>
      <c r="E119" s="3617"/>
      <c r="F119" s="3616" t="e">
        <f ca="1">NUMBERSTRING(INT(F118*10000),2)&amp;"元整"</f>
        <v>#REF!</v>
      </c>
      <c r="G119" s="3617"/>
      <c r="H119" s="3616" t="e">
        <f ca="1">NUMBERSTRING(INT(H118*10000),2)&amp;"元整"</f>
        <v>#REF!</v>
      </c>
      <c r="I119" s="3617"/>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8"/>
      <c r="C121" s="3617"/>
      <c r="D121" s="3616" t="str">
        <f>IF(D120=0,"零元整",NUMBERSTRING(INT(D120*10000),2)&amp;"元整")</f>
        <v>零元整</v>
      </c>
      <c r="E121" s="3618"/>
      <c r="F121" s="3618"/>
      <c r="G121" s="3618"/>
      <c r="H121" s="3618"/>
      <c r="I121" s="3617"/>
      <c r="AA121" s="725"/>
    </row>
    <row r="122" spans="1:27" ht="18.75" customHeight="1">
      <c r="A122" s="3622" t="str">
        <f>IF(项目基本情况!B9="房地产市场价值","",MID(E107,3,LEN(E107)-2))</f>
        <v>房地产抵押价值</v>
      </c>
      <c r="B122" s="3622"/>
      <c r="C122" s="3622"/>
      <c r="D122" s="3611" t="e">
        <f ca="1">H107</f>
        <v>#REF!</v>
      </c>
      <c r="E122" s="3612"/>
      <c r="F122" s="3612"/>
      <c r="G122" s="3612"/>
      <c r="H122" s="3612"/>
      <c r="I122" s="3613"/>
      <c r="AA122" s="725"/>
    </row>
    <row r="123" spans="1:27" ht="18.75" customHeight="1">
      <c r="A123" s="3610" t="s">
        <v>1452</v>
      </c>
      <c r="B123" s="3610"/>
      <c r="C123" s="3610"/>
      <c r="D123" s="3616" t="e">
        <f ca="1">NUMBERSTRING(INT(D122*10000),2)&amp;"元整"</f>
        <v>#REF!</v>
      </c>
      <c r="E123" s="3618"/>
      <c r="F123" s="3618"/>
      <c r="G123" s="3618"/>
      <c r="H123" s="3618"/>
      <c r="I123" s="3617"/>
      <c r="AA123" s="725"/>
    </row>
    <row r="124" spans="1:27" ht="18.75" customHeight="1">
      <c r="A124" s="3622" t="str">
        <f>IF(项目基本情况!B9="房地产市场价值","",MID(E109,3,LEN(E109)-2))</f>
        <v/>
      </c>
      <c r="B124" s="3622"/>
      <c r="C124" s="3622"/>
      <c r="D124" s="3611" t="str">
        <f>H109</f>
        <v>——</v>
      </c>
      <c r="E124" s="3612"/>
      <c r="F124" s="3612"/>
      <c r="G124" s="3612"/>
      <c r="H124" s="3612"/>
      <c r="I124" s="3613"/>
      <c r="AA124" s="725"/>
    </row>
    <row r="125" spans="1:27" ht="18.75" customHeight="1">
      <c r="A125" s="3610" t="s">
        <v>1452</v>
      </c>
      <c r="B125" s="3610"/>
      <c r="C125" s="3610"/>
      <c r="D125" s="3616" t="e">
        <f>NUMBERSTRING(INT(D124*10000),2)&amp;"元整"</f>
        <v>#VALUE!</v>
      </c>
      <c r="E125" s="3618"/>
      <c r="F125" s="3618"/>
      <c r="G125" s="3618"/>
      <c r="H125" s="3618"/>
      <c r="I125" s="3617"/>
      <c r="AA125" s="725"/>
    </row>
    <row r="126" spans="1:27" ht="18.75" customHeight="1">
      <c r="A126" s="3622" t="str">
        <f>IF(项目基本情况!B9="房地产市场价值","",MID(E111,3,LEN(E111)-2))</f>
        <v/>
      </c>
      <c r="B126" s="3622"/>
      <c r="C126" s="3622"/>
      <c r="D126" s="3611" t="str">
        <f>H111</f>
        <v>——</v>
      </c>
      <c r="E126" s="3612"/>
      <c r="F126" s="3612"/>
      <c r="G126" s="3612"/>
      <c r="H126" s="3612"/>
      <c r="I126" s="3613"/>
      <c r="AA126" s="725"/>
    </row>
    <row r="127" spans="1:27" ht="18.75" customHeight="1">
      <c r="A127" s="3610" t="s">
        <v>1452</v>
      </c>
      <c r="B127" s="3610"/>
      <c r="C127" s="3610"/>
      <c r="D127" s="3616" t="e">
        <f>NUMBERSTRING(INT(D126*10000),2)&amp;"元整"</f>
        <v>#VALUE!</v>
      </c>
      <c r="E127" s="3618"/>
      <c r="F127" s="3618"/>
      <c r="G127" s="3618"/>
      <c r="H127" s="3618"/>
      <c r="I127" s="3617"/>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100.61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100.61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100.61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1E-3</v>
      </c>
      <c r="D44" s="238"/>
      <c r="E44" s="238"/>
      <c r="F44" s="239"/>
      <c r="G44" s="3691"/>
    </row>
    <row r="45" spans="1:7" s="214" customFormat="1" ht="13.5" customHeight="1">
      <c r="A45" s="255" t="s">
        <v>1547</v>
      </c>
      <c r="B45" s="244" t="s">
        <v>1513</v>
      </c>
      <c r="C45" s="245">
        <f ca="1">C46</f>
        <v>11</v>
      </c>
      <c r="D45" s="235">
        <f ca="1">C47</f>
        <v>5.0000000000000001E-3</v>
      </c>
      <c r="E45" s="236" t="s">
        <v>1539</v>
      </c>
      <c r="F45" s="246">
        <f ca="1">F27</f>
        <v>0.25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60</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46</v>
      </c>
      <c r="D51" s="232"/>
      <c r="E51" s="232"/>
      <c r="F51" s="264"/>
      <c r="G51" s="234" t="s">
        <v>1560</v>
      </c>
    </row>
    <row r="52" spans="1:7" s="208" customFormat="1" ht="16.5" thickBot="1">
      <c r="A52" s="265" t="s">
        <v>1561</v>
      </c>
      <c r="B52" s="266"/>
      <c r="C52" s="267">
        <f ca="1">C31+C51</f>
        <v>49</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1:H159"/>
  <sheetViews>
    <sheetView workbookViewId="0">
      <selection activeCell="E4" sqref="E4"/>
    </sheetView>
  </sheetViews>
  <sheetFormatPr defaultRowHeight="13.5"/>
  <cols>
    <col min="3" max="3" width="11.625" bestFit="1" customWidth="1"/>
    <col min="4" max="4" width="10.875" customWidth="1"/>
    <col min="5" max="5" width="12.5" customWidth="1"/>
  </cols>
  <sheetData>
    <row r="1" spans="3:8">
      <c r="C1" s="3450" t="s">
        <v>3481</v>
      </c>
      <c r="D1" s="3450" t="s">
        <v>3479</v>
      </c>
      <c r="E1" s="3450" t="s">
        <v>3480</v>
      </c>
      <c r="F1" s="3450" t="s">
        <v>3485</v>
      </c>
    </row>
    <row r="2" spans="3:8">
      <c r="C2" s="3477">
        <f>E106</f>
        <v>45016</v>
      </c>
      <c r="D2" s="3478">
        <f>G106</f>
        <v>117002.09449585971</v>
      </c>
      <c r="E2" s="3478">
        <f>G107</f>
        <v>106955.18753044325</v>
      </c>
      <c r="F2" s="3479">
        <f>D2/E2</f>
        <v>1.0939356678006549</v>
      </c>
    </row>
    <row r="3" spans="3:8">
      <c r="C3" s="3480">
        <f>E10</f>
        <v>44664</v>
      </c>
      <c r="D3" s="3481">
        <f>G10</f>
        <v>99796.743921512869</v>
      </c>
      <c r="E3" s="3481">
        <f>G11</f>
        <v>117407.93402530925</v>
      </c>
      <c r="F3" s="3482">
        <f t="shared" ref="F3:F8" si="0">D3/E3</f>
        <v>0.85000000000000009</v>
      </c>
    </row>
    <row r="4" spans="3:8">
      <c r="C4" s="3480">
        <f>E135</f>
        <v>44655</v>
      </c>
      <c r="D4" s="3481">
        <f>G135</f>
        <v>108914.0616370264</v>
      </c>
      <c r="E4" s="3481">
        <f>G136</f>
        <v>111136.08748481167</v>
      </c>
      <c r="F4" s="3482">
        <f t="shared" si="0"/>
        <v>0.98000626170964555</v>
      </c>
    </row>
    <row r="5" spans="3:8">
      <c r="C5" s="3480">
        <f>E158</f>
        <v>44655</v>
      </c>
      <c r="D5" s="3481">
        <f>G158</f>
        <v>103793.00807300808</v>
      </c>
      <c r="E5" s="3481">
        <f>G159</f>
        <v>108230.25623025624</v>
      </c>
      <c r="F5" s="3482">
        <f t="shared" si="0"/>
        <v>0.95900177721275959</v>
      </c>
    </row>
    <row r="6" spans="3:8">
      <c r="C6" s="3477">
        <f>E33</f>
        <v>44516</v>
      </c>
      <c r="D6" s="3478">
        <f>G33</f>
        <v>84053.280391865803</v>
      </c>
      <c r="E6" s="3478">
        <f>G34</f>
        <v>84053.280391865803</v>
      </c>
      <c r="F6" s="3479">
        <f t="shared" si="0"/>
        <v>1</v>
      </c>
    </row>
    <row r="7" spans="3:8">
      <c r="C7" s="3477">
        <f>E58</f>
        <v>43767</v>
      </c>
      <c r="D7" s="3478">
        <f>G58</f>
        <v>72897.301854974707</v>
      </c>
      <c r="E7" s="3478">
        <f>G59</f>
        <v>95707.296514896021</v>
      </c>
      <c r="F7" s="3479">
        <f t="shared" si="0"/>
        <v>0.76166921968826973</v>
      </c>
    </row>
    <row r="8" spans="3:8">
      <c r="C8" s="3477">
        <f>E82</f>
        <v>43767</v>
      </c>
      <c r="D8" s="3478">
        <f>G82</f>
        <v>71820.623686829582</v>
      </c>
      <c r="E8" s="3478">
        <f>G83</f>
        <v>94702.118765896259</v>
      </c>
      <c r="F8" s="3479">
        <f t="shared" si="0"/>
        <v>0.75838454960411439</v>
      </c>
    </row>
    <row r="10" spans="3:8" ht="14.25" customHeight="1">
      <c r="E10" s="3477">
        <v>44664</v>
      </c>
      <c r="F10" s="3450" t="s">
        <v>3479</v>
      </c>
      <c r="G10">
        <f>14037410/140.66</f>
        <v>99796.743921512869</v>
      </c>
    </row>
    <row r="11" spans="3:8">
      <c r="F11" s="3450" t="s">
        <v>3480</v>
      </c>
      <c r="G11">
        <f>16514600/140.66</f>
        <v>117407.93402530925</v>
      </c>
      <c r="H11">
        <f>G10/G11</f>
        <v>0.85000000000000009</v>
      </c>
    </row>
    <row r="33" spans="5:7">
      <c r="E33" s="3477">
        <v>44516</v>
      </c>
      <c r="F33" s="3450" t="s">
        <v>3479</v>
      </c>
      <c r="G33">
        <f>11325339/134.74</f>
        <v>84053.280391865803</v>
      </c>
    </row>
    <row r="34" spans="5:7">
      <c r="F34" s="3450" t="s">
        <v>3480</v>
      </c>
      <c r="G34">
        <f>11325339/134.74</f>
        <v>84053.280391865803</v>
      </c>
    </row>
    <row r="58" spans="5:7">
      <c r="E58" s="3477">
        <v>43767</v>
      </c>
      <c r="F58" s="3450" t="s">
        <v>3479</v>
      </c>
      <c r="G58">
        <f>7781058/106.74</f>
        <v>72897.301854974707</v>
      </c>
    </row>
    <row r="59" spans="5:7">
      <c r="F59" s="3450" t="s">
        <v>3480</v>
      </c>
      <c r="G59">
        <f>10215796.83/106.74</f>
        <v>95707.296514896021</v>
      </c>
    </row>
    <row r="82" spans="5:7">
      <c r="E82" s="3477">
        <v>43767</v>
      </c>
      <c r="F82" s="3450" t="s">
        <v>3479</v>
      </c>
      <c r="G82">
        <f>6494739/90.43</f>
        <v>71820.623686829582</v>
      </c>
    </row>
    <row r="83" spans="5:7">
      <c r="F83" s="3450" t="s">
        <v>3480</v>
      </c>
      <c r="G83">
        <f>8563912.6/90.43</f>
        <v>94702.118765896259</v>
      </c>
    </row>
    <row r="106" spans="5:7">
      <c r="E106" s="3477">
        <v>45016</v>
      </c>
      <c r="F106" s="3450" t="s">
        <v>3479</v>
      </c>
      <c r="G106">
        <f>19216424/164.24</f>
        <v>117002.09449585971</v>
      </c>
    </row>
    <row r="107" spans="5:7">
      <c r="F107" s="3450" t="s">
        <v>3480</v>
      </c>
      <c r="G107">
        <f>17566320/164.24</f>
        <v>106955.18753044325</v>
      </c>
    </row>
    <row r="135" spans="5:7">
      <c r="E135" s="3477">
        <v>44655</v>
      </c>
      <c r="F135" s="3450" t="s">
        <v>3479</v>
      </c>
      <c r="G135">
        <f>19719980/181.06</f>
        <v>108914.0616370264</v>
      </c>
    </row>
    <row r="136" spans="5:7">
      <c r="F136" s="3450" t="s">
        <v>3480</v>
      </c>
      <c r="G136">
        <f>20122300/181.06</f>
        <v>111136.08748481167</v>
      </c>
    </row>
    <row r="158" spans="5:7">
      <c r="E158" s="3477">
        <v>44655</v>
      </c>
      <c r="F158" s="3450" t="s">
        <v>3479</v>
      </c>
      <c r="G158">
        <f>14785314/142.45</f>
        <v>103793.00807300808</v>
      </c>
    </row>
    <row r="159" spans="5:7">
      <c r="F159" s="3450" t="s">
        <v>3480</v>
      </c>
      <c r="G159">
        <f>15417400/142.45</f>
        <v>108230.25623025624</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
  <sheetViews>
    <sheetView zoomScaleNormal="100" workbookViewId="0">
      <selection activeCell="E2" sqref="E2"/>
    </sheetView>
  </sheetViews>
  <sheetFormatPr defaultColWidth="9" defaultRowHeight="19.5" customHeight="1"/>
  <cols>
    <col min="1" max="1" width="5.375" style="3453" customWidth="1"/>
    <col min="2" max="2" width="24.375" style="3453" customWidth="1"/>
    <col min="3" max="3" width="8.125" style="3453" customWidth="1"/>
    <col min="4" max="4" width="7" style="3453" customWidth="1"/>
    <col min="5" max="5" width="7.125" style="3453" customWidth="1"/>
    <col min="6" max="6" width="7" style="3453" customWidth="1"/>
    <col min="7" max="7" width="5.125" style="3453" customWidth="1"/>
    <col min="8" max="8" width="6.25" style="3453" customWidth="1"/>
    <col min="9" max="9" width="5" style="3453" customWidth="1"/>
    <col min="10" max="10" width="7.625" style="3453" customWidth="1"/>
    <col min="11" max="11" width="6.625" style="3453" customWidth="1"/>
    <col min="12" max="13" width="6.375" style="3453" customWidth="1"/>
    <col min="14" max="15" width="6.875" style="3453" customWidth="1"/>
    <col min="16" max="16" width="10.875" style="3453" customWidth="1"/>
    <col min="17" max="17" width="33.125" style="3453" customWidth="1"/>
    <col min="18" max="16384" width="9" style="3453"/>
  </cols>
  <sheetData>
    <row r="1" spans="1:17" s="3455" customFormat="1" ht="19.5" customHeight="1">
      <c r="A1" s="3451" t="s">
        <v>3390</v>
      </c>
      <c r="B1" s="3451" t="s">
        <v>3391</v>
      </c>
      <c r="C1" s="3451" t="s">
        <v>3392</v>
      </c>
      <c r="D1" s="3451" t="s">
        <v>3393</v>
      </c>
      <c r="E1" s="3451" t="s">
        <v>3394</v>
      </c>
      <c r="F1" s="3451" t="s">
        <v>3395</v>
      </c>
      <c r="G1" s="3451" t="s">
        <v>3396</v>
      </c>
      <c r="H1" s="3451" t="s">
        <v>3397</v>
      </c>
      <c r="I1" s="3451" t="s">
        <v>3398</v>
      </c>
      <c r="J1" s="3451" t="s">
        <v>3399</v>
      </c>
      <c r="K1" s="3451" t="s">
        <v>3400</v>
      </c>
      <c r="L1" s="3451" t="s">
        <v>3401</v>
      </c>
      <c r="M1" s="3451" t="s">
        <v>3402</v>
      </c>
      <c r="N1" s="3451" t="s">
        <v>3403</v>
      </c>
      <c r="O1" s="3451" t="s">
        <v>3404</v>
      </c>
      <c r="P1" s="3451" t="s">
        <v>3405</v>
      </c>
      <c r="Q1" s="3452" t="s">
        <v>3406</v>
      </c>
    </row>
    <row r="2" spans="1:17" s="3456" customFormat="1" ht="19.5" customHeight="1">
      <c r="A2" s="3457">
        <v>1</v>
      </c>
      <c r="B2" s="3457" t="s">
        <v>3412</v>
      </c>
      <c r="C2" s="3457" t="s">
        <v>3413</v>
      </c>
      <c r="D2" s="3457" t="s">
        <v>3407</v>
      </c>
      <c r="E2" s="3457">
        <v>88.6</v>
      </c>
      <c r="F2" s="3457" t="s">
        <v>3383</v>
      </c>
      <c r="G2" s="3457">
        <v>24</v>
      </c>
      <c r="H2" s="3457">
        <v>4</v>
      </c>
      <c r="I2" s="3457" t="s">
        <v>3423</v>
      </c>
      <c r="J2" s="3457" t="s">
        <v>3409</v>
      </c>
      <c r="K2" s="3457" t="s">
        <v>3410</v>
      </c>
      <c r="L2" s="3457">
        <v>2003</v>
      </c>
      <c r="M2" s="3457">
        <v>113995</v>
      </c>
      <c r="N2" s="3457">
        <v>104852</v>
      </c>
      <c r="O2" s="3457">
        <f>ROUND(E2*M2/10000,0)</f>
        <v>1010</v>
      </c>
      <c r="P2" s="3458">
        <v>44743</v>
      </c>
      <c r="Q2" s="3458" t="s">
        <v>3424</v>
      </c>
    </row>
    <row r="3" spans="1:17" s="3485" customFormat="1" ht="19.5" customHeight="1">
      <c r="A3" s="3483">
        <v>2</v>
      </c>
      <c r="B3" s="3483" t="s">
        <v>3414</v>
      </c>
      <c r="C3" s="3483" t="s">
        <v>3413</v>
      </c>
      <c r="D3" s="3483" t="s">
        <v>3407</v>
      </c>
      <c r="E3" s="3483">
        <v>90.43</v>
      </c>
      <c r="F3" s="3483" t="s">
        <v>3383</v>
      </c>
      <c r="G3" s="3483">
        <v>8</v>
      </c>
      <c r="H3" s="3483">
        <v>8</v>
      </c>
      <c r="I3" s="3483" t="s">
        <v>3423</v>
      </c>
      <c r="J3" s="3483" t="s">
        <v>3409</v>
      </c>
      <c r="K3" s="3483" t="s">
        <v>3410</v>
      </c>
      <c r="L3" s="3483">
        <v>2003</v>
      </c>
      <c r="M3" s="3483">
        <v>110583</v>
      </c>
      <c r="N3" s="3483">
        <v>103823</v>
      </c>
      <c r="O3" s="3483">
        <f t="shared" ref="O3:O5" si="0">ROUND(E3*M3/10000,0)</f>
        <v>1000</v>
      </c>
      <c r="P3" s="3484">
        <v>44702</v>
      </c>
      <c r="Q3" s="3484" t="s">
        <v>3421</v>
      </c>
    </row>
    <row r="4" spans="1:17" s="3456" customFormat="1" ht="19.5" customHeight="1">
      <c r="A4" s="3457">
        <v>3</v>
      </c>
      <c r="B4" s="3457" t="s">
        <v>3415</v>
      </c>
      <c r="C4" s="3457" t="s">
        <v>3413</v>
      </c>
      <c r="D4" s="3457" t="s">
        <v>3407</v>
      </c>
      <c r="E4" s="3457">
        <v>136.09</v>
      </c>
      <c r="F4" s="3457" t="s">
        <v>3383</v>
      </c>
      <c r="G4" s="3457">
        <v>24</v>
      </c>
      <c r="H4" s="3457">
        <v>20</v>
      </c>
      <c r="I4" s="3457" t="s">
        <v>3408</v>
      </c>
      <c r="J4" s="3457" t="s">
        <v>3409</v>
      </c>
      <c r="K4" s="3457" t="s">
        <v>3410</v>
      </c>
      <c r="L4" s="3457">
        <v>2003</v>
      </c>
      <c r="M4" s="3457">
        <v>117569</v>
      </c>
      <c r="N4" s="3457">
        <v>104515</v>
      </c>
      <c r="O4" s="3457">
        <f t="shared" si="0"/>
        <v>1600</v>
      </c>
      <c r="P4" s="3458">
        <v>44487</v>
      </c>
      <c r="Q4" s="3458" t="s">
        <v>3419</v>
      </c>
    </row>
    <row r="5" spans="1:17" s="3456" customFormat="1" ht="19.5" customHeight="1">
      <c r="A5" s="3451">
        <v>4</v>
      </c>
      <c r="B5" s="3451" t="s">
        <v>3416</v>
      </c>
      <c r="C5" s="3451" t="s">
        <v>3413</v>
      </c>
      <c r="D5" s="3451" t="s">
        <v>3407</v>
      </c>
      <c r="E5" s="3451">
        <v>73.709999999999994</v>
      </c>
      <c r="F5" s="3451" t="s">
        <v>3383</v>
      </c>
      <c r="G5" s="3451">
        <v>23</v>
      </c>
      <c r="H5" s="3451">
        <v>5</v>
      </c>
      <c r="I5" s="3451" t="s">
        <v>3418</v>
      </c>
      <c r="J5" s="3451" t="s">
        <v>3409</v>
      </c>
      <c r="K5" s="3451" t="s">
        <v>3410</v>
      </c>
      <c r="L5" s="3451">
        <v>2002</v>
      </c>
      <c r="M5" s="3451">
        <v>99037</v>
      </c>
      <c r="N5" s="3451">
        <v>89562</v>
      </c>
      <c r="O5" s="3451">
        <f t="shared" si="0"/>
        <v>730</v>
      </c>
      <c r="P5" s="3454">
        <v>44481</v>
      </c>
      <c r="Q5" s="3454" t="s">
        <v>3417</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33" zoomScale="90" zoomScaleNormal="60" zoomScaleSheetLayoutView="90" workbookViewId="0">
      <selection activeCell="C88" sqref="C88:H8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6"/>
      <c r="F1" s="1879" t="s">
        <v>3474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116143</v>
      </c>
      <c r="C3" s="354" t="s">
        <v>1665</v>
      </c>
      <c r="D3" s="353">
        <f>IF(D1="",'数据-汇总表'!E3,SUMIF('数据-汇总表'!$C19:$C33,D1,'数据-汇总表'!$E19:$E33))</f>
        <v>100.61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697" t="s">
        <v>1668</v>
      </c>
      <c r="S4" s="3698"/>
      <c r="T4" s="3697" t="s">
        <v>1669</v>
      </c>
      <c r="U4" s="3698"/>
      <c r="V4" s="3723" t="s">
        <v>1670</v>
      </c>
      <c r="W4" s="3723"/>
      <c r="X4" s="1355"/>
      <c r="Y4" s="3697" t="s">
        <v>1672</v>
      </c>
      <c r="Z4" s="3698"/>
      <c r="AA4" s="3692" t="s">
        <v>1668</v>
      </c>
      <c r="AB4" s="3692" t="s">
        <v>1669</v>
      </c>
      <c r="AC4" s="3692" t="s">
        <v>1670</v>
      </c>
    </row>
    <row r="5" spans="1:29" ht="15">
      <c r="A5" s="358"/>
      <c r="B5" s="359"/>
      <c r="C5" s="3703" t="s">
        <v>3425</v>
      </c>
      <c r="D5" s="3704"/>
      <c r="E5" s="3701" t="str">
        <f>C5</f>
        <v>锦秋家园</v>
      </c>
      <c r="F5" s="3702"/>
      <c r="G5" s="3707" t="str">
        <f>C5</f>
        <v>锦秋家园</v>
      </c>
      <c r="H5" s="3704"/>
      <c r="I5" s="3707" t="str">
        <f>C5</f>
        <v>锦秋家园</v>
      </c>
      <c r="J5" s="3704"/>
      <c r="K5" s="1890"/>
      <c r="L5" s="2715"/>
      <c r="M5" s="2716"/>
      <c r="N5" s="2716"/>
      <c r="O5" s="2716"/>
      <c r="P5" s="3717"/>
      <c r="Q5" s="3718"/>
      <c r="R5" s="3699"/>
      <c r="S5" s="3700"/>
      <c r="T5" s="3699"/>
      <c r="U5" s="3700"/>
      <c r="V5" s="3723"/>
      <c r="W5" s="3723"/>
      <c r="X5" s="1355"/>
      <c r="Y5" s="3699"/>
      <c r="Z5" s="3700"/>
      <c r="AA5" s="3693"/>
      <c r="AB5" s="3693"/>
      <c r="AC5" s="3693"/>
    </row>
    <row r="6" spans="1:29" ht="15.75" thickBot="1">
      <c r="A6" s="360"/>
      <c r="B6" s="361"/>
      <c r="C6" s="3705" t="s">
        <v>1677</v>
      </c>
      <c r="D6" s="3706"/>
      <c r="E6" s="3708" t="s">
        <v>1677</v>
      </c>
      <c r="F6" s="3709"/>
      <c r="G6" s="3705" t="s">
        <v>1677</v>
      </c>
      <c r="H6" s="3706"/>
      <c r="I6" s="3705" t="s">
        <v>1677</v>
      </c>
      <c r="J6" s="3706"/>
      <c r="K6" s="1890" t="s">
        <v>1678</v>
      </c>
      <c r="L6" s="2715"/>
      <c r="M6" s="2716"/>
      <c r="N6" s="2716"/>
      <c r="O6" s="2716"/>
      <c r="P6" s="3719"/>
      <c r="Q6" s="3720"/>
      <c r="R6" s="3699"/>
      <c r="S6" s="3700"/>
      <c r="T6" s="3721"/>
      <c r="U6" s="3722"/>
      <c r="V6" s="3723"/>
      <c r="W6" s="3723"/>
      <c r="X6" s="1355"/>
      <c r="Y6" s="3721"/>
      <c r="Z6" s="3722"/>
      <c r="AA6" s="3694"/>
      <c r="AB6" s="3694"/>
      <c r="AC6" s="3694"/>
    </row>
    <row r="7" spans="1:29" s="108" customFormat="1" ht="15.75" thickBot="1">
      <c r="A7" s="362" t="s">
        <v>1679</v>
      </c>
      <c r="B7" s="363"/>
      <c r="C7" s="364">
        <f>'数据-取费表'!B2</f>
        <v>44821</v>
      </c>
      <c r="D7" s="365">
        <v>100</v>
      </c>
      <c r="E7" s="366">
        <f>三部案例!P2</f>
        <v>44743</v>
      </c>
      <c r="F7" s="367">
        <f>SUMIF(58:58,YEAR(E7)&amp;"-"&amp;MONTH(E7),59:59)</f>
        <v>100</v>
      </c>
      <c r="G7" s="366">
        <f>三部案例!P3</f>
        <v>44702</v>
      </c>
      <c r="H7" s="365">
        <f>SUMIF(58:58,YEAR(G7)&amp;"-"&amp;MONTH(G7),59:59)</f>
        <v>99.5</v>
      </c>
      <c r="I7" s="366">
        <f>三部案例!P4</f>
        <v>44487</v>
      </c>
      <c r="J7" s="365">
        <f>SUMIF(58:58,YEAR(I7)&amp;"-"&amp;MONTH(I7),59:59)</f>
        <v>98.5</v>
      </c>
      <c r="K7" s="1891"/>
      <c r="L7" s="2717"/>
      <c r="M7" s="2718"/>
      <c r="N7" s="2718"/>
      <c r="O7" s="2718"/>
      <c r="P7" s="3695" t="s">
        <v>1680</v>
      </c>
      <c r="Q7" s="3724"/>
      <c r="R7" s="701" t="s">
        <v>20</v>
      </c>
      <c r="S7" s="702">
        <f t="shared" ref="S7:S15" si="0">F7</f>
        <v>100</v>
      </c>
      <c r="T7" s="701" t="s">
        <v>20</v>
      </c>
      <c r="U7" s="702">
        <f t="shared" ref="U7:U15" si="1">H7</f>
        <v>99.5</v>
      </c>
      <c r="V7" s="701" t="s">
        <v>20</v>
      </c>
      <c r="W7" s="702">
        <f t="shared" ref="W7:W15" si="2">J7</f>
        <v>98.5</v>
      </c>
      <c r="X7" s="703"/>
      <c r="Y7" s="3695" t="s">
        <v>1680</v>
      </c>
      <c r="Z7" s="3696"/>
      <c r="AA7" s="704">
        <f>D7/F7</f>
        <v>1</v>
      </c>
      <c r="AB7" s="704">
        <f>D7/H7</f>
        <v>1.0050251256281406</v>
      </c>
      <c r="AC7" s="704">
        <f>D7/J7</f>
        <v>1.015228426395939</v>
      </c>
    </row>
    <row r="8" spans="1:29" s="108" customFormat="1" ht="15.75" thickBot="1">
      <c r="A8" s="362" t="s">
        <v>1681</v>
      </c>
      <c r="B8" s="363"/>
      <c r="C8" s="368" t="s">
        <v>3426</v>
      </c>
      <c r="D8" s="365">
        <v>100</v>
      </c>
      <c r="E8" s="1892" t="s">
        <v>3426</v>
      </c>
      <c r="F8" s="367">
        <f>SUMIF(61:61,E8,62:62)-SUMIF(61:61,C8,62:62)+100</f>
        <v>100</v>
      </c>
      <c r="G8" s="368" t="s">
        <v>3426</v>
      </c>
      <c r="H8" s="365">
        <f>SUMIF(61:61,G8,62:62)-SUMIF(61:61,C8,62:62)+100</f>
        <v>100</v>
      </c>
      <c r="I8" s="1892" t="s">
        <v>3426</v>
      </c>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ht="15" thickBot="1">
      <c r="A9" s="369" t="s">
        <v>1684</v>
      </c>
      <c r="B9" s="63" t="s">
        <v>1685</v>
      </c>
      <c r="C9" s="3459" t="s">
        <v>3427</v>
      </c>
      <c r="D9" s="126">
        <v>100</v>
      </c>
      <c r="E9" s="371" t="s">
        <v>3383</v>
      </c>
      <c r="F9" s="372">
        <f>SUMIF(63:63,E9,64:64)-SUMIF(63:63,C9,64:64)+100</f>
        <v>100</v>
      </c>
      <c r="G9" s="373" t="s">
        <v>3383</v>
      </c>
      <c r="H9" s="126">
        <f>SUMIF(63:63,G9,64:64)-SUMIF(63:63,C9,64:64)+100</f>
        <v>100</v>
      </c>
      <c r="I9" s="373" t="s">
        <v>3383</v>
      </c>
      <c r="J9" s="126">
        <f>SUMIF(63:63,I9,64:64)-SUMIF(63:63,C9,64:64)+100</f>
        <v>100</v>
      </c>
      <c r="K9" s="1891"/>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7"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1"/>
      <c r="M11" s="2716"/>
      <c r="N11" s="2716"/>
      <c r="O11" s="2716"/>
      <c r="P11" s="3710"/>
      <c r="Q11" s="1343" t="str">
        <f t="shared" si="6"/>
        <v>容积率</v>
      </c>
      <c r="R11" s="701" t="s">
        <v>18</v>
      </c>
      <c r="S11" s="702">
        <f t="shared" si="0"/>
        <v>100</v>
      </c>
      <c r="T11" s="701" t="s">
        <v>18</v>
      </c>
      <c r="U11" s="702">
        <f t="shared" si="1"/>
        <v>100</v>
      </c>
      <c r="V11" s="701" t="s">
        <v>18</v>
      </c>
      <c r="W11" s="702">
        <f t="shared" si="2"/>
        <v>100</v>
      </c>
      <c r="X11" s="703"/>
      <c r="Y11" s="3665"/>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66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665"/>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66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2"/>
      <c r="M15" s="2716"/>
      <c r="N15" s="2716"/>
      <c r="O15" s="2716"/>
      <c r="P15" s="3737" t="s">
        <v>1691</v>
      </c>
      <c r="Q15" s="1352" t="str">
        <f t="shared" si="6"/>
        <v>居住社区成熟度</v>
      </c>
      <c r="R15" s="705" t="s">
        <v>18</v>
      </c>
      <c r="S15" s="706">
        <f t="shared" si="0"/>
        <v>100</v>
      </c>
      <c r="T15" s="705" t="s">
        <v>18</v>
      </c>
      <c r="U15" s="706">
        <f t="shared" si="1"/>
        <v>100</v>
      </c>
      <c r="V15" s="705" t="s">
        <v>18</v>
      </c>
      <c r="W15" s="706">
        <f t="shared" si="2"/>
        <v>100</v>
      </c>
      <c r="X15" s="1355"/>
      <c r="Y15" s="3730" t="s">
        <v>1691</v>
      </c>
      <c r="Z15" s="1356" t="str">
        <f t="shared" si="7"/>
        <v>居住社区成熟度</v>
      </c>
      <c r="AA15" s="1353">
        <f t="shared" si="3"/>
        <v>1</v>
      </c>
      <c r="AB15" s="1353">
        <f t="shared" si="4"/>
        <v>1</v>
      </c>
      <c r="AC15" s="1353">
        <f t="shared" si="5"/>
        <v>1</v>
      </c>
    </row>
    <row r="16" spans="1:29" ht="15">
      <c r="A16" s="379"/>
      <c r="B16" s="397"/>
      <c r="C16" s="398" t="s">
        <v>3428</v>
      </c>
      <c r="D16" s="399"/>
      <c r="E16" s="1897" t="s">
        <v>3428</v>
      </c>
      <c r="F16" s="399"/>
      <c r="G16" s="1897" t="s">
        <v>3428</v>
      </c>
      <c r="H16" s="401"/>
      <c r="I16" s="1897" t="s">
        <v>3428</v>
      </c>
      <c r="J16" s="399"/>
      <c r="K16" s="1899"/>
      <c r="L16" s="2722"/>
      <c r="M16" s="2716"/>
      <c r="N16" s="2716"/>
      <c r="O16" s="2716"/>
      <c r="P16" s="3738"/>
      <c r="Q16" s="1352"/>
      <c r="R16" s="705"/>
      <c r="S16" s="706"/>
      <c r="T16" s="705"/>
      <c r="U16" s="706"/>
      <c r="V16" s="705"/>
      <c r="W16" s="706"/>
      <c r="X16" s="1355"/>
      <c r="Y16" s="373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2"/>
      <c r="M17" s="2716"/>
      <c r="N17" s="2716"/>
      <c r="O17" s="2716"/>
      <c r="P17" s="3738"/>
      <c r="Q17" s="1352" t="str">
        <f>B17</f>
        <v>交通便捷度</v>
      </c>
      <c r="R17" s="705" t="s">
        <v>18</v>
      </c>
      <c r="S17" s="706">
        <f>F17</f>
        <v>100</v>
      </c>
      <c r="T17" s="705" t="s">
        <v>18</v>
      </c>
      <c r="U17" s="706">
        <f>H17</f>
        <v>100</v>
      </c>
      <c r="V17" s="705" t="s">
        <v>18</v>
      </c>
      <c r="W17" s="706">
        <f>J17</f>
        <v>100</v>
      </c>
      <c r="X17" s="1355"/>
      <c r="Y17" s="3731"/>
      <c r="Z17" s="1356" t="str">
        <f>Q17</f>
        <v>交通便捷度</v>
      </c>
      <c r="AA17" s="1353">
        <f t="shared" si="3"/>
        <v>1</v>
      </c>
      <c r="AB17" s="1353">
        <f t="shared" si="4"/>
        <v>1</v>
      </c>
      <c r="AC17" s="1353">
        <f t="shared" si="5"/>
        <v>1</v>
      </c>
    </row>
    <row r="18" spans="1:29" ht="15">
      <c r="A18" s="379"/>
      <c r="B18" s="407"/>
      <c r="C18" s="398" t="s">
        <v>3428</v>
      </c>
      <c r="D18" s="401"/>
      <c r="E18" s="398" t="s">
        <v>3428</v>
      </c>
      <c r="F18" s="401"/>
      <c r="G18" s="398" t="s">
        <v>3428</v>
      </c>
      <c r="H18" s="399"/>
      <c r="I18" s="398" t="s">
        <v>3428</v>
      </c>
      <c r="J18" s="399"/>
      <c r="K18" s="1899"/>
      <c r="L18" s="2722"/>
      <c r="M18" s="2716"/>
      <c r="N18" s="2716"/>
      <c r="O18" s="2716"/>
      <c r="P18" s="3738"/>
      <c r="Q18" s="1352"/>
      <c r="R18" s="705"/>
      <c r="S18" s="706"/>
      <c r="T18" s="705"/>
      <c r="U18" s="706"/>
      <c r="V18" s="705"/>
      <c r="W18" s="706"/>
      <c r="X18" s="1355"/>
      <c r="Y18" s="373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2"/>
      <c r="M19" s="2716"/>
      <c r="N19" s="2716"/>
      <c r="O19" s="2716"/>
      <c r="P19" s="3738"/>
      <c r="Q19" s="1352" t="str">
        <f>B19</f>
        <v>公共配套设施</v>
      </c>
      <c r="R19" s="705" t="s">
        <v>18</v>
      </c>
      <c r="S19" s="706">
        <f>F19</f>
        <v>100</v>
      </c>
      <c r="T19" s="705" t="s">
        <v>18</v>
      </c>
      <c r="U19" s="706">
        <f>H19</f>
        <v>100</v>
      </c>
      <c r="V19" s="705" t="s">
        <v>18</v>
      </c>
      <c r="W19" s="706">
        <f>J19</f>
        <v>100</v>
      </c>
      <c r="X19" s="1355"/>
      <c r="Y19" s="3731"/>
      <c r="Z19" s="1356" t="str">
        <f>Q19</f>
        <v>公共配套设施</v>
      </c>
      <c r="AA19" s="1353">
        <f t="shared" si="3"/>
        <v>1</v>
      </c>
      <c r="AB19" s="1353">
        <f t="shared" si="4"/>
        <v>1</v>
      </c>
      <c r="AC19" s="1353">
        <f t="shared" si="5"/>
        <v>1</v>
      </c>
    </row>
    <row r="20" spans="1:29" ht="15">
      <c r="A20" s="379"/>
      <c r="B20" s="407"/>
      <c r="C20" s="398" t="s">
        <v>3428</v>
      </c>
      <c r="D20" s="399"/>
      <c r="E20" s="398" t="s">
        <v>3428</v>
      </c>
      <c r="F20" s="399"/>
      <c r="G20" s="398" t="s">
        <v>3428</v>
      </c>
      <c r="H20" s="399"/>
      <c r="I20" s="398" t="s">
        <v>3428</v>
      </c>
      <c r="J20" s="399"/>
      <c r="K20" s="1899"/>
      <c r="L20" s="2722"/>
      <c r="M20" s="2716"/>
      <c r="N20" s="2716"/>
      <c r="O20" s="2716"/>
      <c r="P20" s="3738"/>
      <c r="Q20" s="1352"/>
      <c r="R20" s="705"/>
      <c r="S20" s="706"/>
      <c r="T20" s="705"/>
      <c r="U20" s="706"/>
      <c r="V20" s="705"/>
      <c r="W20" s="706"/>
      <c r="X20" s="1355"/>
      <c r="Y20" s="373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t="s">
        <v>3429</v>
      </c>
      <c r="D22" s="399"/>
      <c r="E22" s="1901" t="s">
        <v>3429</v>
      </c>
      <c r="F22" s="399"/>
      <c r="G22" s="1901" t="s">
        <v>3429</v>
      </c>
      <c r="H22" s="399"/>
      <c r="I22" s="1901" t="s">
        <v>3429</v>
      </c>
      <c r="J22" s="399"/>
      <c r="K22" s="1905"/>
      <c r="L22" s="2722"/>
      <c r="M22" s="2716"/>
      <c r="N22" s="2716"/>
      <c r="O22" s="2716"/>
      <c r="P22" s="3738"/>
      <c r="Q22" s="1352"/>
      <c r="R22" s="705"/>
      <c r="S22" s="706"/>
      <c r="T22" s="705"/>
      <c r="U22" s="706"/>
      <c r="V22" s="705"/>
      <c r="W22" s="706"/>
      <c r="X22" s="1355"/>
      <c r="Y22" s="373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2"/>
      <c r="M23" s="2716"/>
      <c r="N23" s="2716"/>
      <c r="O23" s="2716"/>
      <c r="P23" s="3738"/>
      <c r="Q23" s="1352" t="str">
        <f>B23</f>
        <v>自然及人文环境</v>
      </c>
      <c r="R23" s="705" t="s">
        <v>18</v>
      </c>
      <c r="S23" s="706">
        <f>F23</f>
        <v>100</v>
      </c>
      <c r="T23" s="705" t="s">
        <v>18</v>
      </c>
      <c r="U23" s="706">
        <f>H23</f>
        <v>100</v>
      </c>
      <c r="V23" s="705" t="s">
        <v>18</v>
      </c>
      <c r="W23" s="706">
        <f>J23</f>
        <v>100</v>
      </c>
      <c r="X23" s="1355"/>
      <c r="Y23" s="3731"/>
      <c r="Z23" s="1356" t="str">
        <f>Q23</f>
        <v>自然及人文环境</v>
      </c>
      <c r="AA23" s="1353">
        <f>D23/F23</f>
        <v>1</v>
      </c>
      <c r="AB23" s="1353">
        <f>D23/H23</f>
        <v>1</v>
      </c>
      <c r="AC23" s="1353">
        <f>D23/J23</f>
        <v>1</v>
      </c>
    </row>
    <row r="24" spans="1:29" ht="15">
      <c r="A24" s="379"/>
      <c r="B24" s="407"/>
      <c r="C24" s="398" t="s">
        <v>3428</v>
      </c>
      <c r="D24" s="399"/>
      <c r="E24" s="398" t="s">
        <v>3428</v>
      </c>
      <c r="F24" s="399"/>
      <c r="G24" s="398" t="s">
        <v>3428</v>
      </c>
      <c r="H24" s="399"/>
      <c r="I24" s="398" t="s">
        <v>3428</v>
      </c>
      <c r="J24" s="399"/>
      <c r="K24" s="1899"/>
      <c r="L24" s="2722"/>
      <c r="M24" s="2716"/>
      <c r="N24" s="2716"/>
      <c r="O24" s="2716"/>
      <c r="P24" s="3738"/>
      <c r="Q24" s="1352"/>
      <c r="R24" s="705"/>
      <c r="S24" s="706"/>
      <c r="T24" s="705"/>
      <c r="U24" s="706"/>
      <c r="V24" s="705"/>
      <c r="W24" s="706"/>
      <c r="X24" s="1355"/>
      <c r="Y24" s="373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3422</v>
      </c>
      <c r="D26" s="386">
        <v>100</v>
      </c>
      <c r="E26" s="1906" t="s">
        <v>3422</v>
      </c>
      <c r="F26" s="386">
        <f>SUMIF(88:88,E26,89:89)-SUMIF(88:88,C26,89:89)+100</f>
        <v>100</v>
      </c>
      <c r="G26" s="1907" t="s">
        <v>3422</v>
      </c>
      <c r="H26" s="386">
        <f>SUMIF(88:88,G26,89:89)-SUMIF(88:88,C26,89:89)+100</f>
        <v>100</v>
      </c>
      <c r="I26" s="1907" t="s">
        <v>3420</v>
      </c>
      <c r="J26" s="386">
        <f>SUMIF(88:88,I26,89:89)-SUMIF(88:88,C26,89:89)+100</f>
        <v>104</v>
      </c>
      <c r="K26" s="377">
        <v>1</v>
      </c>
      <c r="L26" s="2722"/>
      <c r="M26" s="2716"/>
      <c r="N26" s="2716"/>
      <c r="O26" s="2716"/>
      <c r="P26" s="3738"/>
      <c r="Q26" s="1352" t="str">
        <f t="shared" si="11"/>
        <v>朝向</v>
      </c>
      <c r="R26" s="705" t="s">
        <v>18</v>
      </c>
      <c r="S26" s="706">
        <f t="shared" si="12"/>
        <v>100</v>
      </c>
      <c r="T26" s="705" t="s">
        <v>18</v>
      </c>
      <c r="U26" s="706">
        <f t="shared" si="13"/>
        <v>100</v>
      </c>
      <c r="V26" s="705" t="s">
        <v>18</v>
      </c>
      <c r="W26" s="706">
        <f t="shared" si="14"/>
        <v>104</v>
      </c>
      <c r="X26" s="1355"/>
      <c r="Y26" s="3731"/>
      <c r="Z26" s="1356" t="str">
        <f>Q26</f>
        <v>朝向</v>
      </c>
      <c r="AA26" s="1353">
        <f t="shared" si="15"/>
        <v>1</v>
      </c>
      <c r="AB26" s="1353">
        <f t="shared" si="16"/>
        <v>1</v>
      </c>
      <c r="AC26" s="1353">
        <f t="shared" si="17"/>
        <v>0.96153846153846156</v>
      </c>
    </row>
    <row r="27" spans="1:29" s="108" customFormat="1" ht="27.75">
      <c r="A27" s="382"/>
      <c r="B27" s="3461" t="s">
        <v>3442</v>
      </c>
      <c r="C27" s="3476" t="s">
        <v>3469</v>
      </c>
      <c r="D27" s="413">
        <v>100</v>
      </c>
      <c r="E27" s="3476" t="s">
        <v>3469</v>
      </c>
      <c r="F27" s="413">
        <f>SUMIF(90:90,E27,91:91)-SUMIF(90:90,C27,91:91)+100</f>
        <v>100</v>
      </c>
      <c r="G27" s="3476" t="s">
        <v>3469</v>
      </c>
      <c r="H27" s="413">
        <f>SUMIF(90:90,G27,91:91)-SUMIF(90:90,C27,91:91)+100</f>
        <v>100</v>
      </c>
      <c r="I27" s="3476" t="s">
        <v>3469</v>
      </c>
      <c r="J27" s="413">
        <f>SUMIF(90:90,I27,91:91)-SUMIF(90:90,C27,91:91)+100</f>
        <v>100</v>
      </c>
      <c r="K27" s="1894"/>
      <c r="L27" s="2717"/>
      <c r="M27" s="2718"/>
      <c r="N27" s="2718"/>
      <c r="O27" s="2718"/>
      <c r="P27" s="3738"/>
      <c r="Q27" s="1343" t="str">
        <f t="shared" si="11"/>
        <v>道路级别</v>
      </c>
      <c r="R27" s="701" t="s">
        <v>18</v>
      </c>
      <c r="S27" s="702">
        <f t="shared" si="12"/>
        <v>100</v>
      </c>
      <c r="T27" s="701" t="s">
        <v>18</v>
      </c>
      <c r="U27" s="702">
        <f t="shared" si="13"/>
        <v>100</v>
      </c>
      <c r="V27" s="701" t="s">
        <v>18</v>
      </c>
      <c r="W27" s="702">
        <f t="shared" si="14"/>
        <v>100</v>
      </c>
      <c r="X27" s="703"/>
      <c r="Y27" s="3731"/>
      <c r="Z27" s="52" t="str">
        <f>Q27</f>
        <v>道路级别</v>
      </c>
      <c r="AA27" s="1353">
        <f t="shared" si="15"/>
        <v>1</v>
      </c>
      <c r="AB27" s="1353">
        <f t="shared" si="16"/>
        <v>1</v>
      </c>
      <c r="AC27" s="1353">
        <f t="shared" si="17"/>
        <v>1</v>
      </c>
    </row>
    <row r="28" spans="1:29" ht="15">
      <c r="A28" s="379"/>
      <c r="B28" s="3461" t="s">
        <v>3468</v>
      </c>
      <c r="C28" s="385" t="s">
        <v>3470</v>
      </c>
      <c r="D28" s="386">
        <v>100</v>
      </c>
      <c r="E28" s="385" t="s">
        <v>3471</v>
      </c>
      <c r="F28" s="386">
        <f>SUMIF(92:92,E28,93:93)-SUMIF(92:92,C28,93:93)+100</f>
        <v>100</v>
      </c>
      <c r="G28" s="1908" t="s">
        <v>3473</v>
      </c>
      <c r="H28" s="386">
        <f>SUMIF(92:92,G28,93:93)-SUMIF(92:92,C28,93:93)+100</f>
        <v>94</v>
      </c>
      <c r="I28" s="385" t="s">
        <v>3472</v>
      </c>
      <c r="J28" s="386">
        <f>SUMIF(92:92,I28,93:93)-SUMIF(92:92,C28,93:93)+100</f>
        <v>104</v>
      </c>
      <c r="K28" s="1894"/>
      <c r="L28" s="2722"/>
      <c r="M28" s="2716"/>
      <c r="N28" s="2716"/>
      <c r="O28" s="2716"/>
      <c r="P28" s="3738"/>
      <c r="Q28" s="1352" t="str">
        <f t="shared" si="11"/>
        <v>楼层</v>
      </c>
      <c r="R28" s="705" t="s">
        <v>18</v>
      </c>
      <c r="S28" s="706">
        <f t="shared" si="12"/>
        <v>100</v>
      </c>
      <c r="T28" s="705" t="s">
        <v>18</v>
      </c>
      <c r="U28" s="706">
        <f t="shared" si="13"/>
        <v>94</v>
      </c>
      <c r="V28" s="705" t="s">
        <v>18</v>
      </c>
      <c r="W28" s="706">
        <f t="shared" si="14"/>
        <v>104</v>
      </c>
      <c r="X28" s="1355"/>
      <c r="Y28" s="3731"/>
      <c r="Z28" s="1356" t="str">
        <f t="shared" ref="Z28:Z46" si="18">Q28</f>
        <v>楼层</v>
      </c>
      <c r="AA28" s="1353">
        <f t="shared" si="15"/>
        <v>1</v>
      </c>
      <c r="AB28" s="1353">
        <f t="shared" si="16"/>
        <v>1.0638297872340425</v>
      </c>
      <c r="AC28" s="1353">
        <f t="shared" si="17"/>
        <v>0.96153846153846156</v>
      </c>
    </row>
    <row r="29" spans="1:29" ht="15" hidden="1">
      <c r="A29" s="379"/>
      <c r="B29" s="3461" t="s">
        <v>3501</v>
      </c>
      <c r="C29" s="3503" t="s">
        <v>3502</v>
      </c>
      <c r="D29" s="386">
        <v>100</v>
      </c>
      <c r="E29" s="3503" t="s">
        <v>3504</v>
      </c>
      <c r="F29" s="386">
        <f>SUMIF(94:94,E29,95:95)-SUMIF(94:94,C29,95:95)+100</f>
        <v>100</v>
      </c>
      <c r="G29" s="3504" t="s">
        <v>3505</v>
      </c>
      <c r="H29" s="386">
        <f>SUMIF(94:94,G29,95:95)-SUMIF(94:94,C29,95:95)+100</f>
        <v>100</v>
      </c>
      <c r="I29" s="3503" t="s">
        <v>3505</v>
      </c>
      <c r="J29" s="386">
        <f>SUMIF(94:94,I29,95:95)-SUMIF(94:94,C29,95:95)+100</f>
        <v>100</v>
      </c>
      <c r="K29" s="1894"/>
      <c r="L29" s="2722"/>
      <c r="M29" s="2716"/>
      <c r="N29" s="2716"/>
      <c r="O29" s="2716"/>
      <c r="P29" s="3738"/>
      <c r="Q29" s="1352" t="str">
        <f t="shared" si="11"/>
        <v>采光</v>
      </c>
      <c r="R29" s="705" t="s">
        <v>18</v>
      </c>
      <c r="S29" s="706">
        <f t="shared" si="12"/>
        <v>100</v>
      </c>
      <c r="T29" s="705" t="s">
        <v>18</v>
      </c>
      <c r="U29" s="706">
        <f t="shared" si="13"/>
        <v>100</v>
      </c>
      <c r="V29" s="705" t="s">
        <v>18</v>
      </c>
      <c r="W29" s="706">
        <f t="shared" si="14"/>
        <v>100</v>
      </c>
      <c r="X29" s="1355"/>
      <c r="Y29" s="3731"/>
      <c r="Z29" s="1356" t="str">
        <f t="shared" si="18"/>
        <v>采光</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8"/>
      <c r="Q30" s="1352">
        <f t="shared" si="11"/>
        <v>111</v>
      </c>
      <c r="R30" s="705" t="s">
        <v>18</v>
      </c>
      <c r="S30" s="706">
        <f t="shared" si="12"/>
        <v>100</v>
      </c>
      <c r="T30" s="705" t="s">
        <v>18</v>
      </c>
      <c r="U30" s="706">
        <f t="shared" si="13"/>
        <v>100</v>
      </c>
      <c r="V30" s="705" t="s">
        <v>18</v>
      </c>
      <c r="W30" s="706">
        <f t="shared" si="14"/>
        <v>100</v>
      </c>
      <c r="X30" s="1355"/>
      <c r="Y30" s="373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8"/>
      <c r="Q31" s="1352">
        <f t="shared" si="11"/>
        <v>111</v>
      </c>
      <c r="R31" s="705" t="s">
        <v>18</v>
      </c>
      <c r="S31" s="706">
        <f t="shared" si="12"/>
        <v>100</v>
      </c>
      <c r="T31" s="705" t="s">
        <v>18</v>
      </c>
      <c r="U31" s="706">
        <f t="shared" si="13"/>
        <v>100</v>
      </c>
      <c r="V31" s="705" t="s">
        <v>18</v>
      </c>
      <c r="W31" s="706">
        <f t="shared" si="14"/>
        <v>100</v>
      </c>
      <c r="X31" s="1355"/>
      <c r="Y31" s="3731"/>
      <c r="Z31" s="1356">
        <f t="shared" si="18"/>
        <v>111</v>
      </c>
      <c r="AA31" s="1353">
        <f t="shared" si="15"/>
        <v>1</v>
      </c>
      <c r="AB31" s="1353">
        <f t="shared" si="16"/>
        <v>1</v>
      </c>
      <c r="AC31" s="1353">
        <f t="shared" si="17"/>
        <v>1</v>
      </c>
    </row>
    <row r="32" spans="1:29" ht="15">
      <c r="A32" s="391" t="s">
        <v>1694</v>
      </c>
      <c r="B32" s="63" t="s">
        <v>1695</v>
      </c>
      <c r="C32" s="1910" t="s">
        <v>3444</v>
      </c>
      <c r="D32" s="418">
        <v>100</v>
      </c>
      <c r="E32" s="1911" t="s">
        <v>3444</v>
      </c>
      <c r="F32" s="412">
        <f>SUMIF(100:100,E32,101:101)-SUMIF(100:100,C32,101:101)+100</f>
        <v>100</v>
      </c>
      <c r="G32" s="1910" t="s">
        <v>3444</v>
      </c>
      <c r="H32" s="418">
        <f>SUMIF(100:100,G32,101:101)-SUMIF(100:100,C32,101:101)+100</f>
        <v>100</v>
      </c>
      <c r="I32" s="1911" t="s">
        <v>3444</v>
      </c>
      <c r="J32" s="386">
        <f>SUMIF(100:100,I32,101:101)-SUMIF(100:100,C32,101:101)+100</f>
        <v>100</v>
      </c>
      <c r="K32" s="377">
        <v>2</v>
      </c>
      <c r="L32" s="2722"/>
      <c r="M32" s="2716"/>
      <c r="N32" s="2716"/>
      <c r="O32" s="2716"/>
      <c r="P32" s="3732" t="s">
        <v>1696</v>
      </c>
      <c r="Q32" s="1352" t="str">
        <f t="shared" si="11"/>
        <v>建筑类型</v>
      </c>
      <c r="R32" s="705" t="s">
        <v>18</v>
      </c>
      <c r="S32" s="706">
        <f t="shared" si="12"/>
        <v>100</v>
      </c>
      <c r="T32" s="705" t="s">
        <v>18</v>
      </c>
      <c r="U32" s="706">
        <f t="shared" si="13"/>
        <v>100</v>
      </c>
      <c r="V32" s="705" t="s">
        <v>18</v>
      </c>
      <c r="W32" s="706">
        <f t="shared" si="14"/>
        <v>100</v>
      </c>
      <c r="X32" s="1355"/>
      <c r="Y32" s="3735"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100.61</v>
      </c>
      <c r="D33" s="127">
        <v>100</v>
      </c>
      <c r="E33" s="381">
        <f>三部案例!E2</f>
        <v>88.6</v>
      </c>
      <c r="F33" s="376">
        <f>LOOKUP(E33,103:103,104:104)-LOOKUP(C33,103:103,104:104)+100</f>
        <v>102</v>
      </c>
      <c r="G33" s="380">
        <f>三部案例!E3</f>
        <v>90.43</v>
      </c>
      <c r="H33" s="127">
        <f>LOOKUP(G33,103:103,104:104)-LOOKUP(C33,103:103,104:104)+100</f>
        <v>100</v>
      </c>
      <c r="I33" s="381">
        <f>三部案例!E4</f>
        <v>136.09</v>
      </c>
      <c r="J33" s="127">
        <f>LOOKUP(I33,103:103,104:104)-LOOKUP(C33,103:103,104:104)+100</f>
        <v>96</v>
      </c>
      <c r="K33" s="1894"/>
      <c r="L33" s="2721"/>
      <c r="M33" s="2723"/>
      <c r="N33" s="2723"/>
      <c r="O33" s="2723"/>
      <c r="P33" s="3733"/>
      <c r="Q33" s="707" t="str">
        <f t="shared" si="11"/>
        <v>项目建筑规模</v>
      </c>
      <c r="R33" s="708" t="s">
        <v>18</v>
      </c>
      <c r="S33" s="709">
        <f t="shared" si="12"/>
        <v>102</v>
      </c>
      <c r="T33" s="708" t="s">
        <v>18</v>
      </c>
      <c r="U33" s="709">
        <f t="shared" si="13"/>
        <v>100</v>
      </c>
      <c r="V33" s="708" t="s">
        <v>18</v>
      </c>
      <c r="W33" s="709">
        <f t="shared" si="14"/>
        <v>96</v>
      </c>
      <c r="X33" s="710"/>
      <c r="Y33" s="3735"/>
      <c r="Z33" s="711" t="str">
        <f t="shared" si="18"/>
        <v>项目建筑规模</v>
      </c>
      <c r="AA33" s="1353">
        <f t="shared" si="15"/>
        <v>0.98039215686274506</v>
      </c>
      <c r="AB33" s="1353">
        <f t="shared" si="16"/>
        <v>1</v>
      </c>
      <c r="AC33" s="1353">
        <f t="shared" si="17"/>
        <v>1.0416666666666667</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3"/>
      <c r="Q34" s="1352" t="str">
        <f t="shared" si="11"/>
        <v>建筑结构</v>
      </c>
      <c r="R34" s="705" t="s">
        <v>18</v>
      </c>
      <c r="S34" s="706">
        <f t="shared" si="12"/>
        <v>100</v>
      </c>
      <c r="T34" s="705" t="s">
        <v>18</v>
      </c>
      <c r="U34" s="706">
        <f t="shared" si="13"/>
        <v>100</v>
      </c>
      <c r="V34" s="705" t="s">
        <v>18</v>
      </c>
      <c r="W34" s="706">
        <f t="shared" si="14"/>
        <v>100</v>
      </c>
      <c r="X34" s="1355"/>
      <c r="Y34" s="373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3"/>
      <c r="Q35" s="1352" t="str">
        <f t="shared" si="11"/>
        <v>建筑品质</v>
      </c>
      <c r="R35" s="705" t="s">
        <v>18</v>
      </c>
      <c r="S35" s="706">
        <f t="shared" si="12"/>
        <v>100</v>
      </c>
      <c r="T35" s="705" t="s">
        <v>18</v>
      </c>
      <c r="U35" s="706">
        <f t="shared" si="13"/>
        <v>100</v>
      </c>
      <c r="V35" s="705" t="s">
        <v>18</v>
      </c>
      <c r="W35" s="706">
        <f t="shared" si="14"/>
        <v>100</v>
      </c>
      <c r="X35" s="1355"/>
      <c r="Y35" s="373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3"/>
      <c r="Q36" s="1352" t="str">
        <f t="shared" si="11"/>
        <v>公共部分装修</v>
      </c>
      <c r="R36" s="705" t="s">
        <v>18</v>
      </c>
      <c r="S36" s="706">
        <f t="shared" si="12"/>
        <v>100</v>
      </c>
      <c r="T36" s="705" t="s">
        <v>18</v>
      </c>
      <c r="U36" s="706">
        <f t="shared" si="13"/>
        <v>100</v>
      </c>
      <c r="V36" s="705" t="s">
        <v>18</v>
      </c>
      <c r="W36" s="706">
        <f t="shared" si="14"/>
        <v>100</v>
      </c>
      <c r="X36" s="1355"/>
      <c r="Y36" s="3735"/>
      <c r="Z36" s="1356" t="str">
        <f t="shared" si="18"/>
        <v>公共部分装修</v>
      </c>
      <c r="AA36" s="1353">
        <f t="shared" si="15"/>
        <v>1</v>
      </c>
      <c r="AB36" s="1353">
        <f t="shared" si="16"/>
        <v>1</v>
      </c>
      <c r="AC36" s="1353">
        <f t="shared" si="17"/>
        <v>1</v>
      </c>
    </row>
    <row r="37" spans="1:29" s="108" customFormat="1" ht="15">
      <c r="A37" s="424"/>
      <c r="B37" s="375" t="s">
        <v>1701</v>
      </c>
      <c r="C37" s="425">
        <f>'数据-取费表'!N6</f>
        <v>0.76</v>
      </c>
      <c r="D37" s="127">
        <v>100</v>
      </c>
      <c r="E37" s="425">
        <f>C37</f>
        <v>0.76</v>
      </c>
      <c r="F37" s="376">
        <f>LOOKUP(E37,112:112,113:113)-LOOKUP(C37,112:112,113:113)+100</f>
        <v>100</v>
      </c>
      <c r="G37" s="427">
        <f>C37</f>
        <v>0.76</v>
      </c>
      <c r="H37" s="127">
        <f>LOOKUP(G37,112:112,113:113)-LOOKUP(C37,112:112,113:113)+100</f>
        <v>100</v>
      </c>
      <c r="I37" s="426">
        <f>C37</f>
        <v>0.76</v>
      </c>
      <c r="J37" s="127">
        <f>LOOKUP(I37,112:112,113:113)-LOOKUP(C37,112:112,113:113)+100</f>
        <v>100</v>
      </c>
      <c r="K37" s="377"/>
      <c r="L37" s="2717"/>
      <c r="M37" s="2718"/>
      <c r="N37" s="2718"/>
      <c r="O37" s="2718"/>
      <c r="P37" s="3733"/>
      <c r="Q37" s="1343" t="str">
        <f t="shared" si="11"/>
        <v>成新度</v>
      </c>
      <c r="R37" s="701" t="s">
        <v>18</v>
      </c>
      <c r="S37" s="702">
        <f t="shared" si="12"/>
        <v>100</v>
      </c>
      <c r="T37" s="701" t="s">
        <v>18</v>
      </c>
      <c r="U37" s="702">
        <f t="shared" si="13"/>
        <v>100</v>
      </c>
      <c r="V37" s="701" t="s">
        <v>18</v>
      </c>
      <c r="W37" s="702">
        <f t="shared" si="14"/>
        <v>100</v>
      </c>
      <c r="X37" s="703"/>
      <c r="Y37" s="3735"/>
      <c r="Z37" s="52" t="str">
        <f t="shared" si="18"/>
        <v>成新度</v>
      </c>
      <c r="AA37" s="704">
        <f t="shared" si="15"/>
        <v>1</v>
      </c>
      <c r="AB37" s="704">
        <f t="shared" si="16"/>
        <v>1</v>
      </c>
      <c r="AC37" s="704">
        <f t="shared" si="17"/>
        <v>1</v>
      </c>
    </row>
    <row r="38" spans="1:29" ht="15">
      <c r="A38" s="423"/>
      <c r="B38" s="375" t="s">
        <v>1702</v>
      </c>
      <c r="C38" s="1906" t="s">
        <v>3458</v>
      </c>
      <c r="D38" s="386">
        <v>100</v>
      </c>
      <c r="E38" s="1906" t="s">
        <v>3458</v>
      </c>
      <c r="F38" s="412">
        <f>SUMIF(114:114,E38,115:115)-SUMIF(114:114,C38,115:115)+100</f>
        <v>100</v>
      </c>
      <c r="G38" s="1906" t="s">
        <v>3458</v>
      </c>
      <c r="H38" s="386">
        <f>SUMIF(114:114,G38,115:115)-SUMIF(114:114,C38,115:115)+100</f>
        <v>100</v>
      </c>
      <c r="I38" s="1906" t="s">
        <v>3458</v>
      </c>
      <c r="J38" s="386">
        <f>SUMIF(114:114,I38,115:115)-SUMIF(114:114,C38,115:115)+100</f>
        <v>100</v>
      </c>
      <c r="K38" s="377"/>
      <c r="L38" s="2722"/>
      <c r="M38" s="2716"/>
      <c r="N38" s="2716"/>
      <c r="O38" s="2716"/>
      <c r="P38" s="3733" t="s">
        <v>1696</v>
      </c>
      <c r="Q38" s="1352" t="str">
        <f t="shared" si="11"/>
        <v>物业管理</v>
      </c>
      <c r="R38" s="705" t="s">
        <v>18</v>
      </c>
      <c r="S38" s="706">
        <f t="shared" si="12"/>
        <v>100</v>
      </c>
      <c r="T38" s="705" t="s">
        <v>18</v>
      </c>
      <c r="U38" s="706">
        <f t="shared" si="13"/>
        <v>100</v>
      </c>
      <c r="V38" s="705" t="s">
        <v>18</v>
      </c>
      <c r="W38" s="706">
        <f t="shared" si="14"/>
        <v>100</v>
      </c>
      <c r="X38" s="1355"/>
      <c r="Y38" s="373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3"/>
      <c r="Q39" s="1352" t="str">
        <f t="shared" si="11"/>
        <v>市政基础设施</v>
      </c>
      <c r="R39" s="705" t="s">
        <v>18</v>
      </c>
      <c r="S39" s="706">
        <f t="shared" si="12"/>
        <v>100</v>
      </c>
      <c r="T39" s="705" t="s">
        <v>18</v>
      </c>
      <c r="U39" s="706">
        <f t="shared" si="13"/>
        <v>100</v>
      </c>
      <c r="V39" s="705" t="s">
        <v>18</v>
      </c>
      <c r="W39" s="706">
        <f t="shared" si="14"/>
        <v>100</v>
      </c>
      <c r="X39" s="1355"/>
      <c r="Y39" s="373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3"/>
      <c r="Q40" s="1352" t="str">
        <f t="shared" si="11"/>
        <v>房型</v>
      </c>
      <c r="R40" s="705" t="s">
        <v>18</v>
      </c>
      <c r="S40" s="706">
        <f t="shared" si="12"/>
        <v>100</v>
      </c>
      <c r="T40" s="705" t="s">
        <v>18</v>
      </c>
      <c r="U40" s="706">
        <f t="shared" si="13"/>
        <v>100</v>
      </c>
      <c r="V40" s="705" t="s">
        <v>18</v>
      </c>
      <c r="W40" s="706">
        <f t="shared" si="14"/>
        <v>100</v>
      </c>
      <c r="X40" s="1355"/>
      <c r="Y40" s="373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3"/>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53">
        <f t="shared" si="15"/>
        <v>1</v>
      </c>
      <c r="AB41" s="1353">
        <f t="shared" si="16"/>
        <v>1</v>
      </c>
      <c r="AC41" s="1353">
        <f t="shared" si="17"/>
        <v>1</v>
      </c>
    </row>
    <row r="42" spans="1:29" ht="15">
      <c r="A42" s="423"/>
      <c r="B42" s="375" t="s">
        <v>1706</v>
      </c>
      <c r="C42" s="1906" t="s">
        <v>3454</v>
      </c>
      <c r="D42" s="386">
        <v>100</v>
      </c>
      <c r="E42" s="1907" t="s">
        <v>3497</v>
      </c>
      <c r="F42" s="412">
        <f>SUMIF(122:122,E42,123:123)-SUMIF(122:122,C42,123:123)+100</f>
        <v>99</v>
      </c>
      <c r="G42" s="1906" t="s">
        <v>3497</v>
      </c>
      <c r="H42" s="386">
        <f>SUMIF(122:122,G42,123:123)-SUMIF(122:122,C42,123:123)+100</f>
        <v>99</v>
      </c>
      <c r="I42" s="1907" t="s">
        <v>3497</v>
      </c>
      <c r="J42" s="386">
        <f>SUMIF(122:122,I42,123:123)-SUMIF(122:122,C42,123:123)+100</f>
        <v>99</v>
      </c>
      <c r="K42" s="377">
        <v>1</v>
      </c>
      <c r="L42" s="2722"/>
      <c r="M42" s="2716"/>
      <c r="N42" s="2716"/>
      <c r="O42" s="2716"/>
      <c r="P42" s="3733"/>
      <c r="Q42" s="1352" t="str">
        <f t="shared" si="11"/>
        <v>内部装修</v>
      </c>
      <c r="R42" s="705" t="s">
        <v>18</v>
      </c>
      <c r="S42" s="706">
        <f t="shared" si="12"/>
        <v>99</v>
      </c>
      <c r="T42" s="705" t="s">
        <v>18</v>
      </c>
      <c r="U42" s="706">
        <f t="shared" si="13"/>
        <v>99</v>
      </c>
      <c r="V42" s="705" t="s">
        <v>18</v>
      </c>
      <c r="W42" s="706">
        <f t="shared" si="14"/>
        <v>99</v>
      </c>
      <c r="X42" s="1355"/>
      <c r="Y42" s="3735"/>
      <c r="Z42" s="1356" t="str">
        <f t="shared" si="18"/>
        <v>内部装修</v>
      </c>
      <c r="AA42" s="1353">
        <f t="shared" si="15"/>
        <v>1.0101010101010102</v>
      </c>
      <c r="AB42" s="1353">
        <f t="shared" si="16"/>
        <v>1.0101010101010102</v>
      </c>
      <c r="AC42" s="1353">
        <f t="shared" si="17"/>
        <v>1.0101010101010102</v>
      </c>
    </row>
    <row r="43" spans="1:29" ht="15">
      <c r="A43" s="423"/>
      <c r="B43" s="375" t="s">
        <v>1707</v>
      </c>
      <c r="C43" s="1906" t="s">
        <v>3428</v>
      </c>
      <c r="D43" s="386">
        <v>100</v>
      </c>
      <c r="E43" s="1906" t="s">
        <v>3503</v>
      </c>
      <c r="F43" s="412">
        <f>SUMIF(124:124,E43,125:125)-SUMIF(124:124,C43,125:125)+100</f>
        <v>100</v>
      </c>
      <c r="G43" s="1906" t="s">
        <v>3503</v>
      </c>
      <c r="H43" s="386">
        <f>SUMIF(124:124,G43,125:125)-SUMIF(124:124,C43,125:125)+100</f>
        <v>100</v>
      </c>
      <c r="I43" s="1907" t="s">
        <v>3503</v>
      </c>
      <c r="J43" s="386">
        <f>SUMIF(124:124,I43,125:125)-SUMIF(124:124,C43,125:125)+100</f>
        <v>100</v>
      </c>
      <c r="K43" s="377">
        <v>0</v>
      </c>
      <c r="L43" s="2722"/>
      <c r="M43" s="2716"/>
      <c r="N43" s="2716"/>
      <c r="O43" s="2716"/>
      <c r="P43" s="3733"/>
      <c r="Q43" s="1352" t="str">
        <f t="shared" si="11"/>
        <v>内部装修维护情况</v>
      </c>
      <c r="R43" s="705" t="s">
        <v>18</v>
      </c>
      <c r="S43" s="706">
        <f t="shared" si="12"/>
        <v>100</v>
      </c>
      <c r="T43" s="705" t="s">
        <v>18</v>
      </c>
      <c r="U43" s="706">
        <f t="shared" si="13"/>
        <v>100</v>
      </c>
      <c r="V43" s="705" t="s">
        <v>18</v>
      </c>
      <c r="W43" s="706">
        <f t="shared" si="14"/>
        <v>100</v>
      </c>
      <c r="X43" s="1355"/>
      <c r="Y43" s="3735"/>
      <c r="Z43" s="1356" t="str">
        <f t="shared" si="18"/>
        <v>内部装修维护情况</v>
      </c>
      <c r="AA43" s="1353">
        <f t="shared" si="15"/>
        <v>1</v>
      </c>
      <c r="AB43" s="1353">
        <f t="shared" si="16"/>
        <v>1</v>
      </c>
      <c r="AC43" s="1353">
        <f t="shared" si="17"/>
        <v>1</v>
      </c>
    </row>
    <row r="44" spans="1:29" s="108" customFormat="1" ht="15">
      <c r="A44" s="424"/>
      <c r="B44" s="3461" t="s">
        <v>3430</v>
      </c>
      <c r="C44" s="420">
        <v>2003</v>
      </c>
      <c r="D44" s="127">
        <v>100</v>
      </c>
      <c r="E44" s="420">
        <v>2003</v>
      </c>
      <c r="F44" s="376">
        <f>SUMIF(126:126,E44,127:127)-SUMIF(126:126,C44,127:127)+100</f>
        <v>100</v>
      </c>
      <c r="G44" s="420">
        <v>2003</v>
      </c>
      <c r="H44" s="127">
        <f>SUMIF(126:126,G44,127:127)-SUMIF(126:126,C44,127:127)+100</f>
        <v>100</v>
      </c>
      <c r="I44" s="420">
        <v>2003</v>
      </c>
      <c r="J44" s="127">
        <f>SUMIF(126:126,I44,127:127)-SUMIF(126:126,C44,127:127)+100</f>
        <v>100</v>
      </c>
      <c r="K44" s="1894"/>
      <c r="L44" s="2717"/>
      <c r="M44" s="2718"/>
      <c r="N44" s="2718"/>
      <c r="O44" s="2718"/>
      <c r="P44" s="3733"/>
      <c r="Q44" s="1343" t="str">
        <f t="shared" si="11"/>
        <v>建成年份</v>
      </c>
      <c r="R44" s="701" t="s">
        <v>18</v>
      </c>
      <c r="S44" s="702">
        <f t="shared" si="12"/>
        <v>100</v>
      </c>
      <c r="T44" s="701" t="s">
        <v>18</v>
      </c>
      <c r="U44" s="702">
        <f t="shared" si="13"/>
        <v>100</v>
      </c>
      <c r="V44" s="701" t="s">
        <v>18</v>
      </c>
      <c r="W44" s="702">
        <f t="shared" si="14"/>
        <v>100</v>
      </c>
      <c r="X44" s="703"/>
      <c r="Y44" s="3735"/>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3"/>
      <c r="Q45" s="1352">
        <f t="shared" si="11"/>
        <v>111</v>
      </c>
      <c r="R45" s="705" t="s">
        <v>18</v>
      </c>
      <c r="S45" s="706">
        <f t="shared" si="12"/>
        <v>100</v>
      </c>
      <c r="T45" s="705" t="s">
        <v>18</v>
      </c>
      <c r="U45" s="706">
        <f t="shared" si="13"/>
        <v>100</v>
      </c>
      <c r="V45" s="705" t="s">
        <v>18</v>
      </c>
      <c r="W45" s="706">
        <f t="shared" si="14"/>
        <v>100</v>
      </c>
      <c r="X45" s="1355"/>
      <c r="Y45" s="373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4"/>
      <c r="Q46" s="1352">
        <f t="shared" si="11"/>
        <v>111</v>
      </c>
      <c r="R46" s="705" t="s">
        <v>17</v>
      </c>
      <c r="S46" s="706">
        <f t="shared" si="12"/>
        <v>100</v>
      </c>
      <c r="T46" s="705" t="s">
        <v>17</v>
      </c>
      <c r="U46" s="706">
        <f t="shared" si="13"/>
        <v>100</v>
      </c>
      <c r="V46" s="705" t="s">
        <v>17</v>
      </c>
      <c r="W46" s="706">
        <f t="shared" si="14"/>
        <v>100</v>
      </c>
      <c r="X46" s="1355"/>
      <c r="Y46" s="3736"/>
      <c r="Z46" s="1356">
        <f t="shared" si="18"/>
        <v>111</v>
      </c>
      <c r="AA46" s="1353">
        <f t="shared" si="15"/>
        <v>1</v>
      </c>
      <c r="AB46" s="1353">
        <f t="shared" si="16"/>
        <v>1</v>
      </c>
      <c r="AC46" s="1353">
        <f t="shared" si="17"/>
        <v>1</v>
      </c>
    </row>
    <row r="47" spans="1:29" ht="15">
      <c r="A47" s="430" t="s">
        <v>1708</v>
      </c>
      <c r="B47" s="431"/>
      <c r="C47" s="1154" t="s">
        <v>16</v>
      </c>
      <c r="D47" s="1155"/>
      <c r="E47" s="1156">
        <f>三部案例!$M$2</f>
        <v>113995</v>
      </c>
      <c r="F47" s="1157"/>
      <c r="G47" s="1158">
        <f>三部案例!$M$3</f>
        <v>110583</v>
      </c>
      <c r="H47" s="1159"/>
      <c r="I47" s="1156">
        <f>三部案例!$M$4</f>
        <v>117569</v>
      </c>
      <c r="J47" s="1159"/>
      <c r="K47" s="1914"/>
      <c r="L47" s="2724"/>
      <c r="M47" s="2725"/>
      <c r="N47" s="2716"/>
      <c r="O47" s="2725"/>
      <c r="P47" s="3728" t="str">
        <f>A47</f>
        <v>成交单价（元/平方米）</v>
      </c>
      <c r="Q47" s="3728"/>
      <c r="R47" s="3729">
        <f>E47</f>
        <v>113995</v>
      </c>
      <c r="S47" s="3729"/>
      <c r="T47" s="3729">
        <f>G47</f>
        <v>110583</v>
      </c>
      <c r="U47" s="3729"/>
      <c r="V47" s="3729">
        <f>I47</f>
        <v>117569</v>
      </c>
      <c r="W47" s="3729"/>
      <c r="X47" s="690"/>
      <c r="Y47" s="712"/>
      <c r="Z47" s="690"/>
      <c r="AA47" s="690"/>
      <c r="AB47" s="690"/>
      <c r="AC47" s="690"/>
    </row>
    <row r="48" spans="1:29" ht="15.75" thickBot="1">
      <c r="A48" s="437" t="s">
        <v>1709</v>
      </c>
      <c r="B48" s="438"/>
      <c r="C48" s="1160">
        <f>R49</f>
        <v>116143</v>
      </c>
      <c r="D48" s="2317" t="s">
        <v>2138</v>
      </c>
      <c r="E48" s="1161">
        <f>R48</f>
        <v>112889</v>
      </c>
      <c r="F48" s="2318"/>
      <c r="G48" s="1160">
        <f>T48</f>
        <v>119427</v>
      </c>
      <c r="H48" s="2318"/>
      <c r="I48" s="1161">
        <f>V48</f>
        <v>116114</v>
      </c>
      <c r="J48" s="2318"/>
      <c r="K48" s="2319">
        <f>F48+H48+J48</f>
        <v>0</v>
      </c>
      <c r="L48" s="2724"/>
      <c r="M48" s="2725"/>
      <c r="N48" s="2725"/>
      <c r="O48" s="2725"/>
      <c r="P48" s="3728" t="str">
        <f>A48</f>
        <v>比较价值（元/平方米）</v>
      </c>
      <c r="Q48" s="3728"/>
      <c r="R48" s="3729">
        <f>IF(F1="售价",ROUND(PRODUCT(R47,AA7:AA46),0),ROUND(PRODUCT(R47,AA7:AA46),1))</f>
        <v>112889</v>
      </c>
      <c r="S48" s="3729"/>
      <c r="T48" s="3729">
        <f>IF(F1="售价",ROUND(PRODUCT(T47,AB7:AB46),0),ROUND(PRODUCT(T47,AB7:AB46),1))</f>
        <v>119427</v>
      </c>
      <c r="U48" s="3729"/>
      <c r="V48" s="3729">
        <f>IF(F1="售价",ROUND(PRODUCT(V47,AC7:AC46),0),ROUND(PRODUCT(V47,AC7:AC46),1))</f>
        <v>116114</v>
      </c>
      <c r="W48" s="3729"/>
      <c r="X48" s="690"/>
      <c r="Y48" s="690"/>
      <c r="Z48" s="690"/>
      <c r="AA48" s="690"/>
      <c r="AB48" s="690"/>
      <c r="AC48" s="690"/>
    </row>
    <row r="49" spans="1:29" ht="15.75" thickBot="1">
      <c r="A49" s="441" t="s">
        <v>1710</v>
      </c>
      <c r="B49" s="442"/>
      <c r="C49" s="1162">
        <f>R49</f>
        <v>116143</v>
      </c>
      <c r="D49" s="1163"/>
      <c r="E49" s="1163"/>
      <c r="F49" s="1163"/>
      <c r="G49" s="1163"/>
      <c r="H49" s="1163"/>
      <c r="I49" s="1163"/>
      <c r="J49" s="1163"/>
      <c r="K49" s="1915"/>
      <c r="L49" s="2724"/>
      <c r="M49" s="2725"/>
      <c r="N49" s="2725"/>
      <c r="O49" s="2725"/>
      <c r="P49" s="3725" t="str">
        <f>A49</f>
        <v>估价对象XX用房的比较价值（楼面单价，元/平方米）</v>
      </c>
      <c r="Q49" s="3726"/>
      <c r="R49" s="3727">
        <f>IF(F1="售价",ROUND(IF(D48="简单平均",AVERAGE(R48:V48),R48*F48+T48*H48+V48*J48),0),ROUND(IF(D48="简单平均",AVERAGE(R48:V48),R48*F48+T48*H48+V48*J48),1))</f>
        <v>116143</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9.7972344515409038E-3</v>
      </c>
      <c r="F52" s="449" t="str">
        <f>IF(OR(E52&gt;=0.3,E52&lt;=-0.3),"超过30%","")</f>
        <v/>
      </c>
      <c r="G52" s="448">
        <f>IF(G47&lt;G48,G48/G47-1,G47/G48-1)</f>
        <v>7.997612652939412E-2</v>
      </c>
      <c r="H52" s="449" t="str">
        <f>IF(OR(G52&gt;=0.3,G52&lt;=-0.3),"超过30%","")</f>
        <v/>
      </c>
      <c r="I52" s="448">
        <f>IF(I47&lt;I48,I48/I47-1,I47/I48-1)</f>
        <v>1.2530788707649343E-2</v>
      </c>
      <c r="J52" s="449" t="str">
        <f>IF(OR(I52&gt;=0.3,I52&lt;=-0.3),"超过30%","")</f>
        <v/>
      </c>
      <c r="K52" s="2730"/>
      <c r="L52" s="2726"/>
      <c r="M52" s="2725"/>
      <c r="N52" s="2725"/>
      <c r="O52" s="2725"/>
    </row>
    <row r="53" spans="1:29" ht="13.5" customHeight="1">
      <c r="A53" s="2725"/>
      <c r="B53" s="2725"/>
      <c r="C53" s="446" t="s">
        <v>1712</v>
      </c>
      <c r="D53" s="450"/>
      <c r="E53" s="448">
        <f>IF(E48&lt;G48,G48/E48-1,E48/G48-1)</f>
        <v>5.7915297327463255E-2</v>
      </c>
      <c r="F53" s="449" t="str">
        <f>IF(OR(E53&gt;=0.2,E53&lt;=-0.2),"超过20%","")</f>
        <v/>
      </c>
      <c r="G53" s="448">
        <f>IF(G48&lt;I48,I48/G48-1,G48/I48-1)</f>
        <v>2.8532304459410573E-2</v>
      </c>
      <c r="H53" s="449" t="str">
        <f>IF(OR(G53&gt;=0.2,G53&lt;=-0.2),"超过20%","")</f>
        <v/>
      </c>
      <c r="I53" s="448">
        <f>IF(I48&lt;E48,E48/I48-1,I48/E48-1)</f>
        <v>2.8567885267829496E-2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3.0854652161724783E-2</v>
      </c>
      <c r="F54" s="449" t="str">
        <f>IF(OR(E54&gt;=0.3,E54&lt;=-0.3),"超过30%","")</f>
        <v/>
      </c>
      <c r="G54" s="448">
        <f>IF(G47&lt;I47,I47/G47-1,G47/I47-1)</f>
        <v>6.3174267292440911E-2</v>
      </c>
      <c r="H54" s="449" t="str">
        <f>IF(OR(G54&gt;=0.3,G54&lt;=-0.3),"超过30%","")</f>
        <v/>
      </c>
      <c r="I54" s="448">
        <f>IF(I47&lt;E47,E47/I47-1,I47/E47-1)</f>
        <v>3.135225229176708E-2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2022-9</v>
      </c>
      <c r="D58" s="1185">
        <f>EDATE(C58,-1)</f>
        <v>44774</v>
      </c>
      <c r="E58" s="1185">
        <f>EDATE(D58,-1)</f>
        <v>44743</v>
      </c>
      <c r="F58" s="1185">
        <f t="shared" ref="F58:O58" si="19">EDATE(E58,-1)</f>
        <v>44713</v>
      </c>
      <c r="G58" s="1185">
        <f t="shared" si="19"/>
        <v>44682</v>
      </c>
      <c r="H58" s="1185">
        <f t="shared" si="19"/>
        <v>44652</v>
      </c>
      <c r="I58" s="1185">
        <f t="shared" si="19"/>
        <v>44621</v>
      </c>
      <c r="J58" s="1185">
        <f t="shared" si="19"/>
        <v>44593</v>
      </c>
      <c r="K58" s="1185">
        <f t="shared" si="19"/>
        <v>44562</v>
      </c>
      <c r="L58" s="1185">
        <f t="shared" si="19"/>
        <v>44531</v>
      </c>
      <c r="M58" s="1185">
        <f t="shared" si="19"/>
        <v>44501</v>
      </c>
      <c r="N58" s="1185">
        <f t="shared" si="19"/>
        <v>44470</v>
      </c>
      <c r="O58" s="1185">
        <f t="shared" si="19"/>
        <v>44440</v>
      </c>
      <c r="P58" s="1181"/>
    </row>
    <row r="59" spans="1:29" s="108" customFormat="1" ht="15">
      <c r="A59" s="458"/>
      <c r="B59" s="1919"/>
      <c r="C59" s="1183">
        <v>100</v>
      </c>
      <c r="D59" s="460">
        <v>100</v>
      </c>
      <c r="E59" s="461">
        <v>100</v>
      </c>
      <c r="F59" s="461">
        <v>99.5</v>
      </c>
      <c r="G59" s="461">
        <v>99.5</v>
      </c>
      <c r="H59" s="461">
        <v>99.5</v>
      </c>
      <c r="I59" s="461">
        <v>99</v>
      </c>
      <c r="J59" s="461">
        <v>99</v>
      </c>
      <c r="K59" s="461">
        <v>99</v>
      </c>
      <c r="L59" s="461">
        <v>98.5</v>
      </c>
      <c r="M59" s="462">
        <v>98.5</v>
      </c>
      <c r="N59" s="461">
        <v>98.5</v>
      </c>
      <c r="O59" s="462">
        <v>98</v>
      </c>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0</v>
      </c>
      <c r="D68" s="498">
        <v>1</v>
      </c>
      <c r="E68" s="498">
        <v>2</v>
      </c>
      <c r="F68" s="498"/>
      <c r="G68" s="498"/>
      <c r="H68" s="498"/>
      <c r="I68" s="498"/>
      <c r="J68" s="498"/>
      <c r="K68" s="499"/>
      <c r="L68" s="500"/>
      <c r="M68" s="501"/>
      <c r="N68" s="933"/>
      <c r="O68" s="933"/>
      <c r="P68" s="1922"/>
      <c r="Q68" s="453"/>
    </row>
    <row r="69" spans="1:17" ht="15.75"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62" t="s">
        <v>3411</v>
      </c>
      <c r="D88" s="3463" t="s">
        <v>3408</v>
      </c>
      <c r="E88" s="3463" t="s">
        <v>3431</v>
      </c>
      <c r="F88" s="3463" t="s">
        <v>3432</v>
      </c>
      <c r="G88" s="3463" t="s">
        <v>3433</v>
      </c>
      <c r="H88" s="3463" t="s">
        <v>3423</v>
      </c>
      <c r="I88" s="3464" t="s">
        <v>3434</v>
      </c>
      <c r="J88" s="3464" t="s">
        <v>3435</v>
      </c>
      <c r="K88" s="3463" t="s">
        <v>3436</v>
      </c>
      <c r="L88" s="3463" t="s">
        <v>3418</v>
      </c>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道路级别</v>
      </c>
      <c r="C90" s="3465" t="s">
        <v>3437</v>
      </c>
      <c r="D90" s="3465" t="s">
        <v>3438</v>
      </c>
      <c r="E90" s="3465" t="s">
        <v>3439</v>
      </c>
      <c r="F90" s="3465" t="s">
        <v>3440</v>
      </c>
      <c r="G90" s="3465" t="s">
        <v>3441</v>
      </c>
      <c r="H90" s="504"/>
      <c r="I90" s="504"/>
      <c r="J90" s="504"/>
      <c r="K90" s="504"/>
      <c r="L90" s="505"/>
      <c r="M90" s="506"/>
      <c r="N90" s="935"/>
      <c r="O90" s="935"/>
      <c r="P90" s="1923"/>
      <c r="Q90" s="508"/>
    </row>
    <row r="91" spans="1:17" s="422" customFormat="1" ht="15.75" thickBot="1">
      <c r="A91" s="502"/>
      <c r="B91" s="492"/>
      <c r="C91" s="3466">
        <v>100</v>
      </c>
      <c r="D91" s="3466">
        <v>98</v>
      </c>
      <c r="E91" s="3466">
        <v>96</v>
      </c>
      <c r="F91" s="3466">
        <v>94</v>
      </c>
      <c r="G91" s="3466">
        <v>92</v>
      </c>
      <c r="H91" s="511"/>
      <c r="I91" s="511"/>
      <c r="J91" s="511"/>
      <c r="K91" s="511"/>
      <c r="L91" s="511"/>
      <c r="M91" s="512"/>
      <c r="N91" s="935"/>
      <c r="O91" s="935"/>
      <c r="P91" s="1923"/>
      <c r="Q91" s="508"/>
    </row>
    <row r="92" spans="1:17" ht="28.5" thickTop="1">
      <c r="A92" s="483"/>
      <c r="B92" s="487" t="str">
        <f>B28</f>
        <v>楼层</v>
      </c>
      <c r="C92" s="385" t="s">
        <v>3470</v>
      </c>
      <c r="D92" s="385" t="s">
        <v>3471</v>
      </c>
      <c r="E92" s="1908" t="s">
        <v>3473</v>
      </c>
      <c r="F92" s="385" t="s">
        <v>3472</v>
      </c>
      <c r="G92" s="532"/>
      <c r="H92" s="532"/>
      <c r="I92" s="532"/>
      <c r="J92" s="532"/>
      <c r="K92" s="533"/>
      <c r="L92" s="534"/>
      <c r="M92" s="535"/>
      <c r="N92" s="933"/>
      <c r="O92" s="933"/>
      <c r="P92" s="1922"/>
      <c r="Q92" s="453"/>
    </row>
    <row r="93" spans="1:17" ht="15.75" thickBot="1">
      <c r="A93" s="483"/>
      <c r="B93" s="492"/>
      <c r="C93" s="509">
        <v>100</v>
      </c>
      <c r="D93" s="485">
        <v>100</v>
      </c>
      <c r="E93" s="485">
        <v>94</v>
      </c>
      <c r="F93" s="485">
        <v>104</v>
      </c>
      <c r="G93" s="485"/>
      <c r="H93" s="485"/>
      <c r="I93" s="485"/>
      <c r="J93" s="485"/>
      <c r="K93" s="485"/>
      <c r="L93" s="485"/>
      <c r="M93" s="486"/>
      <c r="N93" s="934"/>
      <c r="O93" s="934"/>
      <c r="P93" s="1922"/>
      <c r="Q93" s="453"/>
    </row>
    <row r="94" spans="1:17" ht="15.75" thickTop="1">
      <c r="A94" s="483"/>
      <c r="B94" s="487" t="str">
        <f>B29</f>
        <v>采光</v>
      </c>
      <c r="C94" s="3505" t="s">
        <v>3505</v>
      </c>
      <c r="D94" s="3505" t="s">
        <v>3506</v>
      </c>
      <c r="E94" s="3505" t="s">
        <v>3504</v>
      </c>
      <c r="F94" s="3505" t="s">
        <v>3502</v>
      </c>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67" t="s">
        <v>3443</v>
      </c>
      <c r="D100" s="3846" t="s">
        <v>3507</v>
      </c>
      <c r="E100" s="3468" t="s">
        <v>3444</v>
      </c>
      <c r="F100" s="3469" t="s">
        <v>3445</v>
      </c>
      <c r="G100" s="3470" t="s">
        <v>3446</v>
      </c>
      <c r="H100" s="3470" t="s">
        <v>3447</v>
      </c>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e">
        <f>C103&amp;"(含)"&amp;"-"&amp;#REF!</f>
        <v>#REF!</v>
      </c>
      <c r="D102" s="527" t="e">
        <f>#REF!&amp;"(含)"&amp;"-"&amp;D103</f>
        <v>#REF!</v>
      </c>
      <c r="E102" s="527" t="str">
        <f>D103&amp;"(含)"&amp;"-"&amp;E103</f>
        <v>60(含)-90</v>
      </c>
      <c r="F102" s="527" t="str">
        <f>E103&amp;"(含)"&amp;"-"&amp;F103</f>
        <v>90(含)-110</v>
      </c>
      <c r="G102" s="527" t="str">
        <f>F103&amp;"(含)"&amp;"-"&amp;G103</f>
        <v>110(含)-130</v>
      </c>
      <c r="H102" s="527" t="str">
        <f>G103&amp;"(含)"&amp;"-"&amp;H103</f>
        <v>130(含)-150</v>
      </c>
      <c r="I102" s="527" t="str">
        <f>H103&amp;"(含)"&amp;"-"&amp;J103</f>
        <v>150(含)-</v>
      </c>
      <c r="J102" s="527" t="str">
        <f t="shared" ref="D102:L102" si="26">J103&amp;"(含)"&amp;"-"&amp;K103</f>
        <v>(含)-</v>
      </c>
      <c r="K102" s="527" t="str">
        <f>K103&amp;"(含)"&amp;"-"&amp;L103</f>
        <v>(含)-</v>
      </c>
      <c r="L102" s="527" t="str">
        <f t="shared" si="26"/>
        <v>(含)-</v>
      </c>
      <c r="M102" s="527" t="str">
        <f>M103&amp;"(含)"&amp;"-"&amp;P103</f>
        <v>(含)-</v>
      </c>
      <c r="N102" s="932"/>
      <c r="O102" s="932"/>
      <c r="P102" s="1922"/>
      <c r="Q102" s="453"/>
    </row>
    <row r="103" spans="1:17" s="422" customFormat="1">
      <c r="A103" s="542"/>
      <c r="B103" s="543"/>
      <c r="C103" s="6">
        <v>0</v>
      </c>
      <c r="D103" s="6">
        <v>60</v>
      </c>
      <c r="E103" s="6">
        <v>90</v>
      </c>
      <c r="F103" s="6">
        <v>110</v>
      </c>
      <c r="G103" s="6">
        <v>130</v>
      </c>
      <c r="H103" s="6">
        <v>150</v>
      </c>
      <c r="J103" s="545"/>
      <c r="K103" s="545"/>
      <c r="L103" s="546"/>
      <c r="M103" s="547"/>
      <c r="N103" s="935"/>
      <c r="O103" s="935"/>
      <c r="P103" s="1923"/>
      <c r="Q103" s="508"/>
    </row>
    <row r="104" spans="1:17" s="422" customFormat="1" ht="15.75" thickBot="1">
      <c r="A104" s="502"/>
      <c r="B104" s="492"/>
      <c r="C104" s="3466">
        <v>100</v>
      </c>
      <c r="D104" s="3471">
        <v>98</v>
      </c>
      <c r="E104" s="3471">
        <v>96</v>
      </c>
      <c r="F104" s="3471">
        <v>94</v>
      </c>
      <c r="G104" s="3471">
        <v>92</v>
      </c>
      <c r="H104" s="3471">
        <v>90</v>
      </c>
      <c r="J104" s="485"/>
      <c r="K104" s="485"/>
      <c r="L104" s="485"/>
      <c r="M104" s="485"/>
      <c r="N104" s="934"/>
      <c r="O104" s="934"/>
      <c r="P104" s="1923"/>
      <c r="Q104" s="508"/>
    </row>
    <row r="105" spans="1:17" ht="15" thickTop="1">
      <c r="A105" s="548"/>
      <c r="B105" s="487" t="s">
        <v>1738</v>
      </c>
      <c r="C105" s="3465" t="s">
        <v>3448</v>
      </c>
      <c r="D105" s="3465" t="s">
        <v>3449</v>
      </c>
      <c r="E105" s="3472" t="s">
        <v>3450</v>
      </c>
      <c r="F105" s="3472" t="s">
        <v>3451</v>
      </c>
      <c r="G105" s="3463" t="s">
        <v>3452</v>
      </c>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73" t="s">
        <v>3457</v>
      </c>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5" t="s">
        <v>3453</v>
      </c>
      <c r="D109" s="3465" t="s">
        <v>3454</v>
      </c>
      <c r="E109" s="3465" t="s">
        <v>3455</v>
      </c>
      <c r="F109" s="3472" t="s">
        <v>3456</v>
      </c>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65" t="s">
        <v>3458</v>
      </c>
      <c r="D114" s="3465" t="s">
        <v>3459</v>
      </c>
      <c r="E114" s="3463" t="s">
        <v>3460</v>
      </c>
      <c r="F114" s="3463" t="s">
        <v>3461</v>
      </c>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5" t="s">
        <v>3429</v>
      </c>
      <c r="D116" s="3465" t="s">
        <v>3462</v>
      </c>
      <c r="E116" s="3465" t="s">
        <v>3463</v>
      </c>
      <c r="F116" s="3465" t="s">
        <v>3464</v>
      </c>
      <c r="G116" s="3465" t="s">
        <v>3465</v>
      </c>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74" t="s">
        <v>3466</v>
      </c>
      <c r="D118" s="3474" t="s">
        <v>3467</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3475">
        <v>0</v>
      </c>
      <c r="D120" s="3475">
        <v>20</v>
      </c>
      <c r="E120" s="3475">
        <v>40</v>
      </c>
      <c r="F120" s="3475">
        <v>60</v>
      </c>
      <c r="G120" s="3475">
        <v>80</v>
      </c>
      <c r="H120" s="3475">
        <v>100</v>
      </c>
      <c r="I120" s="3475">
        <v>120</v>
      </c>
      <c r="J120" s="3475">
        <v>140</v>
      </c>
      <c r="K120" s="503"/>
      <c r="L120" s="529"/>
      <c r="M120" s="530"/>
      <c r="N120" s="935"/>
      <c r="O120" s="935"/>
      <c r="P120" s="1923"/>
      <c r="Q120" s="508"/>
    </row>
    <row r="121" spans="1:17" s="422" customFormat="1" ht="15.75" thickBot="1">
      <c r="A121" s="502"/>
      <c r="B121" s="484"/>
      <c r="C121" s="3466">
        <v>100</v>
      </c>
      <c r="D121" s="3471">
        <v>98</v>
      </c>
      <c r="E121" s="3471">
        <v>96</v>
      </c>
      <c r="F121" s="3471">
        <v>94</v>
      </c>
      <c r="G121" s="3471">
        <v>92</v>
      </c>
      <c r="H121" s="3471">
        <v>90</v>
      </c>
      <c r="I121" s="3471">
        <v>88</v>
      </c>
      <c r="J121" s="3471">
        <v>86</v>
      </c>
      <c r="K121" s="485"/>
      <c r="L121" s="485"/>
      <c r="M121" s="485"/>
      <c r="N121" s="935"/>
      <c r="O121" s="935"/>
      <c r="P121" s="1923"/>
      <c r="Q121" s="508"/>
    </row>
    <row r="122" spans="1:17" ht="15" thickTop="1">
      <c r="A122" s="548"/>
      <c r="B122" s="487" t="s">
        <v>1744</v>
      </c>
      <c r="C122" s="3465" t="s">
        <v>3453</v>
      </c>
      <c r="D122" s="3465" t="s">
        <v>3454</v>
      </c>
      <c r="E122" s="3465" t="s">
        <v>3455</v>
      </c>
      <c r="F122" s="3472" t="s">
        <v>3456</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建成年份</v>
      </c>
      <c r="C126" s="503">
        <v>2003</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2" zoomScale="80" zoomScaleNormal="70" zoomScaleSheetLayoutView="80" workbookViewId="0">
      <selection activeCell="F44" sqref="F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48.69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627</v>
      </c>
      <c r="C2" s="1387" t="s">
        <v>805</v>
      </c>
      <c r="D2" s="1387"/>
      <c r="E2" s="1388"/>
      <c r="F2" s="1389"/>
      <c r="G2" s="2706"/>
      <c r="H2" s="2695"/>
      <c r="I2" s="2695"/>
      <c r="J2" s="2695"/>
      <c r="K2" s="2696"/>
      <c r="L2" s="2695"/>
      <c r="M2" s="2695"/>
    </row>
    <row r="3" spans="1:37" ht="18" customHeight="1" thickBot="1">
      <c r="A3" s="1390" t="s">
        <v>806</v>
      </c>
      <c r="B3" s="1391">
        <f ca="1">IF(ISERROR(B2*10000/F43),0,ROUND(B2*10000/F43,0))</f>
        <v>62320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v>
      </c>
      <c r="D5" s="1364" t="s">
        <v>693</v>
      </c>
      <c r="E5" s="1071"/>
      <c r="F5" s="1072"/>
      <c r="G5" s="1384"/>
      <c r="H5" s="299">
        <v>1</v>
      </c>
      <c r="I5" s="300" t="s">
        <v>692</v>
      </c>
      <c r="J5" s="1070">
        <f ca="1">J6+J10+J12</f>
        <v>0</v>
      </c>
      <c r="K5" s="1364" t="s">
        <v>693</v>
      </c>
      <c r="L5" s="1071"/>
      <c r="M5" s="1072"/>
    </row>
    <row r="6" spans="1:37" ht="18" customHeight="1">
      <c r="A6" s="1069" t="s">
        <v>398</v>
      </c>
      <c r="B6" s="3741" t="s">
        <v>694</v>
      </c>
      <c r="C6" s="1074">
        <f ca="1">ROUND(F6*F8*F7*(1-F9)/10000,0)</f>
        <v>16</v>
      </c>
      <c r="D6" s="155" t="s">
        <v>2109</v>
      </c>
      <c r="E6" s="302" t="s">
        <v>696</v>
      </c>
      <c r="F6" s="303">
        <f ca="1">INDIRECT("'数据-取费表'!u"&amp;$G$1)</f>
        <v>14000</v>
      </c>
      <c r="G6" s="1384"/>
      <c r="H6" s="1069" t="s">
        <v>398</v>
      </c>
      <c r="I6" s="3741" t="s">
        <v>694</v>
      </c>
      <c r="J6" s="301">
        <f ca="1">ROUND(M6*M8*M7*(1-M9)/10000,0)</f>
        <v>0</v>
      </c>
      <c r="K6" s="155" t="s">
        <v>2108</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1</v>
      </c>
      <c r="G7" s="1384"/>
      <c r="H7" s="304"/>
      <c r="I7" s="3742"/>
      <c r="J7" s="306"/>
      <c r="K7" s="307"/>
      <c r="L7" s="302" t="s">
        <v>697</v>
      </c>
      <c r="M7" s="303">
        <f ca="1">F7</f>
        <v>1</v>
      </c>
    </row>
    <row r="8" spans="1:37" ht="18" customHeight="1">
      <c r="A8" s="304"/>
      <c r="B8" s="3742"/>
      <c r="C8" s="306"/>
      <c r="D8" s="307"/>
      <c r="E8" s="302" t="s">
        <v>698</v>
      </c>
      <c r="F8" s="303">
        <f ca="1">INDIRECT("'数据-取费表'!ai"&amp;$G$1)</f>
        <v>12</v>
      </c>
      <c r="G8" s="1384"/>
      <c r="H8" s="304"/>
      <c r="I8" s="3742"/>
      <c r="J8" s="306"/>
      <c r="K8" s="307"/>
      <c r="L8" s="302" t="s">
        <v>698</v>
      </c>
      <c r="M8" s="303">
        <f ca="1">INDIRECT("'数据-取费表'!ai"&amp;$G$1)</f>
        <v>12</v>
      </c>
    </row>
    <row r="9" spans="1:37" ht="18" customHeight="1">
      <c r="A9" s="304"/>
      <c r="B9" s="3743"/>
      <c r="C9" s="306"/>
      <c r="D9" s="307"/>
      <c r="E9" s="302" t="s">
        <v>699</v>
      </c>
      <c r="F9" s="312">
        <f ca="1">INDIRECT("'数据-取费表'!w"&amp;$G$1)</f>
        <v>0.05</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3476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v>
      </c>
      <c r="D14" s="1345" t="s">
        <v>708</v>
      </c>
      <c r="E14" s="1342"/>
      <c r="F14" s="319"/>
      <c r="G14" s="1384"/>
      <c r="H14" s="982" t="s">
        <v>398</v>
      </c>
      <c r="I14" s="302" t="s">
        <v>709</v>
      </c>
      <c r="J14" s="21">
        <f ca="1">C29</f>
        <v>60</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5.0000000000000001E-4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60</v>
      </c>
      <c r="D29" s="1092"/>
      <c r="E29" s="1090"/>
      <c r="F29" s="1093"/>
      <c r="G29" s="1396"/>
      <c r="H29" s="334" t="s">
        <v>396</v>
      </c>
      <c r="I29" s="335" t="s">
        <v>768</v>
      </c>
      <c r="J29" s="336">
        <f ca="1">ROUND(J26/(1+F40)^F41,0)</f>
        <v>0</v>
      </c>
      <c r="K29" s="337" t="s">
        <v>769</v>
      </c>
      <c r="L29" s="338"/>
      <c r="M29" s="339">
        <f ca="1">INDIRECT("'数据-取费表'!k"&amp;$G$1)</f>
        <v>100.61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0.38</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0.02</v>
      </c>
      <c r="D37" s="1344" t="s">
        <v>743</v>
      </c>
      <c r="E37" s="302" t="s">
        <v>744</v>
      </c>
      <c r="F37" s="330">
        <f ca="1">INDIRECT("'数据-取费表'!Al"&amp;$G$1)</f>
        <v>5.0000000000000001E-4</v>
      </c>
      <c r="G37" s="1384"/>
      <c r="H37" s="2700"/>
      <c r="I37" s="1398"/>
      <c r="J37" s="1399"/>
      <c r="K37" s="2544"/>
      <c r="L37" s="2700"/>
      <c r="M37" s="2700"/>
    </row>
    <row r="38" spans="1:18" ht="18" customHeight="1" thickBot="1">
      <c r="A38" s="1089" t="s">
        <v>684</v>
      </c>
      <c r="B38" s="1090" t="s">
        <v>728</v>
      </c>
      <c r="C38" s="1091">
        <f ca="1">ROUND(C5*F38,2)</f>
        <v>0.08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627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48.69</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ROUND(C40*10000/F43,0)</f>
        <v>62320</v>
      </c>
      <c r="D43" s="337" t="s">
        <v>777</v>
      </c>
      <c r="E43" s="338" t="s">
        <v>778</v>
      </c>
      <c r="F43" s="339">
        <f ca="1">INDIRECT("'数据-取费表'!k"&amp;$G$1)</f>
        <v>100.61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-627</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3449</v>
      </c>
      <c r="K47" s="1416" t="s">
        <v>816</v>
      </c>
      <c r="L47" s="1417">
        <f ca="1">INDIRECT("'数据-取费表'!d"&amp;$G$1)</f>
        <v>70</v>
      </c>
      <c r="M47" s="1380" t="str">
        <f>IF(ISNUMBER(FIND("住宅",C1)),"住宅","非住宅")</f>
        <v>住宅</v>
      </c>
      <c r="O47" s="1418" t="s">
        <v>403</v>
      </c>
      <c r="P47" s="1419" t="s">
        <v>817</v>
      </c>
      <c r="Q47" s="1420">
        <f ca="1">C40+J29</f>
        <v>627</v>
      </c>
      <c r="R47" s="1420" t="s">
        <v>818</v>
      </c>
    </row>
    <row r="48" spans="1:18" s="1384" customFormat="1" ht="28.5" thickBot="1">
      <c r="A48" s="1110" t="s">
        <v>438</v>
      </c>
      <c r="B48" s="300" t="s">
        <v>692</v>
      </c>
      <c r="C48" s="1359">
        <f ca="1">C49+C53+C55</f>
        <v>0</v>
      </c>
      <c r="D48" s="1112"/>
      <c r="E48" s="1113"/>
      <c r="F48" s="962"/>
      <c r="G48" s="722"/>
      <c r="H48" s="723"/>
      <c r="I48" s="1421" t="s">
        <v>819</v>
      </c>
      <c r="J48" s="1422" t="s">
        <v>3477</v>
      </c>
      <c r="K48" s="1423" t="s">
        <v>820</v>
      </c>
      <c r="L48" s="1424">
        <f ca="1">INDIRECT("'数据-取费表'!f"&amp;$G$1)</f>
        <v>48.69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60</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240</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48.69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48.69</v>
      </c>
      <c r="K53" s="3739" t="s">
        <v>837</v>
      </c>
      <c r="L53" s="3740"/>
      <c r="O53" s="1418" t="s">
        <v>409</v>
      </c>
      <c r="P53" s="1419" t="s">
        <v>838</v>
      </c>
      <c r="Q53" s="1420">
        <f ca="1">Q47+Q48</f>
        <v>627</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v>
      </c>
      <c r="D56" s="1447"/>
      <c r="E56" s="1448"/>
      <c r="F56" s="1440"/>
      <c r="I56" s="1449" t="s">
        <v>842</v>
      </c>
      <c r="J56" s="1450" t="s">
        <v>3478</v>
      </c>
      <c r="K56" s="1421" t="s">
        <v>843</v>
      </c>
      <c r="L56" s="1424">
        <f ca="1">IF(L48&lt;J51,"——",L48-J53)</f>
        <v>0</v>
      </c>
      <c r="O56" s="1418" t="s">
        <v>403</v>
      </c>
      <c r="P56" s="1419" t="s">
        <v>817</v>
      </c>
      <c r="Q56" s="1420">
        <f ca="1">C40+J29</f>
        <v>627</v>
      </c>
      <c r="R56" s="1420" t="s">
        <v>818</v>
      </c>
    </row>
    <row r="57" spans="1:18" s="1384" customFormat="1" ht="24.75" thickBot="1">
      <c r="A57" s="1451"/>
      <c r="B57" s="950" t="s">
        <v>767</v>
      </c>
      <c r="C57" s="238">
        <f ca="1">C29</f>
        <v>60</v>
      </c>
      <c r="D57" s="1452"/>
      <c r="E57" s="1453"/>
      <c r="F57" s="1454"/>
      <c r="I57" s="1455" t="s">
        <v>844</v>
      </c>
      <c r="J57" s="1456" t="str">
        <f ca="1">IF(OR(M47="住宅",J51&lt;L48,J56="是"),"——",J51-L48)</f>
        <v>——</v>
      </c>
      <c r="K57" s="1421" t="s">
        <v>845</v>
      </c>
      <c r="L57" s="1424">
        <f ca="1">IF(L48&lt;J51,"——",IF(L55="比较法",L49,IF(L55="基准地价",L50,L51)))</f>
        <v>240</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627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0.02</v>
      </c>
      <c r="D65" s="964" t="s">
        <v>743</v>
      </c>
      <c r="E65" s="950" t="s">
        <v>744</v>
      </c>
      <c r="F65" s="330">
        <f t="shared" ca="1" si="0"/>
        <v>5.0000000000000001E-4</v>
      </c>
      <c r="I65" s="1462" t="s">
        <v>867</v>
      </c>
      <c r="J65" s="1463">
        <v>40</v>
      </c>
      <c r="K65" s="1463">
        <v>30</v>
      </c>
      <c r="L65" s="1463">
        <v>50</v>
      </c>
      <c r="M65" s="1465">
        <v>0.02</v>
      </c>
      <c r="O65" s="1418" t="s">
        <v>403</v>
      </c>
      <c r="P65" s="1419" t="s">
        <v>868</v>
      </c>
      <c r="Q65" s="1420">
        <f ca="1">C40+J29</f>
        <v>627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240</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12</v>
      </c>
      <c r="R68" s="1420" t="s">
        <v>414</v>
      </c>
    </row>
    <row r="69" spans="1:18" s="1384" customFormat="1" ht="13.5" thickBot="1">
      <c r="A69" s="951"/>
      <c r="B69" s="952"/>
      <c r="C69" s="306"/>
      <c r="D69" s="970" t="s">
        <v>762</v>
      </c>
      <c r="E69" s="950" t="s">
        <v>763</v>
      </c>
      <c r="F69" s="333">
        <f ca="1">F41</f>
        <v>48.69</v>
      </c>
      <c r="O69" s="1428" t="s">
        <v>411</v>
      </c>
      <c r="P69" s="1467" t="s">
        <v>872</v>
      </c>
      <c r="Q69" s="1420">
        <f ca="1">C39</f>
        <v>15</v>
      </c>
      <c r="R69" s="1420" t="s">
        <v>818</v>
      </c>
    </row>
    <row r="70" spans="1:18" s="1384" customFormat="1" ht="13.5" thickBot="1">
      <c r="A70" s="954"/>
      <c r="B70" s="955"/>
      <c r="C70" s="310"/>
      <c r="D70" s="966"/>
      <c r="E70" s="950" t="s">
        <v>766</v>
      </c>
      <c r="F70" s="1054"/>
      <c r="O70" s="1428" t="s">
        <v>412</v>
      </c>
      <c r="P70" s="1467" t="s">
        <v>873</v>
      </c>
      <c r="Q70" s="1420">
        <f ca="1">C13</f>
        <v>46</v>
      </c>
      <c r="R70" s="1420" t="s">
        <v>818</v>
      </c>
    </row>
    <row r="71" spans="1:18" s="1384" customFormat="1" ht="13.5" thickBot="1">
      <c r="A71" s="971" t="s">
        <v>396</v>
      </c>
      <c r="B71" s="972" t="s">
        <v>776</v>
      </c>
      <c r="C71" s="336">
        <f ca="1">ROUND(C68*10000/F71,0)</f>
        <v>0</v>
      </c>
      <c r="D71" s="973" t="s">
        <v>777</v>
      </c>
      <c r="E71" s="974" t="s">
        <v>778</v>
      </c>
      <c r="F71" s="339">
        <f ca="1">F43</f>
        <v>100.61</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627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0.92700000000000005</v>
      </c>
    </row>
    <row r="83" spans="2:3">
      <c r="B83" s="273" t="s">
        <v>803</v>
      </c>
      <c r="C83" s="274">
        <f ca="1">ROUND(C13/C40,3)</f>
        <v>7.2999999999999995E-2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15"/>
  <sheetViews>
    <sheetView tabSelected="1" workbookViewId="0">
      <selection activeCell="I17" sqref="I17"/>
    </sheetView>
  </sheetViews>
  <sheetFormatPr defaultRowHeight="13.5"/>
  <cols>
    <col min="4" max="4" width="11.375" customWidth="1"/>
    <col min="6" max="6" width="11.5" customWidth="1"/>
    <col min="7" max="7" width="14.625" customWidth="1"/>
  </cols>
  <sheetData>
    <row r="1" spans="1:10">
      <c r="A1" s="3497" t="s">
        <v>3486</v>
      </c>
      <c r="B1" s="3497" t="s">
        <v>3487</v>
      </c>
      <c r="C1" s="3498"/>
      <c r="D1" s="3498"/>
      <c r="E1" s="3498"/>
      <c r="F1" s="3498"/>
      <c r="G1" s="3498"/>
      <c r="H1" s="3498"/>
      <c r="I1" s="3498"/>
      <c r="J1" s="3498"/>
    </row>
    <row r="2" spans="1:10">
      <c r="A2" s="3497">
        <v>100.61</v>
      </c>
      <c r="B2" s="3497">
        <v>81.489999999999995</v>
      </c>
      <c r="C2" s="3497">
        <f>ROUND(B2/A2,2)</f>
        <v>0.81</v>
      </c>
      <c r="D2" s="3497"/>
      <c r="E2" s="3497"/>
      <c r="F2" s="3497"/>
      <c r="G2" s="3497"/>
      <c r="H2" s="3498"/>
      <c r="I2" s="3498"/>
      <c r="J2" s="3498"/>
    </row>
    <row r="3" spans="1:10">
      <c r="A3" s="3497"/>
      <c r="B3" s="3497"/>
      <c r="C3" s="3497"/>
      <c r="D3" s="3497"/>
      <c r="E3" s="3497"/>
      <c r="F3" s="3497"/>
      <c r="G3" s="3497"/>
      <c r="H3" s="3498"/>
      <c r="I3" s="3498"/>
      <c r="J3" s="3498"/>
    </row>
    <row r="4" spans="1:10">
      <c r="A4" s="3497" t="s">
        <v>3488</v>
      </c>
      <c r="B4" s="3497">
        <v>26.83</v>
      </c>
      <c r="C4" s="3497"/>
      <c r="D4" s="3497"/>
      <c r="E4" s="3497"/>
      <c r="F4" s="3497"/>
      <c r="G4" s="3497"/>
      <c r="H4" s="3498"/>
      <c r="I4" s="3498"/>
      <c r="J4" s="3498"/>
    </row>
    <row r="5" spans="1:10">
      <c r="A5" s="3497"/>
      <c r="B5" s="3497" t="s">
        <v>3491</v>
      </c>
      <c r="C5" s="3497" t="s">
        <v>3492</v>
      </c>
      <c r="D5" s="3497" t="s">
        <v>3493</v>
      </c>
      <c r="E5" s="3497"/>
      <c r="F5" s="3502" t="s">
        <v>3495</v>
      </c>
      <c r="G5" s="3502" t="s">
        <v>3496</v>
      </c>
      <c r="H5" s="3498"/>
      <c r="I5" s="3498"/>
      <c r="J5" s="3498"/>
    </row>
    <row r="6" spans="1:10">
      <c r="A6" s="3497" t="s">
        <v>3489</v>
      </c>
      <c r="B6" s="3497">
        <v>2.7</v>
      </c>
      <c r="C6" s="3497">
        <v>5.27</v>
      </c>
      <c r="D6" s="3497">
        <f>ROUND(B6*C6/C2,2)</f>
        <v>17.57</v>
      </c>
      <c r="E6" s="3497" t="s">
        <v>3486</v>
      </c>
      <c r="F6" s="3502">
        <f ca="1">'收益法 (元)'!B3</f>
        <v>22328</v>
      </c>
      <c r="G6" s="3502">
        <f ca="1">ROUND(D6*F6/10000,4)</f>
        <v>39.2303</v>
      </c>
      <c r="H6" s="3498"/>
      <c r="I6" s="3498"/>
      <c r="J6" s="3498"/>
    </row>
    <row r="7" spans="1:10">
      <c r="A7" s="3497" t="s">
        <v>3490</v>
      </c>
      <c r="B7" s="3497">
        <v>2.5</v>
      </c>
      <c r="C7" s="3497">
        <v>5</v>
      </c>
      <c r="D7" s="3497">
        <f>B7*C7</f>
        <v>12.5</v>
      </c>
      <c r="E7" s="3497" t="s">
        <v>3494</v>
      </c>
      <c r="F7" s="3497"/>
      <c r="G7" s="3497">
        <f ca="1">结果表!G20*100.61/10000</f>
        <v>1060.2080579999999</v>
      </c>
      <c r="H7" s="3498"/>
      <c r="I7" s="3498"/>
      <c r="J7" s="3498"/>
    </row>
    <row r="8" spans="1:10">
      <c r="A8" s="3497"/>
      <c r="B8" s="3497"/>
      <c r="C8" s="3497" t="s">
        <v>3498</v>
      </c>
      <c r="D8" s="3497">
        <f>D7/D6</f>
        <v>0.71143995446784292</v>
      </c>
      <c r="E8" s="3497"/>
      <c r="F8" s="3497"/>
      <c r="G8" s="3497">
        <f ca="1">G7+G6</f>
        <v>1099.4383579999999</v>
      </c>
      <c r="H8" s="3498"/>
      <c r="I8" s="3498"/>
      <c r="J8" s="3498"/>
    </row>
    <row r="9" spans="1:10">
      <c r="A9" s="3497"/>
      <c r="B9" s="3497"/>
      <c r="C9" s="3497"/>
      <c r="D9" s="3497"/>
      <c r="E9" s="3497"/>
      <c r="F9" s="3497"/>
      <c r="G9" s="3497">
        <f ca="1">G8/(100.61+D6)*10000</f>
        <v>93030.830766627158</v>
      </c>
      <c r="H9" s="3498"/>
      <c r="I9" s="3498"/>
      <c r="J9" s="3498"/>
    </row>
    <row r="10" spans="1:10">
      <c r="A10" s="3497"/>
      <c r="B10" s="3497"/>
      <c r="C10" s="3497"/>
      <c r="D10" s="3497"/>
      <c r="E10" s="3497"/>
      <c r="F10" s="3497"/>
      <c r="G10" s="3497">
        <f ca="1">G8/100.61*10000</f>
        <v>109277.24460789184</v>
      </c>
      <c r="H10" s="3498"/>
      <c r="I10" s="3498"/>
      <c r="J10" s="3498"/>
    </row>
    <row r="11" spans="1:10">
      <c r="A11" s="3497"/>
      <c r="B11" s="3497"/>
      <c r="C11" s="3497"/>
      <c r="D11" s="3497"/>
      <c r="E11" s="3497"/>
      <c r="F11" s="3497"/>
      <c r="G11" s="3497"/>
      <c r="H11" s="3498"/>
      <c r="I11" s="3498"/>
      <c r="J11" s="3498"/>
    </row>
    <row r="12" spans="1:10">
      <c r="A12" s="3497"/>
      <c r="B12" s="3497"/>
      <c r="C12" s="3497"/>
      <c r="D12" s="3497"/>
      <c r="E12" s="3497"/>
      <c r="F12" s="3497"/>
      <c r="G12" s="3497">
        <f ca="1">G6+结果表!G22/10000</f>
        <v>1099.4383579999999</v>
      </c>
      <c r="H12" s="3498"/>
      <c r="I12" s="3498"/>
      <c r="J12" s="3498"/>
    </row>
    <row r="13" spans="1:10">
      <c r="A13" s="3497"/>
      <c r="B13" s="3497"/>
      <c r="C13" s="3497"/>
      <c r="D13" s="3497"/>
      <c r="E13" s="3497"/>
      <c r="F13" s="3497"/>
      <c r="G13" s="3497">
        <f ca="1">(G12-866)/866</f>
        <v>0.26955930484988438</v>
      </c>
      <c r="H13" s="3498"/>
      <c r="I13" s="3498"/>
      <c r="J13" s="3498"/>
    </row>
    <row r="14" spans="1:10">
      <c r="A14" s="3497"/>
      <c r="B14" s="3497"/>
      <c r="C14" s="3497">
        <v>23.358000000000001</v>
      </c>
      <c r="D14" s="3497"/>
      <c r="E14" s="3497"/>
      <c r="F14" s="3497"/>
      <c r="G14" s="3497">
        <f ca="1">G12-866</f>
        <v>233.43835799999988</v>
      </c>
      <c r="H14" s="3498"/>
      <c r="I14" s="3498"/>
      <c r="J14" s="3498"/>
    </row>
    <row r="15" spans="1:10">
      <c r="A15" s="3497"/>
      <c r="B15" s="3497"/>
      <c r="C15" s="3497"/>
      <c r="D15" s="3497">
        <v>8.9700000000000006</v>
      </c>
      <c r="E15" s="3497"/>
      <c r="F15" s="3497"/>
      <c r="G15" s="3497"/>
      <c r="H15" s="3498"/>
      <c r="I15" s="3498"/>
      <c r="J15" s="3498"/>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48.69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v>
      </c>
      <c r="C2" s="1387" t="s">
        <v>805</v>
      </c>
      <c r="D2" s="1387"/>
      <c r="E2" s="1388"/>
      <c r="F2" s="1389"/>
      <c r="G2" s="2706"/>
      <c r="H2" s="2695"/>
      <c r="I2" s="2695"/>
      <c r="J2" s="2695"/>
      <c r="K2" s="2696"/>
      <c r="L2" s="2695"/>
      <c r="M2" s="2695"/>
    </row>
    <row r="3" spans="1:37" ht="18" customHeight="1" thickBot="1">
      <c r="A3" s="1390" t="s">
        <v>806</v>
      </c>
      <c r="B3" s="1391">
        <f ca="1">IF(ISERROR(B2*10000/F43),0,ROUND(B2*10000/F43,0))</f>
        <v>24474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v>
      </c>
      <c r="D5" s="1364" t="s">
        <v>693</v>
      </c>
      <c r="E5" s="1071"/>
      <c r="F5" s="1072"/>
      <c r="G5" s="1384"/>
      <c r="H5" s="299">
        <v>1</v>
      </c>
      <c r="I5" s="300" t="s">
        <v>692</v>
      </c>
      <c r="J5" s="1070">
        <f ca="1">J6+J10+J12</f>
        <v>0</v>
      </c>
      <c r="K5" s="1364" t="s">
        <v>693</v>
      </c>
      <c r="L5" s="1071"/>
      <c r="M5" s="1072"/>
    </row>
    <row r="6" spans="1:37" ht="18" customHeight="1">
      <c r="A6" s="1069" t="s">
        <v>398</v>
      </c>
      <c r="B6" s="3741" t="s">
        <v>694</v>
      </c>
      <c r="C6" s="1074">
        <f ca="1">ROUND(F6*F8*F7*(1-F9)/10000,0)</f>
        <v>2</v>
      </c>
      <c r="D6" s="155" t="s">
        <v>2109</v>
      </c>
      <c r="E6" s="302" t="s">
        <v>696</v>
      </c>
      <c r="F6" s="3500">
        <v>1800</v>
      </c>
      <c r="G6" s="1384">
        <f>ROUND(14000/100.61,0)</f>
        <v>139</v>
      </c>
      <c r="H6" s="1069" t="s">
        <v>398</v>
      </c>
      <c r="I6" s="3741" t="s">
        <v>694</v>
      </c>
      <c r="J6" s="301">
        <f ca="1">ROUND(M6*M8*M7*(1-M9)/10000,0)</f>
        <v>0</v>
      </c>
      <c r="K6" s="155" t="s">
        <v>2108</v>
      </c>
      <c r="L6" s="302" t="s">
        <v>696</v>
      </c>
      <c r="M6" s="303">
        <f ca="1">INDIRECT("'数据-取费表'!z"&amp;$G$1)</f>
        <v>0</v>
      </c>
    </row>
    <row r="7" spans="1:37" ht="18" customHeight="1">
      <c r="A7" s="1073"/>
      <c r="B7" s="3742"/>
      <c r="C7" s="1075"/>
      <c r="D7" s="307"/>
      <c r="E7" s="3494" t="s">
        <v>697</v>
      </c>
      <c r="F7" s="303">
        <v>1</v>
      </c>
      <c r="G7" s="1384">
        <f>120*0.8</f>
        <v>96</v>
      </c>
      <c r="H7" s="304"/>
      <c r="I7" s="3742"/>
      <c r="J7" s="306"/>
      <c r="K7" s="307"/>
      <c r="L7" s="302" t="s">
        <v>697</v>
      </c>
      <c r="M7" s="303">
        <f>F7</f>
        <v>1</v>
      </c>
    </row>
    <row r="8" spans="1:37" ht="18" customHeight="1">
      <c r="A8" s="304"/>
      <c r="B8" s="3742"/>
      <c r="C8" s="306"/>
      <c r="D8" s="307"/>
      <c r="E8" s="302" t="s">
        <v>698</v>
      </c>
      <c r="F8" s="303">
        <f ca="1">INDIRECT("'数据-取费表'!ai"&amp;$G$1)</f>
        <v>12</v>
      </c>
      <c r="G8" s="1384">
        <f>G7*F43</f>
        <v>1686.72</v>
      </c>
      <c r="H8" s="304"/>
      <c r="I8" s="3742"/>
      <c r="J8" s="306"/>
      <c r="K8" s="307"/>
      <c r="L8" s="302" t="s">
        <v>698</v>
      </c>
      <c r="M8" s="303">
        <f ca="1">INDIRECT("'数据-取费表'!ai"&amp;$G$1)</f>
        <v>12</v>
      </c>
    </row>
    <row r="9" spans="1:37" ht="18" customHeight="1">
      <c r="A9" s="304"/>
      <c r="B9" s="3743"/>
      <c r="C9" s="306"/>
      <c r="D9" s="307"/>
      <c r="E9" s="302" t="s">
        <v>699</v>
      </c>
      <c r="F9" s="312">
        <v>0.1</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3476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v>
      </c>
      <c r="D13" s="3486" t="s">
        <v>705</v>
      </c>
      <c r="E13" s="3486"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v>
      </c>
      <c r="D14" s="3490" t="s">
        <v>708</v>
      </c>
      <c r="E14" s="3488"/>
      <c r="F14" s="319"/>
      <c r="G14" s="1384"/>
      <c r="H14" s="982" t="s">
        <v>398</v>
      </c>
      <c r="I14" s="302" t="s">
        <v>709</v>
      </c>
      <c r="J14" s="21">
        <f ca="1">C29</f>
        <v>50</v>
      </c>
      <c r="K14" s="3493"/>
      <c r="L14" s="807"/>
      <c r="M14" s="808"/>
    </row>
    <row r="15" spans="1:37" s="1397" customFormat="1" ht="18" customHeight="1" thickBot="1">
      <c r="A15" s="982" t="s">
        <v>399</v>
      </c>
      <c r="B15" s="302" t="s">
        <v>710</v>
      </c>
      <c r="C15" s="21">
        <f ca="1">ROUND(C14*F15,0)</f>
        <v>1</v>
      </c>
      <c r="D15" s="3487" t="s">
        <v>711</v>
      </c>
      <c r="E15" s="348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v>
      </c>
      <c r="D16" s="302" t="s">
        <v>711</v>
      </c>
      <c r="E16" s="302" t="s">
        <v>712</v>
      </c>
      <c r="F16" s="322">
        <f ca="1">IF(INDIRECT("'数据-取费表'!c"&amp;$G$1)="住宅",'数据-取费表'!B34,0)</f>
        <v>0.05</v>
      </c>
      <c r="G16" s="1384"/>
      <c r="H16" s="1079" t="s">
        <v>393</v>
      </c>
      <c r="I16" s="1080" t="s">
        <v>714</v>
      </c>
      <c r="J16" s="310">
        <f ca="1">ROUND(J17+J22+J23+J24,0)</f>
        <v>0</v>
      </c>
      <c r="K16" s="1087" t="s">
        <v>715</v>
      </c>
      <c r="L16" s="3491"/>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90" t="s">
        <v>720</v>
      </c>
      <c r="L17" s="348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348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v>
      </c>
      <c r="D19" s="131" t="s">
        <v>726</v>
      </c>
      <c r="E19" s="3496"/>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v>
      </c>
      <c r="D20" s="2428"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6"/>
      <c r="F22" s="23"/>
      <c r="G22" s="1384"/>
      <c r="H22" s="982" t="s">
        <v>402</v>
      </c>
      <c r="I22" s="302" t="s">
        <v>738</v>
      </c>
      <c r="J22" s="21">
        <f ca="1">ROUND(J14*M22,2)</f>
        <v>0.25</v>
      </c>
      <c r="K22" s="3489"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89" t="s">
        <v>743</v>
      </c>
      <c r="L23" s="302" t="s">
        <v>712</v>
      </c>
      <c r="M23" s="330">
        <f ca="1">INDIRECT("'数据-取费表'!Al"&amp;$G$1)</f>
        <v>5.0000000000000001E-4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96"/>
      <c r="F25" s="23"/>
      <c r="G25" s="1384"/>
      <c r="H25" s="1079" t="s">
        <v>394</v>
      </c>
      <c r="I25" s="1094" t="s">
        <v>752</v>
      </c>
      <c r="J25" s="310">
        <f ca="1">J5-J16</f>
        <v>0</v>
      </c>
      <c r="K25" s="1095" t="s">
        <v>753</v>
      </c>
      <c r="L25" s="1096"/>
      <c r="M25" s="1097"/>
    </row>
    <row r="26" spans="1:37">
      <c r="A26" s="982" t="s">
        <v>397</v>
      </c>
      <c r="B26" s="302" t="s">
        <v>754</v>
      </c>
      <c r="C26" s="21">
        <f ca="1">ROUND((C19+C20)*F26,0)</f>
        <v>4</v>
      </c>
      <c r="D26" s="2428" t="s">
        <v>755</v>
      </c>
      <c r="E26" s="313" t="s">
        <v>756</v>
      </c>
      <c r="F26" s="3499">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8" t="s">
        <v>761</v>
      </c>
      <c r="E27" s="348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v>
      </c>
      <c r="D29" s="1092"/>
      <c r="E29" s="1090"/>
      <c r="F29" s="1093"/>
      <c r="G29" s="1396"/>
      <c r="H29" s="334" t="s">
        <v>396</v>
      </c>
      <c r="I29" s="335" t="s">
        <v>768</v>
      </c>
      <c r="J29" s="336">
        <f ca="1">ROUND(J26/(1+F40)^F41,0)</f>
        <v>0</v>
      </c>
      <c r="K29" s="337" t="s">
        <v>769</v>
      </c>
      <c r="L29" s="338"/>
      <c r="M29" s="339">
        <f ca="1">INDIRECT("'数据-取费表'!k"&amp;$G$1)</f>
        <v>100.61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349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0.05</v>
      </c>
      <c r="D31" s="3490" t="s">
        <v>720</v>
      </c>
      <c r="E31" s="3489"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3489"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0.25</v>
      </c>
      <c r="D36" s="3489"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0.02</v>
      </c>
      <c r="D37" s="3489" t="s">
        <v>743</v>
      </c>
      <c r="E37" s="302" t="s">
        <v>712</v>
      </c>
      <c r="F37" s="330">
        <f ca="1">INDIRECT("'数据-取费表'!Al"&amp;$G$1)</f>
        <v>5.0000000000000001E-4</v>
      </c>
      <c r="G37" s="1384"/>
      <c r="H37" s="2700"/>
      <c r="I37" s="1398"/>
      <c r="J37" s="1399"/>
      <c r="K37" s="2544"/>
      <c r="L37" s="2700"/>
      <c r="M37" s="2700"/>
    </row>
    <row r="38" spans="1:18" ht="18" customHeight="1" thickBot="1">
      <c r="A38" s="1089" t="s">
        <v>683</v>
      </c>
      <c r="B38" s="1090" t="s">
        <v>728</v>
      </c>
      <c r="C38" s="1091">
        <f ca="1">ROUND(C5*F38,2)</f>
        <v>0.01</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2</v>
      </c>
      <c r="D39" s="1095" t="s">
        <v>753</v>
      </c>
      <c r="E39" s="1096"/>
      <c r="F39" s="1097"/>
      <c r="G39" s="1384"/>
      <c r="H39" s="2700"/>
      <c r="I39" s="1398"/>
      <c r="J39" s="1399"/>
      <c r="K39" s="2704"/>
      <c r="L39" s="2700"/>
      <c r="M39" s="2700"/>
    </row>
    <row r="40" spans="1:18" ht="18" customHeight="1">
      <c r="A40" s="299" t="s">
        <v>395</v>
      </c>
      <c r="B40" s="300" t="s">
        <v>774</v>
      </c>
      <c r="C40" s="301">
        <f ca="1">ROUND(C39*(1-((1+F42)/(1+F40))^F41)/(F40-F42),0)</f>
        <v>43</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48.69</v>
      </c>
      <c r="G41" s="1384"/>
      <c r="H41" s="1191"/>
      <c r="I41" s="1398"/>
      <c r="J41" s="1399"/>
      <c r="K41" s="2544"/>
      <c r="L41" s="1191"/>
      <c r="M41" s="1191"/>
    </row>
    <row r="42" spans="1:18" ht="18" customHeight="1">
      <c r="A42" s="308"/>
      <c r="B42" s="309"/>
      <c r="C42" s="310"/>
      <c r="D42" s="327"/>
      <c r="E42" s="302" t="s">
        <v>766</v>
      </c>
      <c r="F42" s="3499">
        <v>0</v>
      </c>
      <c r="G42" s="1384"/>
      <c r="H42" s="1191"/>
      <c r="I42" s="1398"/>
      <c r="J42" s="1399"/>
      <c r="K42" s="2544"/>
      <c r="L42" s="1191"/>
      <c r="M42" s="1191"/>
    </row>
    <row r="43" spans="1:18" ht="18" customHeight="1" thickBot="1">
      <c r="A43" s="334" t="s">
        <v>396</v>
      </c>
      <c r="B43" s="335" t="s">
        <v>776</v>
      </c>
      <c r="C43" s="336">
        <f ca="1">ROUND(C40*10000/F43,0)</f>
        <v>24474</v>
      </c>
      <c r="D43" s="337" t="s">
        <v>777</v>
      </c>
      <c r="E43" s="338" t="s">
        <v>778</v>
      </c>
      <c r="F43" s="3501">
        <f>公共部分!D6</f>
        <v>17.57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3449</v>
      </c>
      <c r="K47" s="1416" t="s">
        <v>816</v>
      </c>
      <c r="L47" s="1417">
        <f ca="1">INDIRECT("'数据-取费表'!d"&amp;$G$1)</f>
        <v>70</v>
      </c>
      <c r="M47" s="1380" t="str">
        <f>IF(ISNUMBER(FIND("住宅",C1)),"住宅","非住宅")</f>
        <v>住宅</v>
      </c>
      <c r="O47" s="1418" t="s">
        <v>403</v>
      </c>
      <c r="P47" s="1419" t="s">
        <v>817</v>
      </c>
      <c r="Q47" s="1420">
        <f ca="1">C40+J29</f>
        <v>43</v>
      </c>
      <c r="R47" s="1420" t="s">
        <v>818</v>
      </c>
    </row>
    <row r="48" spans="1:18" s="1384" customFormat="1" ht="28.5" thickBot="1">
      <c r="A48" s="1110" t="s">
        <v>438</v>
      </c>
      <c r="B48" s="300" t="s">
        <v>692</v>
      </c>
      <c r="C48" s="3495">
        <f ca="1">C49+C53+C55</f>
        <v>0</v>
      </c>
      <c r="D48" s="1112"/>
      <c r="E48" s="1113"/>
      <c r="F48" s="962"/>
      <c r="G48" s="722"/>
      <c r="H48" s="723"/>
      <c r="I48" s="1421" t="s">
        <v>819</v>
      </c>
      <c r="J48" s="1422" t="s">
        <v>3477</v>
      </c>
      <c r="K48" s="1423" t="s">
        <v>820</v>
      </c>
      <c r="L48" s="1424">
        <f ca="1">INDIRECT("'数据-取费表'!f"&amp;$G$1)</f>
        <v>48.69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2003</v>
      </c>
      <c r="K49" s="1423" t="s">
        <v>824</v>
      </c>
      <c r="L49" s="1427"/>
      <c r="O49" s="1428" t="s">
        <v>405</v>
      </c>
      <c r="P49" s="1419" t="s">
        <v>825</v>
      </c>
      <c r="Q49" s="1420">
        <f ca="1">C29</f>
        <v>50</v>
      </c>
      <c r="R49" s="1420" t="s">
        <v>818</v>
      </c>
    </row>
    <row r="50" spans="1:18" s="1384" customFormat="1" ht="13.5" thickBot="1">
      <c r="A50" s="976"/>
      <c r="B50" s="979"/>
      <c r="C50" s="1118"/>
      <c r="D50" s="953"/>
      <c r="E50" s="1056" t="s">
        <v>697</v>
      </c>
      <c r="F50" s="1057">
        <f>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-9</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48.69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48.69</v>
      </c>
      <c r="K53" s="3739" t="s">
        <v>837</v>
      </c>
      <c r="L53" s="3740"/>
      <c r="O53" s="1418" t="s">
        <v>409</v>
      </c>
      <c r="P53" s="1419" t="s">
        <v>838</v>
      </c>
      <c r="Q53" s="1420">
        <f ca="1">Q47+Q48</f>
        <v>43</v>
      </c>
      <c r="R53" s="1420" t="s">
        <v>410</v>
      </c>
    </row>
    <row r="54" spans="1:18" s="1384" customFormat="1" ht="13.5" thickBot="1">
      <c r="A54" s="1153"/>
      <c r="B54" s="1367" t="s">
        <v>679</v>
      </c>
      <c r="C54" s="959"/>
      <c r="D54" s="1366"/>
      <c r="E54" s="3492"/>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349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38</v>
      </c>
      <c r="D56" s="1447"/>
      <c r="E56" s="1448"/>
      <c r="F56" s="1440"/>
      <c r="I56" s="1449" t="s">
        <v>842</v>
      </c>
      <c r="J56" s="1450" t="s">
        <v>3478</v>
      </c>
      <c r="K56" s="1421" t="s">
        <v>843</v>
      </c>
      <c r="L56" s="1424">
        <f ca="1">IF(L48&lt;J51,"——",L48-J53)</f>
        <v>0</v>
      </c>
      <c r="O56" s="1418" t="s">
        <v>403</v>
      </c>
      <c r="P56" s="1419" t="s">
        <v>817</v>
      </c>
      <c r="Q56" s="1420">
        <f ca="1">C40+J29</f>
        <v>43</v>
      </c>
      <c r="R56" s="1420" t="s">
        <v>818</v>
      </c>
    </row>
    <row r="57" spans="1:18" s="1384" customFormat="1" ht="24.75" thickBot="1">
      <c r="A57" s="1451"/>
      <c r="B57" s="950" t="s">
        <v>767</v>
      </c>
      <c r="C57" s="238">
        <f ca="1">C29</f>
        <v>50</v>
      </c>
      <c r="D57" s="1452"/>
      <c r="E57" s="1453"/>
      <c r="F57" s="1454"/>
      <c r="I57" s="1455" t="s">
        <v>844</v>
      </c>
      <c r="J57" s="1456" t="str">
        <f ca="1">IF(OR(M47="住宅",J51&lt;L48,J56="是"),"——",J51-L48)</f>
        <v>——</v>
      </c>
      <c r="K57" s="1421" t="s">
        <v>845</v>
      </c>
      <c r="L57" s="1424">
        <f ca="1">IF(L48&lt;J51,"——",IF(L55="比较法",L49,IF(L55="基准地价",L50,L51)))</f>
        <v>-9</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IF(项目基本情况!B11="自然人","——",IF(D61="按租金收入计税",ROUND(C49*F61/(1+'数据-取费表'!C42),2),IF(D61="按房产原值计税",ROUND(C57*F61*0.7,2),INDIRECT("'数据-取费表'!Aj"&amp;$G$1))))</f>
        <v>——</v>
      </c>
      <c r="D61" s="1370" t="s">
        <v>3341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t="str">
        <f>IF(项目基本情况!B11="自然人","——",ROUND(F62*F63/10000,2))</f>
        <v>——</v>
      </c>
      <c r="D62" s="965" t="s">
        <v>731</v>
      </c>
      <c r="E62" s="950" t="s">
        <v>732</v>
      </c>
      <c r="F62" s="325">
        <f t="shared" si="0"/>
        <v>18</v>
      </c>
      <c r="I62" s="1462" t="s">
        <v>858</v>
      </c>
      <c r="J62" s="1463" t="s">
        <v>859</v>
      </c>
      <c r="K62" s="1463" t="s">
        <v>860</v>
      </c>
      <c r="L62" s="1463" t="s">
        <v>861</v>
      </c>
      <c r="M62" s="1464" t="s">
        <v>862</v>
      </c>
      <c r="O62" s="1418" t="s">
        <v>409</v>
      </c>
      <c r="P62" s="1419" t="s">
        <v>838</v>
      </c>
      <c r="Q62" s="1420">
        <f ca="1">Q56+Q57</f>
        <v>43</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0.25</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0.02</v>
      </c>
      <c r="D65" s="964" t="s">
        <v>743</v>
      </c>
      <c r="E65" s="950" t="s">
        <v>712</v>
      </c>
      <c r="F65" s="330">
        <f t="shared" ca="1" si="0"/>
        <v>5.0000000000000001E-4</v>
      </c>
      <c r="I65" s="1462" t="s">
        <v>867</v>
      </c>
      <c r="J65" s="1463">
        <v>40</v>
      </c>
      <c r="K65" s="1463">
        <v>30</v>
      </c>
      <c r="L65" s="1463">
        <v>50</v>
      </c>
      <c r="M65" s="1465">
        <v>0.02</v>
      </c>
      <c r="O65" s="1418" t="s">
        <v>403</v>
      </c>
      <c r="P65" s="1419" t="s">
        <v>817</v>
      </c>
      <c r="Q65" s="1420">
        <f ca="1">C40+J29</f>
        <v>43</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-9</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0</v>
      </c>
      <c r="R68" s="1420" t="s">
        <v>414</v>
      </c>
    </row>
    <row r="69" spans="1:18" s="1384" customFormat="1" ht="13.5" thickBot="1">
      <c r="A69" s="951"/>
      <c r="B69" s="952"/>
      <c r="C69" s="306"/>
      <c r="D69" s="970" t="s">
        <v>762</v>
      </c>
      <c r="E69" s="950" t="s">
        <v>763</v>
      </c>
      <c r="F69" s="333">
        <f ca="1">F41</f>
        <v>48.69</v>
      </c>
      <c r="O69" s="1428" t="s">
        <v>411</v>
      </c>
      <c r="P69" s="1467" t="s">
        <v>872</v>
      </c>
      <c r="Q69" s="1420">
        <f ca="1">C39</f>
        <v>2</v>
      </c>
      <c r="R69" s="1420" t="s">
        <v>818</v>
      </c>
    </row>
    <row r="70" spans="1:18" s="1384" customFormat="1" ht="13.5" thickBot="1">
      <c r="A70" s="954"/>
      <c r="B70" s="955"/>
      <c r="C70" s="310"/>
      <c r="D70" s="966"/>
      <c r="E70" s="950" t="s">
        <v>766</v>
      </c>
      <c r="F70" s="1054"/>
      <c r="O70" s="1428" t="s">
        <v>412</v>
      </c>
      <c r="P70" s="1467" t="s">
        <v>873</v>
      </c>
      <c r="Q70" s="1420">
        <f ca="1">C13</f>
        <v>38</v>
      </c>
      <c r="R70" s="1420" t="s">
        <v>818</v>
      </c>
    </row>
    <row r="71" spans="1:18" s="1384" customFormat="1" ht="13.5" thickBot="1">
      <c r="A71" s="971" t="s">
        <v>396</v>
      </c>
      <c r="B71" s="972" t="s">
        <v>776</v>
      </c>
      <c r="C71" s="336">
        <f ca="1">ROUND(C68*10000/F71,0)</f>
        <v>0</v>
      </c>
      <c r="D71" s="973" t="s">
        <v>777</v>
      </c>
      <c r="E71" s="974" t="s">
        <v>778</v>
      </c>
      <c r="F71" s="339">
        <f>F43</f>
        <v>17.57</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v>
      </c>
      <c r="D75" s="1384"/>
      <c r="E75" s="1384"/>
      <c r="F75" s="1384"/>
      <c r="K75" s="1402"/>
      <c r="L75" s="1384"/>
      <c r="O75" s="1418" t="s">
        <v>409</v>
      </c>
      <c r="P75" s="1419" t="s">
        <v>838</v>
      </c>
      <c r="Q75" s="1420">
        <f ca="1">Q65+Q66</f>
        <v>43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0.11599999999999999</v>
      </c>
    </row>
    <row r="83" spans="2:3">
      <c r="B83" s="273" t="s">
        <v>803</v>
      </c>
      <c r="C83" s="274">
        <f ca="1">ROUND(C13/C40,3)</f>
        <v>0.88400000000000001</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估价范围判定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48.69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39.230699999999999</v>
      </c>
      <c r="C2" s="1387" t="s">
        <v>879</v>
      </c>
      <c r="D2" s="1471">
        <f ca="1">C40+J29+L46</f>
        <v>392307</v>
      </c>
      <c r="E2" s="1388" t="s">
        <v>880</v>
      </c>
      <c r="F2" s="1389"/>
      <c r="G2" s="2706"/>
      <c r="H2" s="2695"/>
      <c r="I2" s="2695"/>
      <c r="J2" s="2695"/>
      <c r="K2" s="2696"/>
      <c r="L2" s="2695"/>
      <c r="M2" s="2695"/>
    </row>
    <row r="3" spans="1:37" ht="18" customHeight="1" thickBot="1">
      <c r="A3" s="1390" t="s">
        <v>881</v>
      </c>
      <c r="B3" s="1391">
        <f ca="1">IF(ISERROR(D2/F43),0,ROUND(D2/F43,0))</f>
        <v>22328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19464</v>
      </c>
      <c r="D5" s="1364" t="s">
        <v>889</v>
      </c>
      <c r="E5" s="1071"/>
      <c r="F5" s="1072"/>
      <c r="G5" s="1384"/>
      <c r="H5" s="299">
        <v>1</v>
      </c>
      <c r="I5" s="300" t="s">
        <v>888</v>
      </c>
      <c r="J5" s="1070">
        <f ca="1">J6+J10+J12</f>
        <v>0</v>
      </c>
      <c r="K5" s="1364" t="s">
        <v>889</v>
      </c>
      <c r="L5" s="1071"/>
      <c r="M5" s="1072"/>
    </row>
    <row r="6" spans="1:37" ht="18" customHeight="1">
      <c r="A6" s="1069" t="s">
        <v>398</v>
      </c>
      <c r="B6" s="3741" t="s">
        <v>694</v>
      </c>
      <c r="C6" s="1074">
        <f ca="1">ROUND(F6*F8*F7*(1-F9),0)</f>
        <v>19440</v>
      </c>
      <c r="D6" s="155" t="s">
        <v>2106</v>
      </c>
      <c r="E6" s="302" t="s">
        <v>696</v>
      </c>
      <c r="F6" s="303">
        <v>1800</v>
      </c>
      <c r="G6" s="1384">
        <v>1800</v>
      </c>
      <c r="H6" s="1069" t="s">
        <v>398</v>
      </c>
      <c r="I6" s="3741" t="s">
        <v>694</v>
      </c>
      <c r="J6" s="301">
        <f ca="1">ROUND(M6*M8*M7*(1-M9),0)</f>
        <v>0</v>
      </c>
      <c r="K6" s="1376" t="s">
        <v>2107</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1</v>
      </c>
      <c r="G7" s="1384"/>
      <c r="H7" s="304"/>
      <c r="I7" s="3742"/>
      <c r="J7" s="306"/>
      <c r="K7" s="307"/>
      <c r="L7" s="302" t="s">
        <v>697</v>
      </c>
      <c r="M7" s="303">
        <f ca="1">F7</f>
        <v>1</v>
      </c>
    </row>
    <row r="8" spans="1:37" ht="18" customHeight="1">
      <c r="A8" s="304"/>
      <c r="B8" s="3742"/>
      <c r="C8" s="306"/>
      <c r="D8" s="307"/>
      <c r="E8" s="302" t="s">
        <v>698</v>
      </c>
      <c r="F8" s="303">
        <f ca="1">INDIRECT("'数据-取费表'!ai"&amp;$G$1)</f>
        <v>12</v>
      </c>
      <c r="G8" s="1384"/>
      <c r="H8" s="304"/>
      <c r="I8" s="3742"/>
      <c r="J8" s="306"/>
      <c r="K8" s="307"/>
      <c r="L8" s="302" t="s">
        <v>698</v>
      </c>
      <c r="M8" s="303">
        <f ca="1">INDIRECT("'数据-取费表'!ai"&amp;$G$1)</f>
        <v>12</v>
      </c>
    </row>
    <row r="9" spans="1:37" ht="18" customHeight="1">
      <c r="A9" s="304"/>
      <c r="B9" s="3743"/>
      <c r="C9" s="306"/>
      <c r="D9" s="307"/>
      <c r="E9" s="302" t="s">
        <v>699</v>
      </c>
      <c r="F9" s="312">
        <v>0.1</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24</v>
      </c>
      <c r="D10" s="1366" t="s">
        <v>2116</v>
      </c>
      <c r="E10" s="313" t="s">
        <v>701</v>
      </c>
      <c r="F10" s="1116" t="s">
        <v>3476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68231</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61495</v>
      </c>
      <c r="D14" s="1345" t="s">
        <v>708</v>
      </c>
      <c r="E14" s="1342"/>
      <c r="F14" s="319"/>
      <c r="G14" s="1384"/>
      <c r="H14" s="982" t="s">
        <v>398</v>
      </c>
      <c r="I14" s="302" t="s">
        <v>709</v>
      </c>
      <c r="J14" s="21">
        <f ca="1">C29</f>
        <v>89777</v>
      </c>
      <c r="K14" s="12"/>
      <c r="L14" s="807"/>
      <c r="M14" s="808"/>
    </row>
    <row r="15" spans="1:37" s="1397" customFormat="1" ht="18" customHeight="1" thickBot="1">
      <c r="A15" s="982" t="s">
        <v>399</v>
      </c>
      <c r="B15" s="302" t="s">
        <v>710</v>
      </c>
      <c r="C15" s="21">
        <f ca="1">ROUND(C14*F15,0)</f>
        <v>1845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3075</v>
      </c>
      <c r="D16" s="302" t="s">
        <v>711</v>
      </c>
      <c r="E16" s="302" t="s">
        <v>712</v>
      </c>
      <c r="F16" s="322">
        <f ca="1">IF(INDIRECT("'数据-取费表'!c"&amp;$G$1)="住宅",'数据-取费表'!B34,0)</f>
        <v>0.05</v>
      </c>
      <c r="G16" s="1384"/>
      <c r="H16" s="1079" t="s">
        <v>393</v>
      </c>
      <c r="I16" s="1080" t="s">
        <v>714</v>
      </c>
      <c r="J16" s="310">
        <f ca="1">ROUND(J17+J22+J23+J24,0)</f>
        <v>449</v>
      </c>
      <c r="K16" s="1087" t="s">
        <v>715</v>
      </c>
      <c r="L16" s="1088"/>
      <c r="M16" s="1072"/>
    </row>
    <row r="17" spans="1:37" s="1397" customFormat="1" ht="18" customHeight="1">
      <c r="A17" s="982" t="s">
        <v>681</v>
      </c>
      <c r="B17" s="302" t="s">
        <v>716</v>
      </c>
      <c r="C17" s="21">
        <f ca="1">ROUND(F17*(F43+INDIRECT("'数据-取费表'!S"&amp;$G$1)),0)</f>
        <v>3514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70851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1417</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449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3432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5.0000000000000001E-4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-449</v>
      </c>
      <c r="K25" s="1095" t="s">
        <v>753</v>
      </c>
      <c r="L25" s="1096"/>
      <c r="M25" s="1097"/>
    </row>
    <row r="26" spans="1:37" ht="18" customHeight="1">
      <c r="A26" s="982" t="s">
        <v>397</v>
      </c>
      <c r="B26" s="302" t="s">
        <v>754</v>
      </c>
      <c r="C26" s="21">
        <f ca="1">ROUND((C19+C20)*F26,0)</f>
        <v>7227</v>
      </c>
      <c r="D26" s="323" t="s">
        <v>755</v>
      </c>
      <c r="E26" s="313" t="s">
        <v>756</v>
      </c>
      <c r="F26" s="312">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89777</v>
      </c>
      <c r="D29" s="1092"/>
      <c r="E29" s="1090"/>
      <c r="F29" s="1093"/>
      <c r="G29" s="1396"/>
      <c r="H29" s="334" t="s">
        <v>396</v>
      </c>
      <c r="I29" s="335" t="s">
        <v>768</v>
      </c>
      <c r="J29" s="336">
        <f ca="1">ROUND(J26/(1+F40)^F41,0)</f>
        <v>0</v>
      </c>
      <c r="K29" s="337" t="s">
        <v>769</v>
      </c>
      <c r="L29" s="338"/>
      <c r="M29" s="339">
        <f ca="1">INDIRECT("'数据-取费表'!k"&amp;$G$1)</f>
        <v>100.61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1043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463</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449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34</v>
      </c>
      <c r="D37" s="1344" t="s">
        <v>743</v>
      </c>
      <c r="E37" s="302" t="s">
        <v>744</v>
      </c>
      <c r="F37" s="330">
        <f ca="1">INDIRECT("'数据-取费表'!Al"&amp;$G$1)</f>
        <v>5.0000000000000001E-4</v>
      </c>
      <c r="G37" s="1384"/>
      <c r="H37" s="2700"/>
      <c r="I37" s="1398"/>
      <c r="J37" s="1399"/>
      <c r="K37" s="2544"/>
      <c r="L37" s="2700"/>
      <c r="M37" s="2700"/>
    </row>
    <row r="38" spans="1:18" ht="18" customHeight="1" thickBot="1">
      <c r="A38" s="1089" t="s">
        <v>684</v>
      </c>
      <c r="B38" s="1090" t="s">
        <v>728</v>
      </c>
      <c r="C38" s="1091">
        <f ca="1">ROUND(C5*F38,0)</f>
        <v>97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18421</v>
      </c>
      <c r="D39" s="1095" t="s">
        <v>773</v>
      </c>
      <c r="E39" s="1096"/>
      <c r="F39" s="1097"/>
      <c r="G39" s="1384"/>
      <c r="H39" s="2700"/>
      <c r="I39" s="1398"/>
      <c r="J39" s="1399"/>
      <c r="K39" s="2704"/>
      <c r="L39" s="2700"/>
      <c r="M39" s="2700"/>
    </row>
    <row r="40" spans="1:18" ht="18" customHeight="1">
      <c r="A40" s="299" t="s">
        <v>395</v>
      </c>
      <c r="B40" s="300" t="s">
        <v>774</v>
      </c>
      <c r="C40" s="301">
        <f ca="1">ROUND(C39*(1-((1+F42)/(1+F40))^F41)/(F40-F42),0)</f>
        <v>392307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48.69</v>
      </c>
      <c r="G41" s="1384"/>
      <c r="H41" s="1191"/>
      <c r="I41" s="1398"/>
      <c r="J41" s="1399"/>
      <c r="K41" s="2544"/>
      <c r="L41" s="1191"/>
      <c r="M41" s="1191"/>
    </row>
    <row r="42" spans="1:18" ht="18" customHeight="1">
      <c r="A42" s="308"/>
      <c r="B42" s="309"/>
      <c r="C42" s="310"/>
      <c r="D42" s="327"/>
      <c r="E42" s="302" t="s">
        <v>766</v>
      </c>
      <c r="F42" s="312">
        <v>0</v>
      </c>
      <c r="G42" s="1384"/>
      <c r="H42" s="1191"/>
      <c r="I42" s="1398"/>
      <c r="J42" s="1399"/>
      <c r="K42" s="2544"/>
      <c r="L42" s="1191"/>
      <c r="M42" s="1191"/>
    </row>
    <row r="43" spans="1:18" ht="18" customHeight="1" thickBot="1">
      <c r="A43" s="334" t="s">
        <v>396</v>
      </c>
      <c r="B43" s="335" t="s">
        <v>776</v>
      </c>
      <c r="C43" s="336">
        <f ca="1">ROUND(C40/F43,0)</f>
        <v>22328</v>
      </c>
      <c r="D43" s="337" t="s">
        <v>777</v>
      </c>
      <c r="E43" s="338" t="s">
        <v>778</v>
      </c>
      <c r="F43" s="339">
        <v>17.57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-40.259300000000003</v>
      </c>
      <c r="D45" s="3432" t="s">
        <v>3358</v>
      </c>
      <c r="E45" s="1400"/>
      <c r="F45" s="1400"/>
      <c r="O45" s="1403" t="s">
        <v>808</v>
      </c>
      <c r="P45" s="1461"/>
      <c r="Q45" s="1461"/>
      <c r="R45" s="1461"/>
    </row>
    <row r="46" spans="1:18" s="1384" customFormat="1" ht="13.5" thickBot="1">
      <c r="A46" s="1404" t="s">
        <v>809</v>
      </c>
      <c r="C46" s="1405">
        <f ca="1">ROUND(C45,0)</f>
        <v>-40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392307</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48.69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89777</v>
      </c>
      <c r="R49" s="1420" t="s">
        <v>818</v>
      </c>
    </row>
    <row r="50" spans="1:18" s="1384" customFormat="1" ht="13.5" thickBot="1">
      <c r="A50" s="976"/>
      <c r="B50" s="979"/>
      <c r="C50" s="980"/>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48.69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48.69</v>
      </c>
      <c r="K53" s="3739" t="s">
        <v>837</v>
      </c>
      <c r="L53" s="3740"/>
      <c r="O53" s="1418" t="s">
        <v>409</v>
      </c>
      <c r="P53" s="1419" t="s">
        <v>838</v>
      </c>
      <c r="Q53" s="1420">
        <f ca="1">Q47+Q48</f>
        <v>392307</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68231</v>
      </c>
      <c r="D56" s="1447"/>
      <c r="E56" s="1448"/>
      <c r="F56" s="1440"/>
      <c r="I56" s="1449" t="s">
        <v>842</v>
      </c>
      <c r="J56" s="1450"/>
      <c r="K56" s="1421" t="s">
        <v>843</v>
      </c>
      <c r="L56" s="1424">
        <f ca="1">IF(L48&lt;J51,"——",L48-J51)</f>
        <v>48.69</v>
      </c>
      <c r="O56" s="1418" t="s">
        <v>403</v>
      </c>
      <c r="P56" s="1419" t="s">
        <v>817</v>
      </c>
      <c r="Q56" s="1420">
        <f ca="1">C40+J29</f>
        <v>392307</v>
      </c>
      <c r="R56" s="1420" t="s">
        <v>818</v>
      </c>
    </row>
    <row r="57" spans="1:18" s="1384" customFormat="1" ht="24.75" thickBot="1">
      <c r="A57" s="1451"/>
      <c r="B57" s="950" t="s">
        <v>767</v>
      </c>
      <c r="C57" s="238">
        <f ca="1">C29</f>
        <v>89777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483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392307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449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v>
      </c>
      <c r="D65" s="964" t="s">
        <v>743</v>
      </c>
      <c r="E65" s="950" t="s">
        <v>744</v>
      </c>
      <c r="F65" s="330">
        <f t="shared" ca="1" si="0"/>
        <v>5.0000000000000001E-4</v>
      </c>
      <c r="I65" s="1462" t="s">
        <v>867</v>
      </c>
      <c r="J65" s="1463">
        <v>40</v>
      </c>
      <c r="K65" s="1463">
        <v>30</v>
      </c>
      <c r="L65" s="1463">
        <v>50</v>
      </c>
      <c r="M65" s="1465">
        <v>0.02</v>
      </c>
      <c r="O65" s="1418" t="s">
        <v>403</v>
      </c>
      <c r="P65" s="1419" t="s">
        <v>868</v>
      </c>
      <c r="Q65" s="1420">
        <f ca="1">C40+J29</f>
        <v>392307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-483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-10286</v>
      </c>
      <c r="D68" s="965" t="s">
        <v>758</v>
      </c>
      <c r="E68" s="950" t="s">
        <v>759</v>
      </c>
      <c r="F68" s="312">
        <f ca="1">F40</f>
        <v>0.04</v>
      </c>
      <c r="O68" s="1428" t="s">
        <v>406</v>
      </c>
      <c r="P68" s="1467" t="s">
        <v>871</v>
      </c>
      <c r="Q68" s="1420">
        <f ca="1">ROUND(Q69-Q70*Q71,0)</f>
        <v>13986</v>
      </c>
      <c r="R68" s="1420" t="s">
        <v>414</v>
      </c>
    </row>
    <row r="69" spans="1:18" s="1384" customFormat="1" ht="13.5" thickBot="1">
      <c r="A69" s="951"/>
      <c r="B69" s="952"/>
      <c r="C69" s="306"/>
      <c r="D69" s="970" t="s">
        <v>762</v>
      </c>
      <c r="E69" s="950" t="s">
        <v>763</v>
      </c>
      <c r="F69" s="333">
        <f ca="1">F41</f>
        <v>48.69</v>
      </c>
      <c r="O69" s="1428" t="s">
        <v>411</v>
      </c>
      <c r="P69" s="1467" t="s">
        <v>872</v>
      </c>
      <c r="Q69" s="1420">
        <f ca="1">C39</f>
        <v>18421</v>
      </c>
      <c r="R69" s="1420" t="s">
        <v>818</v>
      </c>
    </row>
    <row r="70" spans="1:18" s="1384" customFormat="1" ht="13.5" thickBot="1">
      <c r="A70" s="954"/>
      <c r="B70" s="955"/>
      <c r="C70" s="310"/>
      <c r="D70" s="966"/>
      <c r="E70" s="950" t="s">
        <v>766</v>
      </c>
      <c r="F70" s="1054"/>
      <c r="O70" s="1428" t="s">
        <v>412</v>
      </c>
      <c r="P70" s="1467" t="s">
        <v>873</v>
      </c>
      <c r="Q70" s="1420">
        <f ca="1">C13</f>
        <v>68231</v>
      </c>
      <c r="R70" s="1420" t="s">
        <v>818</v>
      </c>
    </row>
    <row r="71" spans="1:18" s="1384" customFormat="1" ht="13.5" thickBot="1">
      <c r="A71" s="971" t="s">
        <v>396</v>
      </c>
      <c r="B71" s="972" t="s">
        <v>776</v>
      </c>
      <c r="C71" s="336">
        <f ca="1">ROUND(C68/F71,0)</f>
        <v>-585</v>
      </c>
      <c r="D71" s="973" t="s">
        <v>777</v>
      </c>
      <c r="E71" s="974" t="s">
        <v>778</v>
      </c>
      <c r="F71" s="339">
        <f>F43</f>
        <v>17.57</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4435</v>
      </c>
      <c r="D75" s="1384"/>
      <c r="E75" s="1384"/>
      <c r="F75" s="1384"/>
      <c r="K75" s="1402"/>
      <c r="L75" s="1384"/>
      <c r="O75" s="1418" t="s">
        <v>409</v>
      </c>
      <c r="P75" s="1419" t="s">
        <v>838</v>
      </c>
      <c r="Q75" s="1420">
        <f ca="1">Q65+Q66</f>
        <v>392307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0.75900000000000001</v>
      </c>
    </row>
    <row r="80" spans="1:18">
      <c r="B80" s="340" t="s">
        <v>800</v>
      </c>
      <c r="C80" s="274">
        <f ca="1">ROUND(C75/C39,3)</f>
        <v>0.24099999999999999</v>
      </c>
    </row>
    <row r="81" spans="2:3">
      <c r="B81" s="270" t="s">
        <v>801</v>
      </c>
      <c r="C81" s="238"/>
    </row>
    <row r="82" spans="2:3">
      <c r="B82" s="273" t="s">
        <v>802</v>
      </c>
      <c r="C82" s="275">
        <f ca="1">1-C83</f>
        <v>0.82600000000000007</v>
      </c>
    </row>
    <row r="83" spans="2:3">
      <c r="B83" s="273" t="s">
        <v>803</v>
      </c>
      <c r="C83" s="274">
        <f ca="1">ROUND(C13/C40,3)</f>
        <v>0.17399999999999999</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K9:K25"/>
  <sheetViews>
    <sheetView workbookViewId="0">
      <selection activeCell="N26" sqref="N26"/>
    </sheetView>
  </sheetViews>
  <sheetFormatPr defaultRowHeight="13.5"/>
  <sheetData>
    <row r="9" spans="11:11">
      <c r="K9" s="3460">
        <f>AVERAGE(K17:K23)</f>
        <v>128.37804466019375</v>
      </c>
    </row>
    <row r="10" spans="11:11">
      <c r="K10">
        <f>K9*'数据-汇总表'!E19</f>
        <v>12916.115073262094</v>
      </c>
    </row>
    <row r="11" spans="11:11">
      <c r="K11">
        <f>K9*公共部分!D6</f>
        <v>2255.6022446796042</v>
      </c>
    </row>
    <row r="17" spans="11:11">
      <c r="K17">
        <f>12000/87.72</f>
        <v>136.79890560875512</v>
      </c>
    </row>
    <row r="18" spans="11:11">
      <c r="K18">
        <f>12390/86.29</f>
        <v>143.5855834975084</v>
      </c>
    </row>
    <row r="19" spans="11:11">
      <c r="K19" s="3450">
        <f>8800/74.64</f>
        <v>117.89924973204715</v>
      </c>
    </row>
    <row r="20" spans="11:11">
      <c r="K20">
        <f>11000/89</f>
        <v>123.59550561797752</v>
      </c>
    </row>
    <row r="21" spans="11:11">
      <c r="K21">
        <f>23500/181</f>
        <v>129.8342541436464</v>
      </c>
    </row>
    <row r="22" spans="11:11">
      <c r="K22">
        <f>16800/156</f>
        <v>107.69230769230769</v>
      </c>
    </row>
    <row r="23" spans="11:11">
      <c r="K23">
        <f>22000/158</f>
        <v>139.24050632911391</v>
      </c>
    </row>
    <row r="24" spans="11:11">
      <c r="K24">
        <f>13000/86</f>
        <v>151.16279069767441</v>
      </c>
    </row>
    <row r="25" spans="11:11">
      <c r="K25">
        <f>22000/158</f>
        <v>139.24050632911391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3383</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49.7239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16098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16098</v>
      </c>
      <c r="D8" s="222"/>
      <c r="E8" s="220"/>
      <c r="F8" s="221"/>
      <c r="G8" s="1856"/>
    </row>
    <row r="9" spans="1:8" s="214" customFormat="1" ht="13.5" customHeight="1">
      <c r="A9" s="779" t="s">
        <v>355</v>
      </c>
      <c r="B9" s="224" t="s">
        <v>1478</v>
      </c>
      <c r="C9" s="225">
        <f ca="1">ROUND(D9*E9,0)</f>
        <v>16098</v>
      </c>
      <c r="D9" s="845">
        <f ca="1">IF(B1="",'数据-汇总表'!E5,IF(INDIRECT("'数据-取费表'!c"&amp;$G$1)="住宅",INDIRECT("'数据-取费表'!k"&amp;$G$1),0))</f>
        <v>100.61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20122</v>
      </c>
      <c r="D19" s="849">
        <f ca="1">D9+D10</f>
        <v>100.61</v>
      </c>
      <c r="E19" s="211">
        <f>'数据-取费表'!B31</f>
        <v>200</v>
      </c>
      <c r="F19" s="231"/>
      <c r="G19" s="1856"/>
    </row>
    <row r="20" spans="1:7" s="214" customFormat="1" ht="13.5" customHeight="1">
      <c r="A20" s="255" t="s">
        <v>1574</v>
      </c>
      <c r="B20" s="210" t="s">
        <v>1575</v>
      </c>
      <c r="C20" s="232">
        <f ca="1">ROUND((C5+C19)*F20,0)</f>
        <v>724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3557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1957</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9236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9236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54021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405710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352135</v>
      </c>
      <c r="D34" s="217"/>
      <c r="E34" s="220"/>
      <c r="F34" s="257"/>
      <c r="G34" s="219"/>
    </row>
    <row r="35" spans="1:7" ht="13.5" customHeight="1">
      <c r="A35" s="780" t="s">
        <v>351</v>
      </c>
      <c r="B35" s="215" t="s">
        <v>1527</v>
      </c>
      <c r="C35" s="220">
        <f ca="1">ROUND(C34*F35,0)</f>
        <v>10564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17607</v>
      </c>
      <c r="D36" s="220"/>
      <c r="E36" s="220"/>
      <c r="F36" s="259">
        <f>'数据-取费表'!B34</f>
        <v>0.05</v>
      </c>
      <c r="G36" s="260" t="s">
        <v>1530</v>
      </c>
    </row>
    <row r="37" spans="1:7" s="258" customFormat="1" ht="13.5" customHeight="1">
      <c r="A37" s="780" t="s">
        <v>353</v>
      </c>
      <c r="B37" s="215" t="s">
        <v>1531</v>
      </c>
      <c r="C37" s="249">
        <f ca="1">ROUND(E37*D37,0)</f>
        <v>20122</v>
      </c>
      <c r="D37" s="217">
        <f ca="1">D19</f>
        <v>100.61</v>
      </c>
      <c r="E37" s="249">
        <f>'数据-取费表'!B35</f>
        <v>200</v>
      </c>
      <c r="F37" s="259"/>
      <c r="G37" s="261"/>
    </row>
    <row r="38" spans="1:7" ht="13.5" customHeight="1">
      <c r="A38" s="780" t="s">
        <v>354</v>
      </c>
      <c r="B38" s="215" t="s">
        <v>1533</v>
      </c>
      <c r="C38" s="220">
        <f ca="1">ROUND(C34*F38,0)</f>
        <v>5282</v>
      </c>
      <c r="D38" s="220"/>
      <c r="E38" s="220"/>
      <c r="F38" s="259">
        <f>'数据-取费表'!B36</f>
        <v>1.4999999999999999E-2</v>
      </c>
      <c r="G38" s="219" t="s">
        <v>1528</v>
      </c>
    </row>
    <row r="39" spans="1:7" s="214" customFormat="1" ht="13.5" customHeight="1">
      <c r="A39" s="255" t="s">
        <v>1534</v>
      </c>
      <c r="B39" s="210" t="s">
        <v>1535</v>
      </c>
      <c r="C39" s="232">
        <f ca="1">ROUND(C33*F20,0)</f>
        <v>8114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19656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19271</v>
      </c>
      <c r="D42" s="238"/>
      <c r="E42" s="238"/>
      <c r="F42" s="239"/>
      <c r="G42" s="3689" t="s">
        <v>1591</v>
      </c>
    </row>
    <row r="43" spans="1:7" ht="13.5" customHeight="1">
      <c r="A43" s="780" t="s">
        <v>347</v>
      </c>
      <c r="B43" s="215" t="s">
        <v>1545</v>
      </c>
      <c r="C43" s="238">
        <f ca="1">ROUND(IF('数据-取费表'!B22&lt;=1,C39*F22*'数据-取费表'!B20/2,C39*(POWER((1+F22),'数据-取费表'!B20/2)-1)),0)</f>
        <v>385</v>
      </c>
      <c r="D43" s="238"/>
      <c r="E43" s="238"/>
      <c r="F43" s="239"/>
      <c r="G43" s="3690"/>
    </row>
    <row r="44" spans="1:7" ht="13.5" customHeight="1">
      <c r="A44" s="780" t="s">
        <v>348</v>
      </c>
      <c r="B44" s="215" t="s">
        <v>1546</v>
      </c>
      <c r="C44" s="238">
        <f ca="1">ROUND(IF('数据-取费表'!B22&lt;=1,C40*F22*'数据-取费表'!B20/2,C40*(POWER((1+F22),'数据-取费表'!B20/2)-1)),4)</f>
        <v>1E-3</v>
      </c>
      <c r="D44" s="238"/>
      <c r="E44" s="238"/>
      <c r="F44" s="239"/>
      <c r="G44" s="3691"/>
    </row>
    <row r="45" spans="1:7" s="214" customFormat="1" ht="13.5" customHeight="1">
      <c r="A45" s="255" t="s">
        <v>1547</v>
      </c>
      <c r="B45" s="244" t="s">
        <v>1513</v>
      </c>
      <c r="C45" s="245">
        <f ca="1">C46</f>
        <v>103456</v>
      </c>
      <c r="D45" s="235">
        <f ca="1">C47</f>
        <v>5.0000000000000001E-3</v>
      </c>
      <c r="E45" s="236" t="s">
        <v>1539</v>
      </c>
      <c r="F45" s="246">
        <f ca="1">F27</f>
        <v>0.25</v>
      </c>
      <c r="G45" s="247" t="s">
        <v>1548</v>
      </c>
    </row>
    <row r="46" spans="1:7" s="214" customFormat="1" ht="13.5" customHeight="1">
      <c r="A46" s="780" t="s">
        <v>346</v>
      </c>
      <c r="B46" s="248" t="s">
        <v>1549</v>
      </c>
      <c r="C46" s="249">
        <f ca="1">ROUND((C33+C39)*F27,0)</f>
        <v>103456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583182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443218</v>
      </c>
      <c r="D51" s="232"/>
      <c r="E51" s="232"/>
      <c r="F51" s="264"/>
      <c r="G51" s="234" t="s">
        <v>1560</v>
      </c>
    </row>
    <row r="52" spans="1:7" s="208" customFormat="1" ht="16.5" thickBot="1">
      <c r="A52" s="265" t="s">
        <v>1561</v>
      </c>
      <c r="B52" s="266"/>
      <c r="C52" s="267">
        <f ca="1">C31+C51</f>
        <v>497239</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-298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100.61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100.61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100.61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44" t="s">
        <v>2320</v>
      </c>
      <c r="K2" s="374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46" t="s">
        <v>2330</v>
      </c>
      <c r="K3" s="374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46" t="s">
        <v>2332</v>
      </c>
      <c r="K4" s="374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48" t="s">
        <v>2336</v>
      </c>
      <c r="B6" s="3749"/>
      <c r="C6" s="3750"/>
      <c r="D6" s="2870"/>
      <c r="E6" s="2871"/>
      <c r="F6" s="2872"/>
      <c r="G6" s="2873"/>
      <c r="H6" s="2848"/>
      <c r="I6" s="2849"/>
      <c r="J6" s="3751">
        <v>1</v>
      </c>
      <c r="K6" s="375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51"/>
      <c r="K7" s="375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55" t="s">
        <v>2350</v>
      </c>
      <c r="C8" s="3756"/>
      <c r="D8" s="2889" t="s">
        <v>2351</v>
      </c>
      <c r="E8" s="2890" t="s">
        <v>2352</v>
      </c>
      <c r="F8" s="2891" t="s">
        <v>2353</v>
      </c>
      <c r="G8" s="2892"/>
      <c r="H8" s="2848"/>
      <c r="I8" s="2849"/>
      <c r="J8" s="3751"/>
      <c r="K8" s="375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55" t="s">
        <v>2356</v>
      </c>
      <c r="C9" s="3756"/>
      <c r="D9" s="2889">
        <f>ROUND(D6*E9,0)</f>
        <v>0</v>
      </c>
      <c r="E9" s="2893"/>
      <c r="F9" s="2894" t="s">
        <v>2357</v>
      </c>
      <c r="G9" s="2873"/>
      <c r="H9" s="2848"/>
      <c r="I9" s="2849"/>
      <c r="J9" s="3751"/>
      <c r="K9" s="3753"/>
      <c r="L9" s="2883" t="s">
        <v>2358</v>
      </c>
      <c r="M9" s="2884"/>
      <c r="N9" s="2860"/>
      <c r="O9" s="2885"/>
      <c r="P9" s="2885"/>
      <c r="Q9" s="2886">
        <v>365</v>
      </c>
      <c r="R9" s="2887">
        <f t="shared" si="0"/>
        <v>0</v>
      </c>
      <c r="S9" s="2841"/>
      <c r="T9" s="2841"/>
      <c r="U9" s="2841"/>
      <c r="V9" s="2849"/>
    </row>
    <row r="10" spans="1:22" s="2853" customFormat="1" ht="13.15" customHeight="1">
      <c r="A10" s="2888">
        <v>2</v>
      </c>
      <c r="B10" s="3755" t="s">
        <v>2359</v>
      </c>
      <c r="C10" s="3756"/>
      <c r="D10" s="2889">
        <f>ROUND(D6*E10,0)</f>
        <v>0</v>
      </c>
      <c r="E10" s="2893"/>
      <c r="F10" s="2894" t="s">
        <v>2360</v>
      </c>
      <c r="G10" s="2873"/>
      <c r="H10" s="2848"/>
      <c r="I10" s="2849"/>
      <c r="J10" s="3751"/>
      <c r="K10" s="3753"/>
      <c r="L10" s="2883" t="s">
        <v>2361</v>
      </c>
      <c r="M10" s="2884"/>
      <c r="N10" s="2860"/>
      <c r="O10" s="2885"/>
      <c r="P10" s="2885"/>
      <c r="Q10" s="2886">
        <v>365</v>
      </c>
      <c r="R10" s="2887">
        <f t="shared" si="0"/>
        <v>0</v>
      </c>
      <c r="S10" s="2841"/>
      <c r="T10" s="2841"/>
      <c r="U10" s="2841"/>
      <c r="V10" s="2849"/>
    </row>
    <row r="11" spans="1:22" s="2853" customFormat="1" ht="13.15" customHeight="1">
      <c r="A11" s="2888">
        <v>3</v>
      </c>
      <c r="B11" s="3755" t="s">
        <v>2362</v>
      </c>
      <c r="C11" s="3756"/>
      <c r="D11" s="2889">
        <f>D12+D14+D15+D16</f>
        <v>0</v>
      </c>
      <c r="E11" s="2895" t="e">
        <f>D11/D6</f>
        <v>#DIV/0!</v>
      </c>
      <c r="F11" s="2891"/>
      <c r="G11" s="2892"/>
      <c r="H11" s="2848"/>
      <c r="I11" s="2849"/>
      <c r="J11" s="3751"/>
      <c r="K11" s="375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57" t="s">
        <v>2365</v>
      </c>
      <c r="C12" s="3758"/>
      <c r="D12" s="2897">
        <f>ROUND(D13*1.2%*(1-30%),0)</f>
        <v>0</v>
      </c>
      <c r="E12" s="2898">
        <v>1.2E-2</v>
      </c>
      <c r="F12" s="2891" t="s">
        <v>2366</v>
      </c>
      <c r="G12" s="2892"/>
      <c r="H12" s="2848"/>
      <c r="I12" s="2849"/>
      <c r="J12" s="3751"/>
      <c r="K12" s="375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51"/>
      <c r="K13" s="375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57" t="s">
        <v>2371</v>
      </c>
      <c r="C14" s="3758"/>
      <c r="D14" s="2897">
        <f>ROUND(E14*B5/10000,0)</f>
        <v>0</v>
      </c>
      <c r="E14" s="2886"/>
      <c r="F14" s="2891" t="s">
        <v>2372</v>
      </c>
      <c r="G14" s="2892"/>
      <c r="H14" s="2848"/>
      <c r="I14" s="2849"/>
      <c r="J14" s="3751"/>
      <c r="K14" s="375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57" t="s">
        <v>2375</v>
      </c>
      <c r="C15" s="3758"/>
      <c r="D15" s="2897">
        <f>ROUND(D6*E15,0)</f>
        <v>0</v>
      </c>
      <c r="E15" s="2898">
        <v>5.5E-2</v>
      </c>
      <c r="F15" s="2891" t="s">
        <v>2376</v>
      </c>
      <c r="G15" s="2873"/>
      <c r="H15" s="2848"/>
      <c r="I15" s="2849"/>
      <c r="J15" s="3751">
        <v>2</v>
      </c>
      <c r="K15" s="375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57" t="s">
        <v>2384</v>
      </c>
      <c r="C16" s="3758"/>
      <c r="D16" s="2908">
        <f>D6*E16</f>
        <v>0</v>
      </c>
      <c r="E16" s="2909"/>
      <c r="F16" s="2894" t="s">
        <v>2385</v>
      </c>
      <c r="G16" s="2873"/>
      <c r="H16" s="2848"/>
      <c r="I16" s="2849"/>
      <c r="J16" s="3751"/>
      <c r="K16" s="375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59" t="s">
        <v>2387</v>
      </c>
      <c r="C17" s="3760"/>
      <c r="D17" s="2911">
        <f>ROUND(D6*E17,0)</f>
        <v>0</v>
      </c>
      <c r="E17" s="2912"/>
      <c r="F17" s="2913" t="s">
        <v>2388</v>
      </c>
      <c r="G17" s="2873"/>
      <c r="H17" s="2848"/>
      <c r="I17" s="2849"/>
      <c r="J17" s="3751"/>
      <c r="K17" s="375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51"/>
      <c r="K18" s="375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51"/>
      <c r="K19" s="375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51">
        <v>3</v>
      </c>
      <c r="K20" s="375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51"/>
      <c r="K21" s="375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51"/>
      <c r="K22" s="375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51"/>
      <c r="K23" s="375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51"/>
      <c r="K24" s="375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6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44" t="s">
        <v>2320</v>
      </c>
      <c r="K32" s="374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46" t="s">
        <v>2330</v>
      </c>
      <c r="K33" s="374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46" t="s">
        <v>2332</v>
      </c>
      <c r="K34" s="37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51">
        <v>1</v>
      </c>
      <c r="K36" s="375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51"/>
      <c r="K37" s="375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51"/>
      <c r="K38" s="375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51"/>
      <c r="K39" s="375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51"/>
      <c r="K40" s="375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6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估价对象为北京市房地产，为所有。根据《国有土地使用证》[]，估价对象（分摊）出让国有建设用地使用权面积为0平方米，建筑面积为100.61平方米。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2022年9月17日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9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627</v>
      </c>
      <c r="C2" s="1872" t="s">
        <v>1651</v>
      </c>
      <c r="D2" s="1873" t="s">
        <v>1652</v>
      </c>
      <c r="E2" s="2607">
        <f>SUM(E6:E13)</f>
        <v>100.61</v>
      </c>
      <c r="F2" s="2707"/>
      <c r="G2" s="1489"/>
      <c r="H2" s="1489"/>
      <c r="I2" s="1489"/>
      <c r="J2" s="1489"/>
      <c r="K2" s="1489"/>
      <c r="L2" s="1489"/>
      <c r="M2" s="1489"/>
      <c r="N2" s="1489"/>
      <c r="O2" s="1489"/>
      <c r="P2" s="1489"/>
      <c r="Q2" s="1489"/>
      <c r="R2" s="1489"/>
      <c r="S2" s="1489"/>
    </row>
    <row r="3" spans="1:22" ht="15.75">
      <c r="A3" s="1870" t="s">
        <v>686</v>
      </c>
      <c r="B3" s="2601">
        <f ca="1">ROUND(B2*10000/E2,0)</f>
        <v>62320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3" t="s">
        <v>1654</v>
      </c>
      <c r="C5" s="37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627</v>
      </c>
      <c r="C6" s="1872" t="s">
        <v>1651</v>
      </c>
      <c r="D6" s="2709"/>
      <c r="E6" s="2606">
        <f>IF(OR(A6=0,F6="否"),0,'数据-取费表'!K6+'数据-取费表'!S6)</f>
        <v>100.61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100.61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7" t="s">
        <v>1771</v>
      </c>
      <c r="S4" s="3698"/>
      <c r="T4" s="3697" t="s">
        <v>1772</v>
      </c>
      <c r="U4" s="3698"/>
      <c r="V4" s="3723" t="s">
        <v>1773</v>
      </c>
      <c r="W4" s="3723"/>
      <c r="X4" s="1355"/>
      <c r="Y4" s="3697" t="s">
        <v>1775</v>
      </c>
      <c r="Z4" s="3698"/>
      <c r="AA4" s="3692" t="s">
        <v>1771</v>
      </c>
      <c r="AB4" s="3723" t="s">
        <v>1772</v>
      </c>
      <c r="AC4" s="3692" t="s">
        <v>1773</v>
      </c>
    </row>
    <row r="5" spans="1:29" ht="15">
      <c r="A5" s="358"/>
      <c r="B5" s="359"/>
      <c r="C5" s="3707" t="s">
        <v>1673</v>
      </c>
      <c r="D5" s="3704"/>
      <c r="E5" s="3701" t="s">
        <v>1674</v>
      </c>
      <c r="F5" s="3702"/>
      <c r="G5" s="3707" t="s">
        <v>1675</v>
      </c>
      <c r="H5" s="3704"/>
      <c r="I5" s="3707" t="s">
        <v>1676</v>
      </c>
      <c r="J5" s="3704"/>
      <c r="K5" s="559"/>
      <c r="L5" s="2715"/>
      <c r="M5" s="2716"/>
      <c r="N5" s="2716"/>
      <c r="O5" s="2716"/>
      <c r="P5" s="3717"/>
      <c r="Q5" s="3718"/>
      <c r="R5" s="3699"/>
      <c r="S5" s="3700"/>
      <c r="T5" s="3699"/>
      <c r="U5" s="3700"/>
      <c r="V5" s="3723"/>
      <c r="W5" s="3723"/>
      <c r="X5" s="1355"/>
      <c r="Y5" s="3699"/>
      <c r="Z5" s="3700"/>
      <c r="AA5" s="3693"/>
      <c r="AB5" s="3723"/>
      <c r="AC5" s="3693"/>
    </row>
    <row r="6" spans="1:29" ht="15.75" thickBot="1">
      <c r="A6" s="360"/>
      <c r="B6" s="361"/>
      <c r="C6" s="3705" t="s">
        <v>1677</v>
      </c>
      <c r="D6" s="3706"/>
      <c r="E6" s="3708" t="s">
        <v>1677</v>
      </c>
      <c r="F6" s="3709"/>
      <c r="G6" s="3705" t="s">
        <v>1677</v>
      </c>
      <c r="H6" s="3706"/>
      <c r="I6" s="3705" t="s">
        <v>1677</v>
      </c>
      <c r="J6" s="3706"/>
      <c r="K6" s="559" t="s">
        <v>1678</v>
      </c>
      <c r="L6" s="2715"/>
      <c r="M6" s="2716"/>
      <c r="N6" s="2716"/>
      <c r="O6" s="2716"/>
      <c r="P6" s="3719"/>
      <c r="Q6" s="3720"/>
      <c r="R6" s="3699"/>
      <c r="S6" s="3700"/>
      <c r="T6" s="3721"/>
      <c r="U6" s="3722"/>
      <c r="V6" s="3723"/>
      <c r="W6" s="3723"/>
      <c r="X6" s="1355"/>
      <c r="Y6" s="3721"/>
      <c r="Z6" s="3722"/>
      <c r="AA6" s="3694"/>
      <c r="AB6" s="3723"/>
      <c r="AC6" s="3694"/>
    </row>
    <row r="7" spans="1:29" s="108" customFormat="1" ht="15.75" thickBot="1">
      <c r="A7" s="362" t="s">
        <v>1679</v>
      </c>
      <c r="B7" s="363"/>
      <c r="C7" s="364">
        <f>'数据-取费表'!B2</f>
        <v>44821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4"/>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7" t="s">
        <v>1691</v>
      </c>
      <c r="Q15" s="1352" t="str">
        <f t="shared" si="6"/>
        <v>商业繁华度</v>
      </c>
      <c r="R15" s="705" t="s">
        <v>14</v>
      </c>
      <c r="S15" s="706">
        <f t="shared" si="0"/>
        <v>100</v>
      </c>
      <c r="T15" s="705" t="s">
        <v>14</v>
      </c>
      <c r="U15" s="706">
        <f t="shared" si="1"/>
        <v>100</v>
      </c>
      <c r="V15" s="705" t="s">
        <v>14</v>
      </c>
      <c r="W15" s="706">
        <f t="shared" si="2"/>
        <v>100</v>
      </c>
      <c r="X15" s="1355"/>
      <c r="Y15" s="373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8"/>
      <c r="Q22" s="1352"/>
      <c r="R22" s="705"/>
      <c r="S22" s="706"/>
      <c r="T22" s="705"/>
      <c r="U22" s="706"/>
      <c r="V22" s="705"/>
      <c r="W22" s="706"/>
      <c r="X22" s="1355"/>
      <c r="Y22" s="373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8"/>
      <c r="Q23" s="1352" t="str">
        <f>B23</f>
        <v>自然及人文环境</v>
      </c>
      <c r="R23" s="705" t="s">
        <v>14</v>
      </c>
      <c r="S23" s="706">
        <f>F23</f>
        <v>100</v>
      </c>
      <c r="T23" s="705" t="s">
        <v>14</v>
      </c>
      <c r="U23" s="706">
        <f>H23</f>
        <v>100</v>
      </c>
      <c r="V23" s="705" t="s">
        <v>14</v>
      </c>
      <c r="W23" s="706">
        <f>J23</f>
        <v>100</v>
      </c>
      <c r="X23" s="1355"/>
      <c r="Y23" s="373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8"/>
      <c r="Q25" s="1352" t="str">
        <f t="shared" ref="Q25:Q46" si="11">B25</f>
        <v>临街状况</v>
      </c>
      <c r="R25" s="705" t="s">
        <v>14</v>
      </c>
      <c r="S25" s="706">
        <f>F25</f>
        <v>100</v>
      </c>
      <c r="T25" s="705" t="s">
        <v>14</v>
      </c>
      <c r="U25" s="706">
        <f>H25</f>
        <v>100</v>
      </c>
      <c r="V25" s="705" t="s">
        <v>14</v>
      </c>
      <c r="W25" s="706">
        <f>J25</f>
        <v>100</v>
      </c>
      <c r="X25" s="1355"/>
      <c r="Y25" s="373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8"/>
      <c r="Q26" s="1352" t="str">
        <f t="shared" si="11"/>
        <v>平面位置/可视性</v>
      </c>
      <c r="R26" s="705" t="s">
        <v>14</v>
      </c>
      <c r="S26" s="706">
        <f>F26</f>
        <v>100</v>
      </c>
      <c r="T26" s="705" t="s">
        <v>14</v>
      </c>
      <c r="U26" s="706">
        <f>H26</f>
        <v>100</v>
      </c>
      <c r="V26" s="705" t="s">
        <v>14</v>
      </c>
      <c r="W26" s="706">
        <f>J26</f>
        <v>100</v>
      </c>
      <c r="X26" s="1355"/>
      <c r="Y26" s="373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8"/>
      <c r="Q27" s="1343" t="str">
        <f t="shared" si="11"/>
        <v>人流量</v>
      </c>
      <c r="R27" s="701" t="s">
        <v>14</v>
      </c>
      <c r="S27" s="702">
        <f>F27</f>
        <v>100</v>
      </c>
      <c r="T27" s="701" t="s">
        <v>14</v>
      </c>
      <c r="U27" s="702">
        <f>H27</f>
        <v>100</v>
      </c>
      <c r="V27" s="701" t="s">
        <v>14</v>
      </c>
      <c r="W27" s="702">
        <f>J27</f>
        <v>100</v>
      </c>
      <c r="X27" s="703"/>
      <c r="Y27" s="373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8"/>
      <c r="Q29" s="1352">
        <f t="shared" si="11"/>
        <v>111</v>
      </c>
      <c r="R29" s="705" t="s">
        <v>14</v>
      </c>
      <c r="S29" s="706">
        <f t="shared" si="12"/>
        <v>100</v>
      </c>
      <c r="T29" s="705" t="s">
        <v>14</v>
      </c>
      <c r="U29" s="706">
        <f t="shared" si="13"/>
        <v>100</v>
      </c>
      <c r="V29" s="705" t="s">
        <v>14</v>
      </c>
      <c r="W29" s="706">
        <f t="shared" si="14"/>
        <v>100</v>
      </c>
      <c r="X29" s="1355"/>
      <c r="Y29" s="373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2" t="s">
        <v>1696</v>
      </c>
      <c r="Q32" s="1352" t="str">
        <f t="shared" si="11"/>
        <v>商业类型</v>
      </c>
      <c r="R32" s="705" t="s">
        <v>14</v>
      </c>
      <c r="S32" s="706">
        <f t="shared" si="12"/>
        <v>100</v>
      </c>
      <c r="T32" s="705" t="s">
        <v>14</v>
      </c>
      <c r="U32" s="706">
        <f t="shared" si="13"/>
        <v>100</v>
      </c>
      <c r="V32" s="705" t="s">
        <v>14</v>
      </c>
      <c r="W32" s="706">
        <f t="shared" si="14"/>
        <v>100</v>
      </c>
      <c r="X32" s="1355"/>
      <c r="Y32" s="373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3"/>
      <c r="Q33" s="707" t="str">
        <f t="shared" si="11"/>
        <v>项目建筑规模</v>
      </c>
      <c r="R33" s="708" t="s">
        <v>14</v>
      </c>
      <c r="S33" s="709" t="e">
        <f t="shared" si="12"/>
        <v>#N/A</v>
      </c>
      <c r="T33" s="708" t="s">
        <v>14</v>
      </c>
      <c r="U33" s="709" t="e">
        <f t="shared" si="13"/>
        <v>#N/A</v>
      </c>
      <c r="V33" s="708" t="s">
        <v>14</v>
      </c>
      <c r="W33" s="709" t="e">
        <f t="shared" si="14"/>
        <v>#N/A</v>
      </c>
      <c r="X33" s="710"/>
      <c r="Y33" s="373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3"/>
      <c r="Q34" s="1352" t="str">
        <f t="shared" si="11"/>
        <v>建筑结构</v>
      </c>
      <c r="R34" s="705" t="s">
        <v>14</v>
      </c>
      <c r="S34" s="706">
        <f t="shared" si="12"/>
        <v>100</v>
      </c>
      <c r="T34" s="705" t="s">
        <v>14</v>
      </c>
      <c r="U34" s="706">
        <f t="shared" si="13"/>
        <v>100</v>
      </c>
      <c r="V34" s="705" t="s">
        <v>14</v>
      </c>
      <c r="W34" s="706">
        <f t="shared" si="14"/>
        <v>100</v>
      </c>
      <c r="X34" s="1355"/>
      <c r="Y34" s="373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3"/>
      <c r="Q35" s="1352" t="str">
        <f t="shared" si="11"/>
        <v>公共部分装修</v>
      </c>
      <c r="R35" s="705" t="s">
        <v>14</v>
      </c>
      <c r="S35" s="706">
        <f t="shared" si="12"/>
        <v>100</v>
      </c>
      <c r="T35" s="705" t="s">
        <v>14</v>
      </c>
      <c r="U35" s="706">
        <f t="shared" si="13"/>
        <v>100</v>
      </c>
      <c r="V35" s="705" t="s">
        <v>14</v>
      </c>
      <c r="W35" s="706">
        <f t="shared" si="14"/>
        <v>100</v>
      </c>
      <c r="X35" s="1355"/>
      <c r="Y35" s="373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3"/>
      <c r="Q36" s="1352" t="str">
        <f t="shared" si="11"/>
        <v>成新度</v>
      </c>
      <c r="R36" s="705" t="s">
        <v>14</v>
      </c>
      <c r="S36" s="706" t="e">
        <f t="shared" si="12"/>
        <v>#N/A</v>
      </c>
      <c r="T36" s="705" t="s">
        <v>14</v>
      </c>
      <c r="U36" s="706" t="e">
        <f t="shared" si="13"/>
        <v>#N/A</v>
      </c>
      <c r="V36" s="705" t="s">
        <v>14</v>
      </c>
      <c r="W36" s="706" t="e">
        <f t="shared" si="14"/>
        <v>#N/A</v>
      </c>
      <c r="X36" s="1355"/>
      <c r="Y36" s="373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3"/>
      <c r="Q37" s="1343"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3" t="s">
        <v>1696</v>
      </c>
      <c r="Q38" s="1352" t="str">
        <f t="shared" si="11"/>
        <v>业态</v>
      </c>
      <c r="R38" s="705" t="s">
        <v>14</v>
      </c>
      <c r="S38" s="706">
        <f t="shared" si="12"/>
        <v>100</v>
      </c>
      <c r="T38" s="705" t="s">
        <v>14</v>
      </c>
      <c r="U38" s="706">
        <f t="shared" si="13"/>
        <v>100</v>
      </c>
      <c r="V38" s="705" t="s">
        <v>14</v>
      </c>
      <c r="W38" s="706">
        <f t="shared" si="14"/>
        <v>100</v>
      </c>
      <c r="X38" s="1355"/>
      <c r="Y38" s="373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3"/>
      <c r="Q39" s="1352" t="str">
        <f t="shared" si="11"/>
        <v>层高</v>
      </c>
      <c r="R39" s="705" t="s">
        <v>14</v>
      </c>
      <c r="S39" s="706">
        <f t="shared" si="12"/>
        <v>100</v>
      </c>
      <c r="T39" s="705" t="s">
        <v>14</v>
      </c>
      <c r="U39" s="706">
        <f t="shared" si="13"/>
        <v>100</v>
      </c>
      <c r="V39" s="705" t="s">
        <v>14</v>
      </c>
      <c r="W39" s="706">
        <f t="shared" si="14"/>
        <v>100</v>
      </c>
      <c r="X39" s="1355"/>
      <c r="Y39" s="373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3"/>
      <c r="Q40" s="1352" t="str">
        <f t="shared" si="11"/>
        <v>单套建筑面积</v>
      </c>
      <c r="R40" s="705" t="s">
        <v>14</v>
      </c>
      <c r="S40" s="706">
        <f t="shared" si="12"/>
        <v>100</v>
      </c>
      <c r="T40" s="705" t="s">
        <v>14</v>
      </c>
      <c r="U40" s="706">
        <f t="shared" si="13"/>
        <v>100</v>
      </c>
      <c r="V40" s="705" t="s">
        <v>14</v>
      </c>
      <c r="W40" s="706">
        <f t="shared" si="14"/>
        <v>100</v>
      </c>
      <c r="X40" s="1355"/>
      <c r="Y40" s="373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3"/>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3"/>
      <c r="Q42" s="1352" t="str">
        <f t="shared" si="11"/>
        <v>内部装修</v>
      </c>
      <c r="R42" s="705" t="s">
        <v>14</v>
      </c>
      <c r="S42" s="706">
        <f t="shared" si="12"/>
        <v>100</v>
      </c>
      <c r="T42" s="705" t="s">
        <v>14</v>
      </c>
      <c r="U42" s="706">
        <f t="shared" si="13"/>
        <v>100</v>
      </c>
      <c r="V42" s="705" t="s">
        <v>14</v>
      </c>
      <c r="W42" s="706">
        <f t="shared" si="14"/>
        <v>100</v>
      </c>
      <c r="X42" s="1355"/>
      <c r="Y42" s="373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3"/>
      <c r="Q43" s="1352" t="str">
        <f t="shared" si="11"/>
        <v>内部装修维护情况</v>
      </c>
      <c r="R43" s="705" t="s">
        <v>14</v>
      </c>
      <c r="S43" s="706">
        <f t="shared" si="12"/>
        <v>100</v>
      </c>
      <c r="T43" s="705" t="s">
        <v>14</v>
      </c>
      <c r="U43" s="706">
        <f t="shared" si="13"/>
        <v>100</v>
      </c>
      <c r="V43" s="705" t="s">
        <v>14</v>
      </c>
      <c r="W43" s="706">
        <f t="shared" si="14"/>
        <v>100</v>
      </c>
      <c r="X43" s="1355"/>
      <c r="Y43" s="373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3"/>
      <c r="Q44" s="1343">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3"/>
      <c r="Q45" s="1352">
        <f t="shared" si="11"/>
        <v>111</v>
      </c>
      <c r="R45" s="705" t="s">
        <v>14</v>
      </c>
      <c r="S45" s="706">
        <f t="shared" si="12"/>
        <v>100</v>
      </c>
      <c r="T45" s="705" t="s">
        <v>14</v>
      </c>
      <c r="U45" s="706">
        <f t="shared" si="13"/>
        <v>100</v>
      </c>
      <c r="V45" s="705" t="s">
        <v>14</v>
      </c>
      <c r="W45" s="706">
        <f t="shared" si="14"/>
        <v>100</v>
      </c>
      <c r="X45" s="1355"/>
      <c r="Y45" s="373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8" t="str">
        <f>A47</f>
        <v>成交单价（元/平方米）</v>
      </c>
      <c r="Q47" s="3728"/>
      <c r="R47" s="3723">
        <f>E47</f>
        <v>0</v>
      </c>
      <c r="S47" s="3723"/>
      <c r="T47" s="3723">
        <f>G47</f>
        <v>0</v>
      </c>
      <c r="U47" s="3723"/>
      <c r="V47" s="3723">
        <f>I47</f>
        <v>0</v>
      </c>
      <c r="W47" s="372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2022-9</v>
      </c>
      <c r="D58" s="1185">
        <f>EDATE(C58,-1)</f>
        <v>44774</v>
      </c>
      <c r="E58" s="1185">
        <f t="shared" ref="E58:N58" si="16">EDATE(D58,-1)</f>
        <v>44743</v>
      </c>
      <c r="F58" s="1185">
        <f t="shared" si="16"/>
        <v>44713</v>
      </c>
      <c r="G58" s="1185">
        <f t="shared" si="16"/>
        <v>44682</v>
      </c>
      <c r="H58" s="1185">
        <f t="shared" si="16"/>
        <v>44652</v>
      </c>
      <c r="I58" s="1185">
        <f t="shared" si="16"/>
        <v>44621</v>
      </c>
      <c r="J58" s="1185">
        <f t="shared" si="16"/>
        <v>44593</v>
      </c>
      <c r="K58" s="1185">
        <f t="shared" si="16"/>
        <v>44562</v>
      </c>
      <c r="L58" s="1185">
        <f t="shared" si="16"/>
        <v>44531</v>
      </c>
      <c r="M58" s="1185">
        <f t="shared" si="16"/>
        <v>44501</v>
      </c>
      <c r="N58" s="1185">
        <f t="shared" si="16"/>
        <v>44470</v>
      </c>
      <c r="O58" s="1185">
        <f>EDATE(N58,-1)</f>
        <v>44440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100.61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71" t="s">
        <v>1775</v>
      </c>
      <c r="Q4" s="3772"/>
      <c r="R4" s="3766" t="s">
        <v>1771</v>
      </c>
      <c r="S4" s="3767"/>
      <c r="T4" s="3766" t="s">
        <v>1772</v>
      </c>
      <c r="U4" s="3767"/>
      <c r="V4" s="3775" t="s">
        <v>1773</v>
      </c>
      <c r="W4" s="3775"/>
      <c r="X4" s="1958"/>
      <c r="Y4" s="3766" t="s">
        <v>1775</v>
      </c>
      <c r="Z4" s="3767"/>
      <c r="AA4" s="3765" t="s">
        <v>1771</v>
      </c>
      <c r="AB4" s="3765" t="s">
        <v>1772</v>
      </c>
      <c r="AC4" s="3768" t="s">
        <v>1773</v>
      </c>
    </row>
    <row r="5" spans="1:29" ht="15">
      <c r="A5" s="358"/>
      <c r="B5" s="359"/>
      <c r="C5" s="3707" t="s">
        <v>1673</v>
      </c>
      <c r="D5" s="3704"/>
      <c r="E5" s="3701" t="s">
        <v>1674</v>
      </c>
      <c r="F5" s="3702"/>
      <c r="G5" s="3707" t="s">
        <v>1675</v>
      </c>
      <c r="H5" s="3704"/>
      <c r="I5" s="3707" t="s">
        <v>1676</v>
      </c>
      <c r="J5" s="3704"/>
      <c r="K5" s="559"/>
      <c r="L5" s="2715"/>
      <c r="M5" s="2716"/>
      <c r="N5" s="2716"/>
      <c r="O5" s="2716"/>
      <c r="P5" s="3773"/>
      <c r="Q5" s="3718"/>
      <c r="R5" s="3699"/>
      <c r="S5" s="3700"/>
      <c r="T5" s="3699"/>
      <c r="U5" s="3700"/>
      <c r="V5" s="3723"/>
      <c r="W5" s="3723"/>
      <c r="X5" s="1355"/>
      <c r="Y5" s="3699"/>
      <c r="Z5" s="3700"/>
      <c r="AA5" s="3693"/>
      <c r="AB5" s="3693"/>
      <c r="AC5" s="3769"/>
    </row>
    <row r="6" spans="1:29" ht="15.75" thickBot="1">
      <c r="A6" s="360"/>
      <c r="B6" s="361"/>
      <c r="C6" s="3705" t="s">
        <v>1677</v>
      </c>
      <c r="D6" s="3706"/>
      <c r="E6" s="3708" t="s">
        <v>1677</v>
      </c>
      <c r="F6" s="3709"/>
      <c r="G6" s="3705" t="s">
        <v>1677</v>
      </c>
      <c r="H6" s="3706"/>
      <c r="I6" s="3705" t="s">
        <v>1677</v>
      </c>
      <c r="J6" s="3706"/>
      <c r="K6" s="559" t="s">
        <v>1678</v>
      </c>
      <c r="L6" s="2715"/>
      <c r="M6" s="2716"/>
      <c r="N6" s="2716"/>
      <c r="O6" s="2716"/>
      <c r="P6" s="3774"/>
      <c r="Q6" s="3720"/>
      <c r="R6" s="3699"/>
      <c r="S6" s="3700"/>
      <c r="T6" s="3721"/>
      <c r="U6" s="3722"/>
      <c r="V6" s="3723"/>
      <c r="W6" s="3723"/>
      <c r="X6" s="1355"/>
      <c r="Y6" s="3721"/>
      <c r="Z6" s="3722"/>
      <c r="AA6" s="3694"/>
      <c r="AB6" s="3694"/>
      <c r="AC6" s="3770"/>
    </row>
    <row r="7" spans="1:29" s="108" customFormat="1" ht="15.75" thickBot="1">
      <c r="A7" s="362" t="s">
        <v>1679</v>
      </c>
      <c r="B7" s="363"/>
      <c r="C7" s="364">
        <f>'数据-取费表'!B2</f>
        <v>44821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6" t="s">
        <v>1680</v>
      </c>
      <c r="Q7" s="3724"/>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6"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66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7" t="s">
        <v>1691</v>
      </c>
      <c r="Q15" s="1352" t="str">
        <f t="shared" si="6"/>
        <v>办公集聚程度</v>
      </c>
      <c r="R15" s="705" t="s">
        <v>14</v>
      </c>
      <c r="S15" s="706">
        <f t="shared" si="0"/>
        <v>100</v>
      </c>
      <c r="T15" s="705" t="s">
        <v>14</v>
      </c>
      <c r="U15" s="706">
        <f t="shared" si="1"/>
        <v>100</v>
      </c>
      <c r="V15" s="705" t="s">
        <v>14</v>
      </c>
      <c r="W15" s="706">
        <f t="shared" si="2"/>
        <v>100</v>
      </c>
      <c r="X15" s="1355"/>
      <c r="Y15" s="373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8"/>
      <c r="Q22" s="1352"/>
      <c r="R22" s="705"/>
      <c r="S22" s="706"/>
      <c r="T22" s="705"/>
      <c r="U22" s="706"/>
      <c r="V22" s="705"/>
      <c r="W22" s="706"/>
      <c r="X22" s="1355"/>
      <c r="Y22" s="373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8"/>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8"/>
      <c r="Q25" s="1352" t="str">
        <f>B25</f>
        <v>毗邻道路的类型与等级</v>
      </c>
      <c r="R25" s="705" t="s">
        <v>14</v>
      </c>
      <c r="S25" s="706">
        <f>F25</f>
        <v>100</v>
      </c>
      <c r="T25" s="705" t="s">
        <v>14</v>
      </c>
      <c r="U25" s="706">
        <f>H25</f>
        <v>100</v>
      </c>
      <c r="V25" s="705" t="s">
        <v>14</v>
      </c>
      <c r="W25" s="706">
        <f>J25</f>
        <v>100</v>
      </c>
      <c r="X25" s="1355"/>
      <c r="Y25" s="373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8"/>
      <c r="Q26" s="1352"/>
      <c r="R26" s="705"/>
      <c r="S26" s="706"/>
      <c r="T26" s="705"/>
      <c r="U26" s="706"/>
      <c r="V26" s="705"/>
      <c r="W26" s="706"/>
      <c r="X26" s="1355"/>
      <c r="Y26" s="373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8"/>
      <c r="Q27" s="1352" t="str">
        <f t="shared" ref="Q27:Q47" si="11">B27</f>
        <v>楼层</v>
      </c>
      <c r="R27" s="705" t="s">
        <v>14</v>
      </c>
      <c r="S27" s="706">
        <f>F27</f>
        <v>100</v>
      </c>
      <c r="T27" s="705" t="s">
        <v>14</v>
      </c>
      <c r="U27" s="706">
        <f>H27</f>
        <v>100</v>
      </c>
      <c r="V27" s="705" t="s">
        <v>14</v>
      </c>
      <c r="W27" s="706">
        <f>J27</f>
        <v>100</v>
      </c>
      <c r="X27" s="1355"/>
      <c r="Y27" s="373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8"/>
      <c r="Q28" s="1343" t="str">
        <f t="shared" si="11"/>
        <v>朝向</v>
      </c>
      <c r="R28" s="701" t="s">
        <v>14</v>
      </c>
      <c r="S28" s="702">
        <f>F28</f>
        <v>100</v>
      </c>
      <c r="T28" s="701" t="s">
        <v>14</v>
      </c>
      <c r="U28" s="702">
        <f>H28</f>
        <v>100</v>
      </c>
      <c r="V28" s="701" t="s">
        <v>14</v>
      </c>
      <c r="W28" s="702">
        <f>J28</f>
        <v>100</v>
      </c>
      <c r="X28" s="703"/>
      <c r="Y28" s="373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8"/>
      <c r="Q29" s="1352">
        <f t="shared" si="11"/>
        <v>111</v>
      </c>
      <c r="R29" s="705" t="s">
        <v>14</v>
      </c>
      <c r="S29" s="706">
        <f t="shared" ref="S29:S47" si="12">F29</f>
        <v>100</v>
      </c>
      <c r="T29" s="705" t="s">
        <v>14</v>
      </c>
      <c r="U29" s="706">
        <f t="shared" ref="U29:U47" si="13">H29</f>
        <v>100</v>
      </c>
      <c r="V29" s="705" t="s">
        <v>14</v>
      </c>
      <c r="W29" s="706">
        <f t="shared" ref="W29:W47" si="14">J29</f>
        <v>100</v>
      </c>
      <c r="X29" s="1355"/>
      <c r="Y29" s="373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8"/>
      <c r="Q32" s="1352">
        <f t="shared" si="11"/>
        <v>111</v>
      </c>
      <c r="R32" s="705" t="s">
        <v>14</v>
      </c>
      <c r="S32" s="706">
        <f t="shared" si="12"/>
        <v>100</v>
      </c>
      <c r="T32" s="705" t="s">
        <v>14</v>
      </c>
      <c r="U32" s="706">
        <f t="shared" si="13"/>
        <v>100</v>
      </c>
      <c r="V32" s="705" t="s">
        <v>14</v>
      </c>
      <c r="W32" s="706">
        <f t="shared" si="14"/>
        <v>100</v>
      </c>
      <c r="X32" s="1355"/>
      <c r="Y32" s="373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1696</v>
      </c>
      <c r="Q33" s="1352" t="str">
        <f t="shared" si="11"/>
        <v>建筑类型</v>
      </c>
      <c r="R33" s="705" t="s">
        <v>14</v>
      </c>
      <c r="S33" s="706">
        <f t="shared" si="12"/>
        <v>100</v>
      </c>
      <c r="T33" s="705" t="s">
        <v>14</v>
      </c>
      <c r="U33" s="706">
        <f t="shared" si="13"/>
        <v>100</v>
      </c>
      <c r="V33" s="705" t="s">
        <v>14</v>
      </c>
      <c r="W33" s="706">
        <f t="shared" si="14"/>
        <v>100</v>
      </c>
      <c r="X33" s="1355"/>
      <c r="Y33" s="373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3"/>
      <c r="Q34" s="707" t="str">
        <f t="shared" si="11"/>
        <v>项目建筑规模</v>
      </c>
      <c r="R34" s="708" t="s">
        <v>14</v>
      </c>
      <c r="S34" s="709" t="e">
        <f t="shared" si="12"/>
        <v>#N/A</v>
      </c>
      <c r="T34" s="708" t="s">
        <v>14</v>
      </c>
      <c r="U34" s="709" t="e">
        <f t="shared" si="13"/>
        <v>#N/A</v>
      </c>
      <c r="V34" s="708" t="s">
        <v>14</v>
      </c>
      <c r="W34" s="709" t="e">
        <f t="shared" si="14"/>
        <v>#N/A</v>
      </c>
      <c r="X34" s="710"/>
      <c r="Y34" s="373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1352" t="str">
        <f t="shared" si="11"/>
        <v>建筑结构</v>
      </c>
      <c r="R35" s="705" t="s">
        <v>14</v>
      </c>
      <c r="S35" s="706">
        <f t="shared" si="12"/>
        <v>100</v>
      </c>
      <c r="T35" s="705" t="s">
        <v>14</v>
      </c>
      <c r="U35" s="706">
        <f t="shared" si="13"/>
        <v>100</v>
      </c>
      <c r="V35" s="705" t="s">
        <v>14</v>
      </c>
      <c r="W35" s="706">
        <f t="shared" si="14"/>
        <v>100</v>
      </c>
      <c r="X35" s="1355"/>
      <c r="Y35" s="373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1352" t="str">
        <f t="shared" si="11"/>
        <v>公共部分装修</v>
      </c>
      <c r="R36" s="705" t="s">
        <v>14</v>
      </c>
      <c r="S36" s="706">
        <f t="shared" si="12"/>
        <v>100</v>
      </c>
      <c r="T36" s="705" t="s">
        <v>14</v>
      </c>
      <c r="U36" s="706">
        <f t="shared" si="13"/>
        <v>100</v>
      </c>
      <c r="V36" s="705" t="s">
        <v>14</v>
      </c>
      <c r="W36" s="706">
        <f t="shared" si="14"/>
        <v>100</v>
      </c>
      <c r="X36" s="1355"/>
      <c r="Y36" s="373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3"/>
      <c r="Q37" s="1352" t="str">
        <f t="shared" si="11"/>
        <v>成新度</v>
      </c>
      <c r="R37" s="705" t="s">
        <v>14</v>
      </c>
      <c r="S37" s="706" t="e">
        <f t="shared" si="12"/>
        <v>#N/A</v>
      </c>
      <c r="T37" s="705" t="s">
        <v>14</v>
      </c>
      <c r="U37" s="706" t="e">
        <f t="shared" si="13"/>
        <v>#N/A</v>
      </c>
      <c r="V37" s="705" t="s">
        <v>14</v>
      </c>
      <c r="W37" s="706" t="e">
        <f t="shared" si="14"/>
        <v>#N/A</v>
      </c>
      <c r="X37" s="1355"/>
      <c r="Y37" s="373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1343"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1696</v>
      </c>
      <c r="Q39" s="1352" t="str">
        <f t="shared" si="11"/>
        <v>物业管理</v>
      </c>
      <c r="R39" s="705" t="s">
        <v>14</v>
      </c>
      <c r="S39" s="706">
        <f t="shared" si="12"/>
        <v>100</v>
      </c>
      <c r="T39" s="705" t="s">
        <v>14</v>
      </c>
      <c r="U39" s="706">
        <f t="shared" si="13"/>
        <v>100</v>
      </c>
      <c r="V39" s="705" t="s">
        <v>14</v>
      </c>
      <c r="W39" s="706">
        <f t="shared" si="14"/>
        <v>100</v>
      </c>
      <c r="X39" s="1355"/>
      <c r="Y39" s="373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1352" t="str">
        <f t="shared" si="11"/>
        <v>市政基础设施</v>
      </c>
      <c r="R40" s="705" t="s">
        <v>14</v>
      </c>
      <c r="S40" s="706">
        <f t="shared" si="12"/>
        <v>100</v>
      </c>
      <c r="T40" s="705" t="s">
        <v>14</v>
      </c>
      <c r="U40" s="706">
        <f t="shared" si="13"/>
        <v>100</v>
      </c>
      <c r="V40" s="705" t="s">
        <v>14</v>
      </c>
      <c r="W40" s="706">
        <f t="shared" si="14"/>
        <v>100</v>
      </c>
      <c r="X40" s="1355"/>
      <c r="Y40" s="373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1352" t="str">
        <f t="shared" si="11"/>
        <v>层高</v>
      </c>
      <c r="R41" s="705" t="s">
        <v>14</v>
      </c>
      <c r="S41" s="706">
        <f t="shared" si="12"/>
        <v>100</v>
      </c>
      <c r="T41" s="705" t="s">
        <v>14</v>
      </c>
      <c r="U41" s="706">
        <f t="shared" si="13"/>
        <v>100</v>
      </c>
      <c r="V41" s="705" t="s">
        <v>14</v>
      </c>
      <c r="W41" s="706">
        <f t="shared" si="14"/>
        <v>100</v>
      </c>
      <c r="X41" s="1355"/>
      <c r="Y41" s="373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1352" t="str">
        <f t="shared" si="11"/>
        <v>内部装修</v>
      </c>
      <c r="R43" s="705" t="s">
        <v>14</v>
      </c>
      <c r="S43" s="706">
        <f t="shared" si="12"/>
        <v>100</v>
      </c>
      <c r="T43" s="705" t="s">
        <v>14</v>
      </c>
      <c r="U43" s="706">
        <f t="shared" si="13"/>
        <v>100</v>
      </c>
      <c r="V43" s="705" t="s">
        <v>14</v>
      </c>
      <c r="W43" s="706">
        <f t="shared" si="14"/>
        <v>100</v>
      </c>
      <c r="X43" s="1355"/>
      <c r="Y43" s="373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1352" t="str">
        <f t="shared" si="11"/>
        <v>内部装修维护情况</v>
      </c>
      <c r="R44" s="705" t="s">
        <v>14</v>
      </c>
      <c r="S44" s="706">
        <f t="shared" si="12"/>
        <v>100</v>
      </c>
      <c r="T44" s="705" t="s">
        <v>14</v>
      </c>
      <c r="U44" s="706">
        <f t="shared" si="13"/>
        <v>100</v>
      </c>
      <c r="V44" s="705" t="s">
        <v>14</v>
      </c>
      <c r="W44" s="706">
        <f t="shared" si="14"/>
        <v>100</v>
      </c>
      <c r="X44" s="1355"/>
      <c r="Y44" s="373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3"/>
      <c r="Q45" s="1343">
        <f t="shared" si="11"/>
        <v>111</v>
      </c>
      <c r="R45" s="701" t="s">
        <v>14</v>
      </c>
      <c r="S45" s="702">
        <f t="shared" si="12"/>
        <v>100</v>
      </c>
      <c r="T45" s="701" t="s">
        <v>14</v>
      </c>
      <c r="U45" s="702">
        <f t="shared" si="13"/>
        <v>100</v>
      </c>
      <c r="V45" s="701" t="s">
        <v>14</v>
      </c>
      <c r="W45" s="702">
        <f t="shared" si="14"/>
        <v>100</v>
      </c>
      <c r="X45" s="703"/>
      <c r="Y45" s="373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1352">
        <f t="shared" si="11"/>
        <v>111</v>
      </c>
      <c r="R47" s="705" t="s">
        <v>14</v>
      </c>
      <c r="S47" s="706">
        <f t="shared" si="12"/>
        <v>100</v>
      </c>
      <c r="T47" s="705" t="s">
        <v>14</v>
      </c>
      <c r="U47" s="706">
        <f t="shared" si="13"/>
        <v>100</v>
      </c>
      <c r="V47" s="705" t="s">
        <v>14</v>
      </c>
      <c r="W47" s="706">
        <f t="shared" si="14"/>
        <v>100</v>
      </c>
      <c r="X47" s="1355"/>
      <c r="Y47" s="373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0" t="str">
        <f>A48</f>
        <v>成交单价（元/平方米）</v>
      </c>
      <c r="Q48" s="3728"/>
      <c r="R48" s="3729">
        <f>E48</f>
        <v>0</v>
      </c>
      <c r="S48" s="3729"/>
      <c r="T48" s="3729">
        <f>G48</f>
        <v>0</v>
      </c>
      <c r="U48" s="3729"/>
      <c r="V48" s="3729">
        <f>I48</f>
        <v>0</v>
      </c>
      <c r="W48" s="372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0" t="str">
        <f>A49</f>
        <v>比较价值（元/平方米）</v>
      </c>
      <c r="Q49" s="3728"/>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2022-9</v>
      </c>
      <c r="D59" s="1185">
        <f>EDATE(C59,-1)</f>
        <v>44774</v>
      </c>
      <c r="E59" s="1185">
        <f>EDATE(D59,-1)</f>
        <v>44743</v>
      </c>
      <c r="F59" s="1185">
        <f t="shared" ref="F59:O59" si="16">EDATE(E59,-1)</f>
        <v>44713</v>
      </c>
      <c r="G59" s="1185">
        <f t="shared" si="16"/>
        <v>44682</v>
      </c>
      <c r="H59" s="1185">
        <f t="shared" si="16"/>
        <v>44652</v>
      </c>
      <c r="I59" s="1185">
        <f t="shared" si="16"/>
        <v>44621</v>
      </c>
      <c r="J59" s="1185">
        <f t="shared" si="16"/>
        <v>44593</v>
      </c>
      <c r="K59" s="1185">
        <f t="shared" si="16"/>
        <v>44562</v>
      </c>
      <c r="L59" s="1185">
        <f t="shared" si="16"/>
        <v>44531</v>
      </c>
      <c r="M59" s="1185">
        <f t="shared" si="16"/>
        <v>44501</v>
      </c>
      <c r="N59" s="1185">
        <f t="shared" si="16"/>
        <v>44470</v>
      </c>
      <c r="O59" s="1185">
        <f t="shared" si="16"/>
        <v>44440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100.61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697" t="s">
        <v>1771</v>
      </c>
      <c r="S4" s="3698"/>
      <c r="T4" s="3697" t="s">
        <v>1772</v>
      </c>
      <c r="U4" s="3698"/>
      <c r="V4" s="3723" t="s">
        <v>1773</v>
      </c>
      <c r="W4" s="3723"/>
      <c r="X4" s="1355"/>
      <c r="Y4" s="3697" t="s">
        <v>1775</v>
      </c>
      <c r="Z4" s="3698"/>
      <c r="AA4" s="3692" t="s">
        <v>1771</v>
      </c>
      <c r="AB4" s="3693" t="s">
        <v>1772</v>
      </c>
      <c r="AC4" s="3692" t="s">
        <v>1773</v>
      </c>
    </row>
    <row r="5" spans="1:29" ht="15">
      <c r="A5" s="358"/>
      <c r="B5" s="359"/>
      <c r="C5" s="3707" t="s">
        <v>1673</v>
      </c>
      <c r="D5" s="3704"/>
      <c r="E5" s="3701" t="s">
        <v>1674</v>
      </c>
      <c r="F5" s="3702"/>
      <c r="G5" s="3707" t="s">
        <v>1675</v>
      </c>
      <c r="H5" s="3704"/>
      <c r="I5" s="3707" t="s">
        <v>1676</v>
      </c>
      <c r="J5" s="3704"/>
      <c r="K5" s="559"/>
      <c r="L5" s="913"/>
      <c r="M5" s="914"/>
      <c r="N5" s="914"/>
      <c r="O5" s="914"/>
      <c r="P5" s="3717"/>
      <c r="Q5" s="3718"/>
      <c r="R5" s="3699"/>
      <c r="S5" s="3700"/>
      <c r="T5" s="3699"/>
      <c r="U5" s="3700"/>
      <c r="V5" s="3723"/>
      <c r="W5" s="3723"/>
      <c r="X5" s="1355"/>
      <c r="Y5" s="3699"/>
      <c r="Z5" s="3700"/>
      <c r="AA5" s="3693"/>
      <c r="AB5" s="3693"/>
      <c r="AC5" s="3693"/>
    </row>
    <row r="6" spans="1:29" ht="15.75" thickBot="1">
      <c r="A6" s="360"/>
      <c r="B6" s="361"/>
      <c r="C6" s="3705" t="s">
        <v>1677</v>
      </c>
      <c r="D6" s="3706"/>
      <c r="E6" s="3708" t="s">
        <v>1677</v>
      </c>
      <c r="F6" s="3709"/>
      <c r="G6" s="3705" t="s">
        <v>1677</v>
      </c>
      <c r="H6" s="3706"/>
      <c r="I6" s="3705" t="s">
        <v>1677</v>
      </c>
      <c r="J6" s="3706"/>
      <c r="K6" s="559" t="s">
        <v>1678</v>
      </c>
      <c r="L6" s="913"/>
      <c r="M6" s="914"/>
      <c r="N6" s="914"/>
      <c r="O6" s="914"/>
      <c r="P6" s="3719"/>
      <c r="Q6" s="3720"/>
      <c r="R6" s="3699"/>
      <c r="S6" s="3700"/>
      <c r="T6" s="3721"/>
      <c r="U6" s="3722"/>
      <c r="V6" s="3723"/>
      <c r="W6" s="3723"/>
      <c r="X6" s="1355"/>
      <c r="Y6" s="3721"/>
      <c r="Z6" s="3722"/>
      <c r="AA6" s="3694"/>
      <c r="AB6" s="3694"/>
      <c r="AC6" s="3694"/>
    </row>
    <row r="7" spans="1:29" s="108" customFormat="1" ht="15.75" thickBot="1">
      <c r="A7" s="362" t="s">
        <v>1679</v>
      </c>
      <c r="B7" s="363"/>
      <c r="C7" s="364">
        <f>'数据-取费表'!B2</f>
        <v>44821</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4"/>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6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1"/>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1"/>
      <c r="Q18" s="1352"/>
      <c r="R18" s="705"/>
      <c r="S18" s="706"/>
      <c r="T18" s="705"/>
      <c r="U18" s="706"/>
      <c r="V18" s="705"/>
      <c r="W18" s="706"/>
      <c r="X18" s="1355"/>
      <c r="Y18" s="373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1"/>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1"/>
      <c r="Q20" s="1352"/>
      <c r="R20" s="705"/>
      <c r="S20" s="706"/>
      <c r="T20" s="705"/>
      <c r="U20" s="706"/>
      <c r="V20" s="705"/>
      <c r="W20" s="706"/>
      <c r="X20" s="1355"/>
      <c r="Y20" s="373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1"/>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1"/>
      <c r="Q22" s="1352"/>
      <c r="R22" s="705"/>
      <c r="S22" s="706"/>
      <c r="T22" s="705"/>
      <c r="U22" s="706"/>
      <c r="V22" s="705"/>
      <c r="W22" s="706"/>
      <c r="X22" s="1355"/>
      <c r="Y22" s="373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1"/>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1"/>
      <c r="Q24" s="1352"/>
      <c r="R24" s="705"/>
      <c r="S24" s="706"/>
      <c r="T24" s="705"/>
      <c r="U24" s="706"/>
      <c r="V24" s="705"/>
      <c r="W24" s="706"/>
      <c r="X24" s="1355"/>
      <c r="Y24" s="373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1"/>
      <c r="Q25" s="1352">
        <f>B25</f>
        <v>111</v>
      </c>
      <c r="R25" s="705" t="s">
        <v>14</v>
      </c>
      <c r="S25" s="706">
        <f>F25</f>
        <v>100</v>
      </c>
      <c r="T25" s="705" t="s">
        <v>14</v>
      </c>
      <c r="U25" s="706">
        <f>H25</f>
        <v>100</v>
      </c>
      <c r="V25" s="705" t="s">
        <v>14</v>
      </c>
      <c r="W25" s="706">
        <f>J25</f>
        <v>100</v>
      </c>
      <c r="X25" s="1355"/>
      <c r="Y25" s="373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1"/>
      <c r="Q26" s="1352">
        <f t="shared" ref="Q26:Q40" si="11">B26</f>
        <v>111</v>
      </c>
      <c r="R26" s="705" t="s">
        <v>14</v>
      </c>
      <c r="S26" s="706">
        <f>F26</f>
        <v>100</v>
      </c>
      <c r="T26" s="705" t="s">
        <v>14</v>
      </c>
      <c r="U26" s="706">
        <f>H26</f>
        <v>100</v>
      </c>
      <c r="V26" s="705" t="s">
        <v>14</v>
      </c>
      <c r="W26" s="706">
        <f>J26</f>
        <v>100</v>
      </c>
      <c r="X26" s="1355"/>
      <c r="Y26" s="373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1"/>
      <c r="Q27" s="1343">
        <f t="shared" si="11"/>
        <v>111</v>
      </c>
      <c r="R27" s="701" t="s">
        <v>14</v>
      </c>
      <c r="S27" s="702">
        <f>F27</f>
        <v>100</v>
      </c>
      <c r="T27" s="701" t="s">
        <v>14</v>
      </c>
      <c r="U27" s="702">
        <f>H27</f>
        <v>100</v>
      </c>
      <c r="V27" s="701" t="s">
        <v>14</v>
      </c>
      <c r="W27" s="702">
        <f>J27</f>
        <v>100</v>
      </c>
      <c r="X27" s="703"/>
      <c r="Y27" s="373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1"/>
      <c r="Q28" s="1352">
        <f t="shared" si="11"/>
        <v>111</v>
      </c>
      <c r="R28" s="705" t="s">
        <v>14</v>
      </c>
      <c r="S28" s="706">
        <f t="shared" ref="S28:S40" si="12">F28</f>
        <v>100</v>
      </c>
      <c r="T28" s="705" t="s">
        <v>14</v>
      </c>
      <c r="U28" s="706">
        <f t="shared" ref="U28:U40" si="13">H28</f>
        <v>100</v>
      </c>
      <c r="V28" s="705" t="s">
        <v>14</v>
      </c>
      <c r="W28" s="706">
        <f t="shared" ref="W28:W40" si="14">J28</f>
        <v>100</v>
      </c>
      <c r="X28" s="1355"/>
      <c r="Y28" s="373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1696</v>
      </c>
      <c r="Q29" s="1352" t="str">
        <f t="shared" si="11"/>
        <v>建筑类型</v>
      </c>
      <c r="R29" s="705" t="s">
        <v>14</v>
      </c>
      <c r="S29" s="706">
        <f t="shared" si="12"/>
        <v>100</v>
      </c>
      <c r="T29" s="705" t="s">
        <v>14</v>
      </c>
      <c r="U29" s="706">
        <f t="shared" si="13"/>
        <v>100</v>
      </c>
      <c r="V29" s="705" t="s">
        <v>14</v>
      </c>
      <c r="W29" s="706">
        <f t="shared" si="14"/>
        <v>100</v>
      </c>
      <c r="X29" s="1355"/>
      <c r="Y29" s="373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5"/>
      <c r="Q31" s="1352" t="str">
        <f t="shared" si="11"/>
        <v>建筑结构</v>
      </c>
      <c r="R31" s="705" t="s">
        <v>14</v>
      </c>
      <c r="S31" s="706">
        <f t="shared" si="12"/>
        <v>100</v>
      </c>
      <c r="T31" s="705" t="s">
        <v>14</v>
      </c>
      <c r="U31" s="706">
        <f t="shared" si="13"/>
        <v>100</v>
      </c>
      <c r="V31" s="705" t="s">
        <v>14</v>
      </c>
      <c r="W31" s="706">
        <f t="shared" si="14"/>
        <v>100</v>
      </c>
      <c r="X31" s="1355"/>
      <c r="Y31" s="373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5"/>
      <c r="Q32" s="1352" t="str">
        <f t="shared" si="11"/>
        <v>公共部分装修</v>
      </c>
      <c r="R32" s="705" t="s">
        <v>14</v>
      </c>
      <c r="S32" s="706">
        <f t="shared" si="12"/>
        <v>100</v>
      </c>
      <c r="T32" s="705" t="s">
        <v>14</v>
      </c>
      <c r="U32" s="706">
        <f t="shared" si="13"/>
        <v>100</v>
      </c>
      <c r="V32" s="705" t="s">
        <v>14</v>
      </c>
      <c r="W32" s="706">
        <f t="shared" si="14"/>
        <v>100</v>
      </c>
      <c r="X32" s="1355"/>
      <c r="Y32" s="373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5"/>
      <c r="Q33" s="1352" t="str">
        <f t="shared" si="11"/>
        <v>成新度</v>
      </c>
      <c r="R33" s="705" t="s">
        <v>14</v>
      </c>
      <c r="S33" s="706" t="e">
        <f t="shared" si="12"/>
        <v>#N/A</v>
      </c>
      <c r="T33" s="705" t="s">
        <v>14</v>
      </c>
      <c r="U33" s="706" t="e">
        <f t="shared" si="13"/>
        <v>#N/A</v>
      </c>
      <c r="V33" s="705" t="s">
        <v>14</v>
      </c>
      <c r="W33" s="706" t="e">
        <f t="shared" si="14"/>
        <v>#N/A</v>
      </c>
      <c r="X33" s="1355"/>
      <c r="Y33" s="373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5"/>
      <c r="Q34" s="1343"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5" t="s">
        <v>1696</v>
      </c>
      <c r="Q35" s="1352" t="str">
        <f t="shared" si="11"/>
        <v>市政基础设施</v>
      </c>
      <c r="R35" s="705" t="s">
        <v>14</v>
      </c>
      <c r="S35" s="706">
        <f t="shared" si="12"/>
        <v>100</v>
      </c>
      <c r="T35" s="705" t="s">
        <v>14</v>
      </c>
      <c r="U35" s="706">
        <f t="shared" si="13"/>
        <v>100</v>
      </c>
      <c r="V35" s="705" t="s">
        <v>14</v>
      </c>
      <c r="W35" s="706">
        <f t="shared" si="14"/>
        <v>100</v>
      </c>
      <c r="X35" s="1355"/>
      <c r="Y35" s="373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5"/>
      <c r="Q36" s="1352" t="str">
        <f t="shared" si="11"/>
        <v>内部装修</v>
      </c>
      <c r="R36" s="705" t="s">
        <v>14</v>
      </c>
      <c r="S36" s="706">
        <f t="shared" si="12"/>
        <v>100</v>
      </c>
      <c r="T36" s="705" t="s">
        <v>14</v>
      </c>
      <c r="U36" s="706">
        <f t="shared" si="13"/>
        <v>100</v>
      </c>
      <c r="V36" s="705" t="s">
        <v>14</v>
      </c>
      <c r="W36" s="706">
        <f t="shared" si="14"/>
        <v>100</v>
      </c>
      <c r="X36" s="1355"/>
      <c r="Y36" s="373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5"/>
      <c r="Q37" s="1352" t="str">
        <f t="shared" si="11"/>
        <v>内部装修状况</v>
      </c>
      <c r="R37" s="705" t="s">
        <v>14</v>
      </c>
      <c r="S37" s="706">
        <f t="shared" si="12"/>
        <v>100</v>
      </c>
      <c r="T37" s="705" t="s">
        <v>14</v>
      </c>
      <c r="U37" s="706">
        <f t="shared" si="13"/>
        <v>100</v>
      </c>
      <c r="V37" s="705" t="s">
        <v>14</v>
      </c>
      <c r="W37" s="706">
        <f t="shared" si="14"/>
        <v>100</v>
      </c>
      <c r="X37" s="1355"/>
      <c r="Y37" s="373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5"/>
      <c r="Q39" s="1352">
        <f t="shared" si="11"/>
        <v>111</v>
      </c>
      <c r="R39" s="705" t="s">
        <v>14</v>
      </c>
      <c r="S39" s="706">
        <f t="shared" si="12"/>
        <v>100</v>
      </c>
      <c r="T39" s="705" t="s">
        <v>14</v>
      </c>
      <c r="U39" s="706">
        <f t="shared" si="13"/>
        <v>100</v>
      </c>
      <c r="V39" s="705" t="s">
        <v>14</v>
      </c>
      <c r="W39" s="706">
        <f t="shared" si="14"/>
        <v>100</v>
      </c>
      <c r="X39" s="1355"/>
      <c r="Y39" s="373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6"/>
      <c r="Q40" s="1352">
        <f t="shared" si="11"/>
        <v>111</v>
      </c>
      <c r="R40" s="705" t="s">
        <v>14</v>
      </c>
      <c r="S40" s="706">
        <f t="shared" si="12"/>
        <v>100</v>
      </c>
      <c r="T40" s="705" t="s">
        <v>14</v>
      </c>
      <c r="U40" s="706">
        <f t="shared" si="13"/>
        <v>100</v>
      </c>
      <c r="V40" s="705" t="s">
        <v>14</v>
      </c>
      <c r="W40" s="706">
        <f t="shared" si="14"/>
        <v>100</v>
      </c>
      <c r="X40" s="1355"/>
      <c r="Y40" s="373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2022-9</v>
      </c>
      <c r="D52" s="1185">
        <f>EDATE(C52,-1)</f>
        <v>44774</v>
      </c>
      <c r="E52" s="1185">
        <f t="shared" ref="E52:O52" si="16">EDATE(D52,-1)</f>
        <v>44743</v>
      </c>
      <c r="F52" s="1185">
        <f t="shared" si="16"/>
        <v>44713</v>
      </c>
      <c r="G52" s="1185">
        <f t="shared" si="16"/>
        <v>44682</v>
      </c>
      <c r="H52" s="1185">
        <f t="shared" si="16"/>
        <v>44652</v>
      </c>
      <c r="I52" s="1185">
        <f t="shared" si="16"/>
        <v>44621</v>
      </c>
      <c r="J52" s="1185">
        <f t="shared" si="16"/>
        <v>44593</v>
      </c>
      <c r="K52" s="1185">
        <f t="shared" si="16"/>
        <v>44562</v>
      </c>
      <c r="L52" s="1185">
        <f t="shared" si="16"/>
        <v>44531</v>
      </c>
      <c r="M52" s="1185">
        <f t="shared" si="16"/>
        <v>44501</v>
      </c>
      <c r="N52" s="1185">
        <f t="shared" si="16"/>
        <v>44470</v>
      </c>
      <c r="O52" s="1185">
        <f t="shared" si="16"/>
        <v>44440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7" t="s">
        <v>1771</v>
      </c>
      <c r="S4" s="3698"/>
      <c r="T4" s="3697" t="s">
        <v>1772</v>
      </c>
      <c r="U4" s="3698"/>
      <c r="V4" s="3723" t="s">
        <v>1773</v>
      </c>
      <c r="W4" s="3723"/>
      <c r="X4" s="1355"/>
      <c r="Y4" s="3697" t="s">
        <v>1775</v>
      </c>
      <c r="Z4" s="3698"/>
      <c r="AA4" s="3692" t="s">
        <v>1771</v>
      </c>
      <c r="AB4" s="3693" t="s">
        <v>1772</v>
      </c>
      <c r="AC4" s="3692" t="s">
        <v>1773</v>
      </c>
    </row>
    <row r="5" spans="1:29" ht="15">
      <c r="A5" s="358"/>
      <c r="B5" s="359"/>
      <c r="C5" s="3707" t="s">
        <v>1673</v>
      </c>
      <c r="D5" s="3704"/>
      <c r="E5" s="3701" t="s">
        <v>1674</v>
      </c>
      <c r="F5" s="3702"/>
      <c r="G5" s="3707" t="s">
        <v>1675</v>
      </c>
      <c r="H5" s="3704"/>
      <c r="I5" s="3707" t="s">
        <v>1676</v>
      </c>
      <c r="J5" s="3704"/>
      <c r="K5" s="559"/>
      <c r="L5" s="2715"/>
      <c r="M5" s="2716"/>
      <c r="N5" s="2716"/>
      <c r="O5" s="2716"/>
      <c r="P5" s="3717"/>
      <c r="Q5" s="3718"/>
      <c r="R5" s="3699"/>
      <c r="S5" s="3700"/>
      <c r="T5" s="3699"/>
      <c r="U5" s="3700"/>
      <c r="V5" s="3723"/>
      <c r="W5" s="3723"/>
      <c r="X5" s="1355"/>
      <c r="Y5" s="3699"/>
      <c r="Z5" s="3700"/>
      <c r="AA5" s="3693"/>
      <c r="AB5" s="3693"/>
      <c r="AC5" s="3693"/>
    </row>
    <row r="6" spans="1:29" ht="15.75" thickBot="1">
      <c r="A6" s="360"/>
      <c r="B6" s="361"/>
      <c r="C6" s="3705" t="s">
        <v>1677</v>
      </c>
      <c r="D6" s="3706"/>
      <c r="E6" s="3708" t="s">
        <v>1677</v>
      </c>
      <c r="F6" s="3709"/>
      <c r="G6" s="3705" t="s">
        <v>1677</v>
      </c>
      <c r="H6" s="3706"/>
      <c r="I6" s="3705" t="s">
        <v>1677</v>
      </c>
      <c r="J6" s="3706"/>
      <c r="K6" s="559" t="s">
        <v>1678</v>
      </c>
      <c r="L6" s="2715"/>
      <c r="M6" s="2716"/>
      <c r="N6" s="2716"/>
      <c r="O6" s="2716"/>
      <c r="P6" s="3719"/>
      <c r="Q6" s="3720"/>
      <c r="R6" s="3699"/>
      <c r="S6" s="3700"/>
      <c r="T6" s="3721"/>
      <c r="U6" s="3722"/>
      <c r="V6" s="3723"/>
      <c r="W6" s="3723"/>
      <c r="X6" s="1355"/>
      <c r="Y6" s="3721"/>
      <c r="Z6" s="3722"/>
      <c r="AA6" s="3694"/>
      <c r="AB6" s="3694"/>
      <c r="AC6" s="3694"/>
    </row>
    <row r="7" spans="1:29" s="108" customFormat="1" ht="15.75" thickBot="1">
      <c r="A7" s="362" t="s">
        <v>1679</v>
      </c>
      <c r="B7" s="363"/>
      <c r="C7" s="364">
        <f>'数据-取费表'!B2</f>
        <v>44821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4"/>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8" t="s">
        <v>1686</v>
      </c>
      <c r="Q9" s="1343" t="str">
        <f t="shared" ref="Q9:Q14" si="6">B9</f>
        <v>用途</v>
      </c>
      <c r="R9" s="701" t="s">
        <v>14</v>
      </c>
      <c r="S9" s="702">
        <f t="shared" si="0"/>
        <v>100</v>
      </c>
      <c r="T9" s="701" t="s">
        <v>14</v>
      </c>
      <c r="U9" s="702">
        <f t="shared" si="1"/>
        <v>100</v>
      </c>
      <c r="V9" s="701" t="s">
        <v>14</v>
      </c>
      <c r="W9" s="702">
        <f t="shared" si="2"/>
        <v>100</v>
      </c>
      <c r="X9" s="703"/>
      <c r="Y9" s="366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8"/>
      <c r="Q11" s="1343">
        <f t="shared" si="6"/>
        <v>111</v>
      </c>
      <c r="R11" s="701" t="s">
        <v>14</v>
      </c>
      <c r="S11" s="702">
        <f t="shared" si="0"/>
        <v>100</v>
      </c>
      <c r="T11" s="701" t="s">
        <v>14</v>
      </c>
      <c r="U11" s="702">
        <f t="shared" si="1"/>
        <v>100</v>
      </c>
      <c r="V11" s="701" t="s">
        <v>14</v>
      </c>
      <c r="W11" s="702">
        <f t="shared" si="2"/>
        <v>100</v>
      </c>
      <c r="X11" s="703"/>
      <c r="Y11" s="36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1"/>
      <c r="Q15" s="1352"/>
      <c r="R15" s="705"/>
      <c r="S15" s="706"/>
      <c r="T15" s="705"/>
      <c r="U15" s="706"/>
      <c r="V15" s="705"/>
      <c r="W15" s="706"/>
      <c r="X15" s="1355"/>
      <c r="Y15" s="373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1"/>
      <c r="Q17" s="1352"/>
      <c r="R17" s="705"/>
      <c r="S17" s="706"/>
      <c r="T17" s="705"/>
      <c r="U17" s="706"/>
      <c r="V17" s="705"/>
      <c r="W17" s="706"/>
      <c r="X17" s="1355"/>
      <c r="Y17" s="373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1"/>
      <c r="Q19" s="1352"/>
      <c r="R19" s="705"/>
      <c r="S19" s="706"/>
      <c r="T19" s="705"/>
      <c r="U19" s="706"/>
      <c r="V19" s="705"/>
      <c r="W19" s="706"/>
      <c r="X19" s="1355"/>
      <c r="Y19" s="373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1"/>
      <c r="Q21" s="1352"/>
      <c r="R21" s="705"/>
      <c r="S21" s="706"/>
      <c r="T21" s="705"/>
      <c r="U21" s="706"/>
      <c r="V21" s="705"/>
      <c r="W21" s="706"/>
      <c r="X21" s="1355"/>
      <c r="Y21" s="373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1"/>
      <c r="Q24" s="1352">
        <f t="shared" ref="Q24:Q36"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5"/>
      <c r="Q28" s="1352" t="str">
        <f t="shared" si="11"/>
        <v>公共部分装修</v>
      </c>
      <c r="R28" s="705" t="s">
        <v>14</v>
      </c>
      <c r="S28" s="706">
        <f t="shared" si="12"/>
        <v>100</v>
      </c>
      <c r="T28" s="705" t="s">
        <v>14</v>
      </c>
      <c r="U28" s="706">
        <f t="shared" si="13"/>
        <v>100</v>
      </c>
      <c r="V28" s="705" t="s">
        <v>14</v>
      </c>
      <c r="W28" s="706">
        <f t="shared" si="14"/>
        <v>100</v>
      </c>
      <c r="X28" s="1355"/>
      <c r="Y28" s="373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5"/>
      <c r="Q29" s="1352" t="str">
        <f t="shared" si="11"/>
        <v>成新率</v>
      </c>
      <c r="R29" s="705" t="s">
        <v>14</v>
      </c>
      <c r="S29" s="706" t="e">
        <f t="shared" si="12"/>
        <v>#N/A</v>
      </c>
      <c r="T29" s="705" t="s">
        <v>14</v>
      </c>
      <c r="U29" s="706" t="e">
        <f t="shared" si="13"/>
        <v>#N/A</v>
      </c>
      <c r="V29" s="705" t="s">
        <v>14</v>
      </c>
      <c r="W29" s="706" t="e">
        <f t="shared" si="14"/>
        <v>#N/A</v>
      </c>
      <c r="X29" s="1355"/>
      <c r="Y29" s="373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5"/>
      <c r="Q30" s="1352" t="str">
        <f t="shared" si="11"/>
        <v>物业等级</v>
      </c>
      <c r="R30" s="705" t="s">
        <v>14</v>
      </c>
      <c r="S30" s="706">
        <f t="shared" si="12"/>
        <v>100</v>
      </c>
      <c r="T30" s="705" t="s">
        <v>14</v>
      </c>
      <c r="U30" s="706">
        <f t="shared" si="13"/>
        <v>100</v>
      </c>
      <c r="V30" s="705" t="s">
        <v>14</v>
      </c>
      <c r="W30" s="706">
        <f t="shared" si="14"/>
        <v>100</v>
      </c>
      <c r="X30" s="1355"/>
      <c r="Y30" s="373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5"/>
      <c r="Q31" s="1343" t="str">
        <f t="shared" si="11"/>
        <v>停车位面积</v>
      </c>
      <c r="R31" s="701" t="s">
        <v>14</v>
      </c>
      <c r="S31" s="702" t="e">
        <f t="shared" si="12"/>
        <v>#N/A</v>
      </c>
      <c r="T31" s="701" t="s">
        <v>14</v>
      </c>
      <c r="U31" s="702" t="e">
        <f t="shared" si="13"/>
        <v>#N/A</v>
      </c>
      <c r="V31" s="701" t="s">
        <v>14</v>
      </c>
      <c r="W31" s="702" t="e">
        <f t="shared" si="14"/>
        <v>#N/A</v>
      </c>
      <c r="X31" s="703"/>
      <c r="Y31" s="373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5" t="s">
        <v>1696</v>
      </c>
      <c r="Q32" s="1352" t="str">
        <f t="shared" si="11"/>
        <v>车位类型</v>
      </c>
      <c r="R32" s="705" t="s">
        <v>14</v>
      </c>
      <c r="S32" s="706">
        <f t="shared" si="12"/>
        <v>100</v>
      </c>
      <c r="T32" s="705" t="s">
        <v>14</v>
      </c>
      <c r="U32" s="706">
        <f t="shared" si="13"/>
        <v>100</v>
      </c>
      <c r="V32" s="705" t="s">
        <v>14</v>
      </c>
      <c r="W32" s="706">
        <f t="shared" si="14"/>
        <v>100</v>
      </c>
      <c r="X32" s="1355"/>
      <c r="Y32" s="373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5"/>
      <c r="Q33" s="1352" t="str">
        <f t="shared" si="11"/>
        <v>是否直接入户</v>
      </c>
      <c r="R33" s="705" t="s">
        <v>14</v>
      </c>
      <c r="S33" s="706">
        <f t="shared" si="12"/>
        <v>100</v>
      </c>
      <c r="T33" s="705" t="s">
        <v>14</v>
      </c>
      <c r="U33" s="706">
        <f t="shared" si="13"/>
        <v>100</v>
      </c>
      <c r="V33" s="705" t="s">
        <v>14</v>
      </c>
      <c r="W33" s="706">
        <f t="shared" si="14"/>
        <v>100</v>
      </c>
      <c r="X33" s="1355"/>
      <c r="Y33" s="373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5"/>
      <c r="Q36" s="1352">
        <f t="shared" si="11"/>
        <v>111</v>
      </c>
      <c r="R36" s="705" t="s">
        <v>14</v>
      </c>
      <c r="S36" s="706">
        <f t="shared" si="12"/>
        <v>100</v>
      </c>
      <c r="T36" s="705" t="s">
        <v>14</v>
      </c>
      <c r="U36" s="706">
        <f t="shared" si="13"/>
        <v>100</v>
      </c>
      <c r="V36" s="705" t="s">
        <v>14</v>
      </c>
      <c r="W36" s="706">
        <f t="shared" si="14"/>
        <v>100</v>
      </c>
      <c r="X36" s="1355"/>
      <c r="Y36" s="373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5" t="str">
        <f>A39</f>
        <v>估价对象XX用房的比较价值（楼面单价，元/平方米）</v>
      </c>
      <c r="Q39" s="3726"/>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2022-9</v>
      </c>
      <c r="D48" s="1185">
        <f>EDATE(C48,-1)</f>
        <v>44774</v>
      </c>
      <c r="E48" s="1185">
        <f t="shared" ref="E48:O48" si="16">EDATE(D48,-1)</f>
        <v>44743</v>
      </c>
      <c r="F48" s="1185">
        <f t="shared" si="16"/>
        <v>44713</v>
      </c>
      <c r="G48" s="1185">
        <f t="shared" si="16"/>
        <v>44682</v>
      </c>
      <c r="H48" s="1185">
        <f t="shared" si="16"/>
        <v>44652</v>
      </c>
      <c r="I48" s="1185">
        <f t="shared" si="16"/>
        <v>44621</v>
      </c>
      <c r="J48" s="1185">
        <f t="shared" si="16"/>
        <v>44593</v>
      </c>
      <c r="K48" s="1185">
        <f t="shared" si="16"/>
        <v>44562</v>
      </c>
      <c r="L48" s="1185">
        <f t="shared" si="16"/>
        <v>44531</v>
      </c>
      <c r="M48" s="1185">
        <f t="shared" si="16"/>
        <v>44501</v>
      </c>
      <c r="N48" s="1185">
        <f t="shared" si="16"/>
        <v>44470</v>
      </c>
      <c r="O48" s="1185">
        <f t="shared" si="16"/>
        <v>44440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7" t="s">
        <v>1771</v>
      </c>
      <c r="S4" s="3698"/>
      <c r="T4" s="3697" t="s">
        <v>1772</v>
      </c>
      <c r="U4" s="3698"/>
      <c r="V4" s="3723" t="s">
        <v>1773</v>
      </c>
      <c r="W4" s="3723"/>
      <c r="X4" s="1355"/>
      <c r="Y4" s="3697" t="s">
        <v>1775</v>
      </c>
      <c r="Z4" s="3698"/>
      <c r="AA4" s="3692" t="s">
        <v>1771</v>
      </c>
      <c r="AB4" s="3693" t="s">
        <v>1772</v>
      </c>
      <c r="AC4" s="3692" t="s">
        <v>1773</v>
      </c>
    </row>
    <row r="5" spans="1:29" ht="15">
      <c r="A5" s="358"/>
      <c r="B5" s="359"/>
      <c r="C5" s="3707" t="s">
        <v>1673</v>
      </c>
      <c r="D5" s="3704"/>
      <c r="E5" s="3701" t="s">
        <v>1674</v>
      </c>
      <c r="F5" s="3702"/>
      <c r="G5" s="3707" t="s">
        <v>1675</v>
      </c>
      <c r="H5" s="3704"/>
      <c r="I5" s="3707" t="s">
        <v>1676</v>
      </c>
      <c r="J5" s="3704"/>
      <c r="K5" s="559"/>
      <c r="L5" s="2715"/>
      <c r="M5" s="2716"/>
      <c r="N5" s="2716"/>
      <c r="O5" s="2716"/>
      <c r="P5" s="3717"/>
      <c r="Q5" s="3718"/>
      <c r="R5" s="3699"/>
      <c r="S5" s="3700"/>
      <c r="T5" s="3699"/>
      <c r="U5" s="3700"/>
      <c r="V5" s="3723"/>
      <c r="W5" s="3723"/>
      <c r="X5" s="1355"/>
      <c r="Y5" s="3699"/>
      <c r="Z5" s="3700"/>
      <c r="AA5" s="3693"/>
      <c r="AB5" s="3693"/>
      <c r="AC5" s="3693"/>
    </row>
    <row r="6" spans="1:29" ht="15.75" thickBot="1">
      <c r="A6" s="360"/>
      <c r="B6" s="361"/>
      <c r="C6" s="3705" t="s">
        <v>1677</v>
      </c>
      <c r="D6" s="3706"/>
      <c r="E6" s="3708" t="s">
        <v>1677</v>
      </c>
      <c r="F6" s="3709"/>
      <c r="G6" s="3705" t="s">
        <v>1677</v>
      </c>
      <c r="H6" s="3706"/>
      <c r="I6" s="3705" t="s">
        <v>1677</v>
      </c>
      <c r="J6" s="3706"/>
      <c r="K6" s="559" t="s">
        <v>1678</v>
      </c>
      <c r="L6" s="2715"/>
      <c r="M6" s="2716"/>
      <c r="N6" s="2716"/>
      <c r="O6" s="2716"/>
      <c r="P6" s="3719"/>
      <c r="Q6" s="3720"/>
      <c r="R6" s="3699"/>
      <c r="S6" s="3700"/>
      <c r="T6" s="3721"/>
      <c r="U6" s="3722"/>
      <c r="V6" s="3723"/>
      <c r="W6" s="3723"/>
      <c r="X6" s="1355"/>
      <c r="Y6" s="3721"/>
      <c r="Z6" s="3722"/>
      <c r="AA6" s="3694"/>
      <c r="AB6" s="3694"/>
      <c r="AC6" s="3694"/>
    </row>
    <row r="7" spans="1:29" s="108" customFormat="1" ht="15.75" thickBot="1">
      <c r="A7" s="362" t="s">
        <v>1679</v>
      </c>
      <c r="B7" s="363"/>
      <c r="C7" s="364">
        <f>'数据-取费表'!B2</f>
        <v>44821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4"/>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8" t="s">
        <v>1686</v>
      </c>
      <c r="Q9" s="1343" t="str">
        <f t="shared" ref="Q9:Q14" si="6">B9</f>
        <v>用途</v>
      </c>
      <c r="R9" s="701" t="s">
        <v>14</v>
      </c>
      <c r="S9" s="702">
        <f t="shared" si="0"/>
        <v>100</v>
      </c>
      <c r="T9" s="701" t="s">
        <v>14</v>
      </c>
      <c r="U9" s="702">
        <f t="shared" si="1"/>
        <v>100</v>
      </c>
      <c r="V9" s="701" t="s">
        <v>14</v>
      </c>
      <c r="W9" s="702">
        <f t="shared" si="2"/>
        <v>100</v>
      </c>
      <c r="X9" s="703"/>
      <c r="Y9" s="366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8"/>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8"/>
      <c r="Q11" s="1343">
        <f t="shared" si="6"/>
        <v>111</v>
      </c>
      <c r="R11" s="701" t="s">
        <v>14</v>
      </c>
      <c r="S11" s="702">
        <f t="shared" si="0"/>
        <v>100</v>
      </c>
      <c r="T11" s="701" t="s">
        <v>14</v>
      </c>
      <c r="U11" s="702">
        <f t="shared" si="1"/>
        <v>100</v>
      </c>
      <c r="V11" s="701" t="s">
        <v>14</v>
      </c>
      <c r="W11" s="702">
        <f t="shared" si="2"/>
        <v>100</v>
      </c>
      <c r="X11" s="703"/>
      <c r="Y11" s="366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1"/>
      <c r="Q15" s="1352"/>
      <c r="R15" s="705"/>
      <c r="S15" s="706"/>
      <c r="T15" s="705"/>
      <c r="U15" s="706"/>
      <c r="V15" s="705"/>
      <c r="W15" s="706"/>
      <c r="X15" s="1355"/>
      <c r="Y15" s="373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1"/>
      <c r="Q17" s="1352"/>
      <c r="R17" s="705"/>
      <c r="S17" s="706"/>
      <c r="T17" s="705"/>
      <c r="U17" s="706"/>
      <c r="V17" s="705"/>
      <c r="W17" s="706"/>
      <c r="X17" s="1355"/>
      <c r="Y17" s="373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1"/>
      <c r="Q19" s="1352"/>
      <c r="R19" s="705"/>
      <c r="S19" s="706"/>
      <c r="T19" s="705"/>
      <c r="U19" s="706"/>
      <c r="V19" s="705"/>
      <c r="W19" s="706"/>
      <c r="X19" s="1355"/>
      <c r="Y19" s="373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1"/>
      <c r="Q21" s="1352"/>
      <c r="R21" s="705"/>
      <c r="S21" s="706"/>
      <c r="T21" s="705"/>
      <c r="U21" s="706"/>
      <c r="V21" s="705"/>
      <c r="W21" s="706"/>
      <c r="X21" s="1355"/>
      <c r="Y21" s="373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1"/>
      <c r="Q24" s="1352">
        <f t="shared" ref="Q24:Q34"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5"/>
      <c r="Q27" s="707" t="str">
        <f t="shared" si="11"/>
        <v>成新率</v>
      </c>
      <c r="R27" s="708" t="s">
        <v>14</v>
      </c>
      <c r="S27" s="709" t="e">
        <f t="shared" si="12"/>
        <v>#N/A</v>
      </c>
      <c r="T27" s="708" t="s">
        <v>14</v>
      </c>
      <c r="U27" s="709" t="e">
        <f t="shared" si="13"/>
        <v>#N/A</v>
      </c>
      <c r="V27" s="708" t="s">
        <v>14</v>
      </c>
      <c r="W27" s="709" t="e">
        <f t="shared" si="14"/>
        <v>#N/A</v>
      </c>
      <c r="X27" s="710"/>
      <c r="Y27" s="373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5"/>
      <c r="Q28" s="1352" t="str">
        <f t="shared" si="11"/>
        <v>物业等级</v>
      </c>
      <c r="R28" s="705" t="s">
        <v>14</v>
      </c>
      <c r="S28" s="706">
        <f t="shared" si="12"/>
        <v>100</v>
      </c>
      <c r="T28" s="705" t="s">
        <v>14</v>
      </c>
      <c r="U28" s="706">
        <f t="shared" si="13"/>
        <v>100</v>
      </c>
      <c r="V28" s="705" t="s">
        <v>14</v>
      </c>
      <c r="W28" s="706">
        <f t="shared" si="14"/>
        <v>100</v>
      </c>
      <c r="X28" s="1355"/>
      <c r="Y28" s="373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5"/>
      <c r="Q29" s="1352" t="str">
        <f t="shared" si="11"/>
        <v>有无电梯</v>
      </c>
      <c r="R29" s="705" t="s">
        <v>14</v>
      </c>
      <c r="S29" s="706">
        <f t="shared" si="12"/>
        <v>100</v>
      </c>
      <c r="T29" s="705" t="s">
        <v>14</v>
      </c>
      <c r="U29" s="706">
        <f t="shared" si="13"/>
        <v>100</v>
      </c>
      <c r="V29" s="705" t="s">
        <v>14</v>
      </c>
      <c r="W29" s="706">
        <f t="shared" si="14"/>
        <v>100</v>
      </c>
      <c r="X29" s="1355"/>
      <c r="Y29" s="373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5"/>
      <c r="Q30" s="1352" t="str">
        <f t="shared" si="11"/>
        <v>建筑面积</v>
      </c>
      <c r="R30" s="705" t="s">
        <v>14</v>
      </c>
      <c r="S30" s="706" t="e">
        <f t="shared" si="12"/>
        <v>#N/A</v>
      </c>
      <c r="T30" s="705" t="s">
        <v>14</v>
      </c>
      <c r="U30" s="706" t="e">
        <f t="shared" si="13"/>
        <v>#N/A</v>
      </c>
      <c r="V30" s="705" t="s">
        <v>14</v>
      </c>
      <c r="W30" s="706" t="e">
        <f t="shared" si="14"/>
        <v>#N/A</v>
      </c>
      <c r="X30" s="1355"/>
      <c r="Y30" s="373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5"/>
      <c r="Q31" s="1343"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5" t="s">
        <v>1696</v>
      </c>
      <c r="Q32" s="1352">
        <f t="shared" si="11"/>
        <v>111</v>
      </c>
      <c r="R32" s="705" t="s">
        <v>14</v>
      </c>
      <c r="S32" s="706">
        <f t="shared" si="12"/>
        <v>100</v>
      </c>
      <c r="T32" s="705" t="s">
        <v>14</v>
      </c>
      <c r="U32" s="706">
        <f t="shared" si="13"/>
        <v>100</v>
      </c>
      <c r="V32" s="705" t="s">
        <v>14</v>
      </c>
      <c r="W32" s="706">
        <f t="shared" si="14"/>
        <v>100</v>
      </c>
      <c r="X32" s="1355"/>
      <c r="Y32" s="373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5"/>
      <c r="Q33" s="1352">
        <f t="shared" si="11"/>
        <v>111</v>
      </c>
      <c r="R33" s="705" t="s">
        <v>14</v>
      </c>
      <c r="S33" s="706">
        <f t="shared" si="12"/>
        <v>100</v>
      </c>
      <c r="T33" s="705" t="s">
        <v>14</v>
      </c>
      <c r="U33" s="706">
        <f t="shared" si="13"/>
        <v>100</v>
      </c>
      <c r="V33" s="705" t="s">
        <v>14</v>
      </c>
      <c r="W33" s="706">
        <f t="shared" si="14"/>
        <v>100</v>
      </c>
      <c r="X33" s="1355"/>
      <c r="Y33" s="373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5" t="str">
        <f>A37</f>
        <v>估价对象XX用房的比较价值（楼面单价，元/平方米）</v>
      </c>
      <c r="Q37" s="3726"/>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2022-9</v>
      </c>
      <c r="D46" s="1185">
        <f>EDATE(C46,-1)</f>
        <v>44774</v>
      </c>
      <c r="E46" s="1185">
        <f t="shared" ref="E46:O46" si="16">EDATE(D46,-1)</f>
        <v>44743</v>
      </c>
      <c r="F46" s="1185">
        <f t="shared" si="16"/>
        <v>44713</v>
      </c>
      <c r="G46" s="1185">
        <f t="shared" si="16"/>
        <v>44682</v>
      </c>
      <c r="H46" s="1185">
        <f t="shared" si="16"/>
        <v>44652</v>
      </c>
      <c r="I46" s="1185">
        <f t="shared" si="16"/>
        <v>44621</v>
      </c>
      <c r="J46" s="1185">
        <f t="shared" si="16"/>
        <v>44593</v>
      </c>
      <c r="K46" s="1185">
        <f t="shared" si="16"/>
        <v>44562</v>
      </c>
      <c r="L46" s="1185">
        <f t="shared" si="16"/>
        <v>44531</v>
      </c>
      <c r="M46" s="1185">
        <f t="shared" si="16"/>
        <v>44501</v>
      </c>
      <c r="N46" s="1185">
        <f t="shared" si="16"/>
        <v>44470</v>
      </c>
      <c r="O46" s="1185">
        <f t="shared" si="16"/>
        <v>44440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7" t="s">
        <v>1771</v>
      </c>
      <c r="S4" s="3698"/>
      <c r="T4" s="3697" t="s">
        <v>1772</v>
      </c>
      <c r="U4" s="3698"/>
      <c r="V4" s="3723" t="s">
        <v>1773</v>
      </c>
      <c r="W4" s="3723"/>
      <c r="X4" s="1355"/>
      <c r="Y4" s="3697" t="s">
        <v>1775</v>
      </c>
      <c r="Z4" s="3698"/>
      <c r="AA4" s="3692" t="s">
        <v>1771</v>
      </c>
      <c r="AB4" s="3693" t="s">
        <v>1772</v>
      </c>
      <c r="AC4" s="3692" t="s">
        <v>1773</v>
      </c>
    </row>
    <row r="5" spans="1:30" ht="15">
      <c r="A5" s="358"/>
      <c r="B5" s="359"/>
      <c r="C5" s="3707" t="s">
        <v>1673</v>
      </c>
      <c r="D5" s="3704"/>
      <c r="E5" s="3701" t="s">
        <v>1674</v>
      </c>
      <c r="F5" s="3702"/>
      <c r="G5" s="3707" t="s">
        <v>1675</v>
      </c>
      <c r="H5" s="3704"/>
      <c r="I5" s="3707" t="s">
        <v>1676</v>
      </c>
      <c r="J5" s="3704"/>
      <c r="K5" s="559"/>
      <c r="L5" s="2715"/>
      <c r="M5" s="2716"/>
      <c r="N5" s="2716"/>
      <c r="O5" s="2716"/>
      <c r="P5" s="3717"/>
      <c r="Q5" s="3718"/>
      <c r="R5" s="3699"/>
      <c r="S5" s="3700"/>
      <c r="T5" s="3699"/>
      <c r="U5" s="3700"/>
      <c r="V5" s="3723"/>
      <c r="W5" s="3723"/>
      <c r="X5" s="1355"/>
      <c r="Y5" s="3699"/>
      <c r="Z5" s="3700"/>
      <c r="AA5" s="3693"/>
      <c r="AB5" s="3693"/>
      <c r="AC5" s="3693"/>
    </row>
    <row r="6" spans="1:30" ht="15.75" thickBot="1">
      <c r="A6" s="360"/>
      <c r="B6" s="361"/>
      <c r="C6" s="3705" t="s">
        <v>1677</v>
      </c>
      <c r="D6" s="3706"/>
      <c r="E6" s="3708" t="s">
        <v>1677</v>
      </c>
      <c r="F6" s="3709"/>
      <c r="G6" s="3705" t="s">
        <v>1677</v>
      </c>
      <c r="H6" s="3706"/>
      <c r="I6" s="3705" t="s">
        <v>1677</v>
      </c>
      <c r="J6" s="3706"/>
      <c r="K6" s="559" t="s">
        <v>1678</v>
      </c>
      <c r="L6" s="2715"/>
      <c r="M6" s="2716"/>
      <c r="N6" s="2716"/>
      <c r="O6" s="2716"/>
      <c r="P6" s="3719"/>
      <c r="Q6" s="3720"/>
      <c r="R6" s="3699"/>
      <c r="S6" s="3700"/>
      <c r="T6" s="3721"/>
      <c r="U6" s="3722"/>
      <c r="V6" s="3723"/>
      <c r="W6" s="3723"/>
      <c r="X6" s="1355"/>
      <c r="Y6" s="3721"/>
      <c r="Z6" s="3722"/>
      <c r="AA6" s="3694"/>
      <c r="AB6" s="3694"/>
      <c r="AC6" s="3694"/>
    </row>
    <row r="7" spans="1:30" s="108" customFormat="1" ht="15.75" thickBot="1">
      <c r="A7" s="362" t="s">
        <v>1679</v>
      </c>
      <c r="B7" s="363"/>
      <c r="C7" s="364">
        <f>'数据-取费表'!B2</f>
        <v>44821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4"/>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728"/>
      <c r="Q10" s="1343" t="str">
        <f t="shared" si="6"/>
        <v>土地使用年限（年）</v>
      </c>
      <c r="R10" s="701" t="s">
        <v>14</v>
      </c>
      <c r="S10" s="702">
        <f t="shared" si="0"/>
        <v>110</v>
      </c>
      <c r="T10" s="701" t="s">
        <v>14</v>
      </c>
      <c r="U10" s="702">
        <f t="shared" si="1"/>
        <v>110</v>
      </c>
      <c r="V10" s="701" t="s">
        <v>14</v>
      </c>
      <c r="W10" s="702">
        <f t="shared" si="2"/>
        <v>110</v>
      </c>
      <c r="X10" s="703"/>
      <c r="Y10" s="3665"/>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8"/>
      <c r="Q12" s="1343" t="str">
        <f t="shared" si="6"/>
        <v>配建</v>
      </c>
      <c r="R12" s="701" t="s">
        <v>14</v>
      </c>
      <c r="S12" s="702">
        <f t="shared" si="0"/>
        <v>100</v>
      </c>
      <c r="T12" s="701" t="s">
        <v>14</v>
      </c>
      <c r="U12" s="702">
        <f t="shared" si="1"/>
        <v>100</v>
      </c>
      <c r="V12" s="701" t="s">
        <v>14</v>
      </c>
      <c r="W12" s="702">
        <f t="shared" si="2"/>
        <v>100</v>
      </c>
      <c r="X12" s="703"/>
      <c r="Y12" s="366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6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6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0" t="s">
        <v>1691</v>
      </c>
      <c r="Q15" s="1352" t="str">
        <f t="shared" si="6"/>
        <v>居住社区成熟度</v>
      </c>
      <c r="R15" s="705" t="s">
        <v>14</v>
      </c>
      <c r="S15" s="706">
        <f t="shared" si="0"/>
        <v>100</v>
      </c>
      <c r="T15" s="705" t="s">
        <v>14</v>
      </c>
      <c r="U15" s="706">
        <f t="shared" si="1"/>
        <v>100</v>
      </c>
      <c r="V15" s="705" t="s">
        <v>14</v>
      </c>
      <c r="W15" s="706">
        <f t="shared" si="2"/>
        <v>100</v>
      </c>
      <c r="X15" s="1355"/>
      <c r="Y15" s="373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1"/>
      <c r="Q17" s="1352" t="str">
        <f>B17</f>
        <v>商业繁华度</v>
      </c>
      <c r="R17" s="705" t="s">
        <v>14</v>
      </c>
      <c r="S17" s="706">
        <f>F17</f>
        <v>100</v>
      </c>
      <c r="T17" s="705" t="s">
        <v>14</v>
      </c>
      <c r="U17" s="706">
        <f>H17</f>
        <v>100</v>
      </c>
      <c r="V17" s="705" t="s">
        <v>14</v>
      </c>
      <c r="W17" s="706">
        <f>J17</f>
        <v>100</v>
      </c>
      <c r="X17" s="1355"/>
      <c r="Y17" s="373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1"/>
      <c r="Q19" s="1352" t="str">
        <f>B19</f>
        <v>办公集聚程度</v>
      </c>
      <c r="R19" s="705" t="s">
        <v>14</v>
      </c>
      <c r="S19" s="706">
        <f>F19</f>
        <v>100</v>
      </c>
      <c r="T19" s="705" t="s">
        <v>14</v>
      </c>
      <c r="U19" s="706">
        <f>H19</f>
        <v>100</v>
      </c>
      <c r="V19" s="705" t="s">
        <v>14</v>
      </c>
      <c r="W19" s="706">
        <f>J19</f>
        <v>100</v>
      </c>
      <c r="X19" s="1355"/>
      <c r="Y19" s="373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1"/>
      <c r="Q20" s="1352"/>
      <c r="R20" s="705"/>
      <c r="S20" s="706"/>
      <c r="T20" s="705"/>
      <c r="U20" s="706"/>
      <c r="V20" s="705"/>
      <c r="W20" s="706"/>
      <c r="X20" s="1355"/>
      <c r="Y20" s="373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1"/>
      <c r="Q21" s="1352" t="str">
        <f>B21</f>
        <v>交通便捷度</v>
      </c>
      <c r="R21" s="705" t="s">
        <v>14</v>
      </c>
      <c r="S21" s="706">
        <f>F21</f>
        <v>100</v>
      </c>
      <c r="T21" s="705" t="s">
        <v>14</v>
      </c>
      <c r="U21" s="706">
        <f>H21</f>
        <v>100</v>
      </c>
      <c r="V21" s="705" t="s">
        <v>14</v>
      </c>
      <c r="W21" s="706">
        <f>J21</f>
        <v>100</v>
      </c>
      <c r="X21" s="1355"/>
      <c r="Y21" s="373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1"/>
      <c r="Q23" s="1352" t="str">
        <f t="shared" ref="Q23:Q37" si="8">B23</f>
        <v>区域土地利用方向</v>
      </c>
      <c r="R23" s="705" t="s">
        <v>14</v>
      </c>
      <c r="S23" s="706">
        <f>F23</f>
        <v>100</v>
      </c>
      <c r="T23" s="705" t="s">
        <v>14</v>
      </c>
      <c r="U23" s="706">
        <f>H23</f>
        <v>100</v>
      </c>
      <c r="V23" s="705" t="s">
        <v>14</v>
      </c>
      <c r="W23" s="706">
        <f>J23</f>
        <v>100</v>
      </c>
      <c r="X23" s="1355"/>
      <c r="Y23" s="373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1"/>
      <c r="Q24" s="1352"/>
      <c r="R24" s="705"/>
      <c r="S24" s="706"/>
      <c r="T24" s="705"/>
      <c r="U24" s="706"/>
      <c r="V24" s="705"/>
      <c r="W24" s="706"/>
      <c r="X24" s="1355"/>
      <c r="Y24" s="373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1"/>
      <c r="Q25" s="1352" t="str">
        <f t="shared" si="8"/>
        <v>自然及人文环境状况</v>
      </c>
      <c r="R25" s="705" t="s">
        <v>14</v>
      </c>
      <c r="S25" s="706">
        <f>F25</f>
        <v>100</v>
      </c>
      <c r="T25" s="705" t="s">
        <v>14</v>
      </c>
      <c r="U25" s="706">
        <f>H25</f>
        <v>100</v>
      </c>
      <c r="V25" s="705" t="s">
        <v>14</v>
      </c>
      <c r="W25" s="706">
        <f>J25</f>
        <v>100</v>
      </c>
      <c r="X25" s="1355"/>
      <c r="Y25" s="373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1"/>
      <c r="Q26" s="1352"/>
      <c r="R26" s="705"/>
      <c r="S26" s="706"/>
      <c r="T26" s="705"/>
      <c r="U26" s="706"/>
      <c r="V26" s="705"/>
      <c r="W26" s="706"/>
      <c r="X26" s="1355"/>
      <c r="Y26" s="373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1"/>
      <c r="Q27" s="1343" t="str">
        <f t="shared" si="8"/>
        <v>公共配套设施</v>
      </c>
      <c r="R27" s="701" t="s">
        <v>14</v>
      </c>
      <c r="S27" s="702">
        <f>F27</f>
        <v>100</v>
      </c>
      <c r="T27" s="701" t="s">
        <v>14</v>
      </c>
      <c r="U27" s="702">
        <f>H27</f>
        <v>100</v>
      </c>
      <c r="V27" s="701" t="s">
        <v>14</v>
      </c>
      <c r="W27" s="702">
        <f>J27</f>
        <v>100</v>
      </c>
      <c r="X27" s="703"/>
      <c r="Y27" s="373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1"/>
      <c r="Q28" s="1343"/>
      <c r="R28" s="701"/>
      <c r="S28" s="702"/>
      <c r="T28" s="701"/>
      <c r="U28" s="702"/>
      <c r="V28" s="701"/>
      <c r="W28" s="702"/>
      <c r="X28" s="703"/>
      <c r="Y28" s="373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1"/>
      <c r="Q29" s="1343" t="str">
        <f t="shared" ref="Q29" si="9">B29</f>
        <v>基础设施水平</v>
      </c>
      <c r="R29" s="701" t="s">
        <v>14</v>
      </c>
      <c r="S29" s="702">
        <f>F29</f>
        <v>100</v>
      </c>
      <c r="T29" s="701" t="s">
        <v>14</v>
      </c>
      <c r="U29" s="702">
        <f>H29</f>
        <v>100</v>
      </c>
      <c r="V29" s="701" t="s">
        <v>14</v>
      </c>
      <c r="W29" s="702">
        <f>J29</f>
        <v>100</v>
      </c>
      <c r="X29" s="703"/>
      <c r="Y29" s="373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1"/>
      <c r="Q30" s="1343"/>
      <c r="R30" s="701"/>
      <c r="S30" s="702"/>
      <c r="T30" s="701"/>
      <c r="U30" s="702"/>
      <c r="V30" s="701"/>
      <c r="W30" s="702"/>
      <c r="X30" s="703"/>
      <c r="Y30" s="373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1"/>
      <c r="Q32" s="1352" t="str">
        <f t="shared" si="8"/>
        <v>毗邻道路的类型与等级</v>
      </c>
      <c r="R32" s="705" t="s">
        <v>14</v>
      </c>
      <c r="S32" s="706">
        <f t="shared" si="10"/>
        <v>100</v>
      </c>
      <c r="T32" s="705" t="s">
        <v>14</v>
      </c>
      <c r="U32" s="706">
        <f t="shared" si="11"/>
        <v>100</v>
      </c>
      <c r="V32" s="705" t="s">
        <v>14</v>
      </c>
      <c r="W32" s="706">
        <f t="shared" si="12"/>
        <v>100</v>
      </c>
      <c r="X32" s="1355"/>
      <c r="Y32" s="373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1"/>
      <c r="Q33" s="1352"/>
      <c r="R33" s="705"/>
      <c r="S33" s="706"/>
      <c r="T33" s="705"/>
      <c r="U33" s="706"/>
      <c r="V33" s="705"/>
      <c r="W33" s="706"/>
      <c r="X33" s="1355"/>
      <c r="Y33" s="373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1"/>
      <c r="Q34" s="1352" t="str">
        <f t="shared" si="8"/>
        <v>土地级别</v>
      </c>
      <c r="R34" s="705" t="s">
        <v>14</v>
      </c>
      <c r="S34" s="706">
        <f t="shared" si="10"/>
        <v>100</v>
      </c>
      <c r="T34" s="705" t="s">
        <v>14</v>
      </c>
      <c r="U34" s="706">
        <f t="shared" si="11"/>
        <v>100</v>
      </c>
      <c r="V34" s="705" t="s">
        <v>14</v>
      </c>
      <c r="W34" s="706">
        <f t="shared" si="12"/>
        <v>100</v>
      </c>
      <c r="X34" s="1355"/>
      <c r="Y34" s="373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1"/>
      <c r="Q35" s="1352">
        <f t="shared" si="8"/>
        <v>111</v>
      </c>
      <c r="R35" s="705" t="s">
        <v>14</v>
      </c>
      <c r="S35" s="706">
        <f t="shared" si="10"/>
        <v>100</v>
      </c>
      <c r="T35" s="705" t="s">
        <v>14</v>
      </c>
      <c r="U35" s="706">
        <f t="shared" si="11"/>
        <v>100</v>
      </c>
      <c r="V35" s="705" t="s">
        <v>14</v>
      </c>
      <c r="W35" s="706">
        <f t="shared" si="12"/>
        <v>100</v>
      </c>
      <c r="X35" s="1355"/>
      <c r="Y35" s="373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0" t="s">
        <v>1696</v>
      </c>
      <c r="Q36" s="1352">
        <f t="shared" si="8"/>
        <v>111</v>
      </c>
      <c r="R36" s="705" t="s">
        <v>14</v>
      </c>
      <c r="S36" s="706">
        <f t="shared" si="10"/>
        <v>100</v>
      </c>
      <c r="T36" s="705" t="s">
        <v>14</v>
      </c>
      <c r="U36" s="706">
        <f t="shared" si="11"/>
        <v>100</v>
      </c>
      <c r="V36" s="705" t="s">
        <v>14</v>
      </c>
      <c r="W36" s="706">
        <f t="shared" si="12"/>
        <v>100</v>
      </c>
      <c r="X36" s="1355"/>
      <c r="Y36" s="373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5"/>
      <c r="Q37" s="1352">
        <f t="shared" si="8"/>
        <v>111</v>
      </c>
      <c r="R37" s="708" t="s">
        <v>14</v>
      </c>
      <c r="S37" s="709">
        <f t="shared" si="10"/>
        <v>100</v>
      </c>
      <c r="T37" s="708" t="s">
        <v>14</v>
      </c>
      <c r="U37" s="709">
        <f t="shared" si="11"/>
        <v>100</v>
      </c>
      <c r="V37" s="708" t="s">
        <v>14</v>
      </c>
      <c r="W37" s="709">
        <f t="shared" si="12"/>
        <v>100</v>
      </c>
      <c r="X37" s="710"/>
      <c r="Y37" s="373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5"/>
      <c r="Q38" s="1352" t="str">
        <f>B38</f>
        <v>宗地面积</v>
      </c>
      <c r="R38" s="705" t="s">
        <v>14</v>
      </c>
      <c r="S38" s="706" t="e">
        <f t="shared" si="10"/>
        <v>#N/A</v>
      </c>
      <c r="T38" s="705" t="s">
        <v>14</v>
      </c>
      <c r="U38" s="706" t="e">
        <f t="shared" si="11"/>
        <v>#N/A</v>
      </c>
      <c r="V38" s="705" t="s">
        <v>14</v>
      </c>
      <c r="W38" s="706" t="e">
        <f t="shared" si="12"/>
        <v>#N/A</v>
      </c>
      <c r="X38" s="1355"/>
      <c r="Y38" s="373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5"/>
      <c r="Q39" s="1352" t="str">
        <f t="shared" ref="Q39:Q45" si="14">B39</f>
        <v>宗地形状</v>
      </c>
      <c r="R39" s="705" t="s">
        <v>14</v>
      </c>
      <c r="S39" s="706">
        <f t="shared" si="10"/>
        <v>100</v>
      </c>
      <c r="T39" s="705" t="s">
        <v>14</v>
      </c>
      <c r="U39" s="706">
        <f t="shared" si="11"/>
        <v>100</v>
      </c>
      <c r="V39" s="705" t="s">
        <v>14</v>
      </c>
      <c r="W39" s="706">
        <f t="shared" si="12"/>
        <v>100</v>
      </c>
      <c r="X39" s="1355"/>
      <c r="Y39" s="373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5"/>
      <c r="Q40" s="1352" t="str">
        <f t="shared" si="14"/>
        <v>临街宽度及深度</v>
      </c>
      <c r="R40" s="705" t="s">
        <v>14</v>
      </c>
      <c r="S40" s="706">
        <f t="shared" si="10"/>
        <v>100</v>
      </c>
      <c r="T40" s="705" t="s">
        <v>14</v>
      </c>
      <c r="U40" s="706">
        <f t="shared" si="11"/>
        <v>100</v>
      </c>
      <c r="V40" s="705" t="s">
        <v>14</v>
      </c>
      <c r="W40" s="706">
        <f t="shared" si="12"/>
        <v>100</v>
      </c>
      <c r="X40" s="1355"/>
      <c r="Y40" s="373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5"/>
      <c r="Q41" s="1352"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5" t="s">
        <v>1696</v>
      </c>
      <c r="Q42" s="1352" t="str">
        <f t="shared" si="14"/>
        <v>工程地质条件</v>
      </c>
      <c r="R42" s="705" t="s">
        <v>14</v>
      </c>
      <c r="S42" s="706">
        <f t="shared" si="10"/>
        <v>100</v>
      </c>
      <c r="T42" s="705" t="s">
        <v>14</v>
      </c>
      <c r="U42" s="706">
        <f t="shared" si="11"/>
        <v>100</v>
      </c>
      <c r="V42" s="705" t="s">
        <v>14</v>
      </c>
      <c r="W42" s="706">
        <f t="shared" si="12"/>
        <v>100</v>
      </c>
      <c r="X42" s="1355"/>
      <c r="Y42" s="373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5"/>
      <c r="Q43" s="1352">
        <f t="shared" si="14"/>
        <v>111</v>
      </c>
      <c r="R43" s="705" t="s">
        <v>14</v>
      </c>
      <c r="S43" s="706">
        <f t="shared" si="10"/>
        <v>100</v>
      </c>
      <c r="T43" s="705" t="s">
        <v>14</v>
      </c>
      <c r="U43" s="706">
        <f t="shared" si="11"/>
        <v>100</v>
      </c>
      <c r="V43" s="705" t="s">
        <v>14</v>
      </c>
      <c r="W43" s="706">
        <f t="shared" si="12"/>
        <v>100</v>
      </c>
      <c r="X43" s="1355"/>
      <c r="Y43" s="373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5"/>
      <c r="Q44" s="1352">
        <f t="shared" si="14"/>
        <v>111</v>
      </c>
      <c r="R44" s="705" t="s">
        <v>14</v>
      </c>
      <c r="S44" s="706">
        <f t="shared" si="10"/>
        <v>100</v>
      </c>
      <c r="T44" s="705" t="s">
        <v>14</v>
      </c>
      <c r="U44" s="706">
        <f t="shared" si="11"/>
        <v>100</v>
      </c>
      <c r="V44" s="705" t="s">
        <v>14</v>
      </c>
      <c r="W44" s="706">
        <f t="shared" si="12"/>
        <v>100</v>
      </c>
      <c r="X44" s="1355"/>
      <c r="Y44" s="373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5"/>
      <c r="Q45" s="1352">
        <f t="shared" si="14"/>
        <v>111</v>
      </c>
      <c r="R45" s="708" t="s">
        <v>14</v>
      </c>
      <c r="S45" s="709">
        <f t="shared" si="10"/>
        <v>100</v>
      </c>
      <c r="T45" s="708" t="s">
        <v>14</v>
      </c>
      <c r="U45" s="709">
        <f t="shared" si="11"/>
        <v>100</v>
      </c>
      <c r="V45" s="708" t="s">
        <v>14</v>
      </c>
      <c r="W45" s="709">
        <f t="shared" si="12"/>
        <v>100</v>
      </c>
      <c r="X45" s="710"/>
      <c r="Y45" s="373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8" t="str">
        <f>A46</f>
        <v>成交单价</v>
      </c>
      <c r="Q46" s="3728"/>
      <c r="R46" s="3723">
        <f>E46</f>
        <v>0</v>
      </c>
      <c r="S46" s="3723"/>
      <c r="T46" s="3723">
        <f>G46</f>
        <v>0</v>
      </c>
      <c r="U46" s="3723"/>
      <c r="V46" s="3723">
        <f>I46</f>
        <v>0</v>
      </c>
      <c r="W46" s="372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8" t="str">
        <f>A47</f>
        <v>比较价值（元/平方米）</v>
      </c>
      <c r="Q47" s="3728"/>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5" t="str">
        <f>A48</f>
        <v>估价对象XX用房的比较价值（楼面单价，元/平方米）</v>
      </c>
      <c r="Q48" s="3726"/>
      <c r="R48" s="3783" t="e">
        <f>ROUND(IF(D47="简单平均",AVERAGE(R47:W47),R47*F47+T47*H47+V47*J47),0)</f>
        <v>#DIV/0!</v>
      </c>
      <c r="S48" s="3783"/>
      <c r="T48" s="3783"/>
      <c r="U48" s="3783"/>
      <c r="V48" s="3783"/>
      <c r="W48" s="378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8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100.61</v>
      </c>
      <c r="F56" s="886" t="e">
        <f t="shared" ref="F56:F64" si="15">ROUND(B56*E56/10000,0)</f>
        <v>#DIV/0!</v>
      </c>
      <c r="G56" s="3710"/>
      <c r="H56" s="372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100.61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2022-9-1</v>
      </c>
      <c r="D67" s="692">
        <f>EDATE(C67,-3)</f>
        <v>44713</v>
      </c>
      <c r="E67" s="692">
        <f>EDATE(D67,-3)</f>
        <v>44621</v>
      </c>
      <c r="F67" s="692">
        <f t="shared" ref="F67:O67" si="18">EDATE(E67,-3)</f>
        <v>44531</v>
      </c>
      <c r="G67" s="692">
        <f t="shared" si="18"/>
        <v>44440</v>
      </c>
      <c r="H67" s="692">
        <f t="shared" si="18"/>
        <v>44348</v>
      </c>
      <c r="I67" s="692">
        <f t="shared" si="18"/>
        <v>44256</v>
      </c>
      <c r="J67" s="692">
        <f t="shared" si="18"/>
        <v>44166</v>
      </c>
      <c r="K67" s="692">
        <f t="shared" si="18"/>
        <v>44075</v>
      </c>
      <c r="L67" s="692">
        <f t="shared" si="18"/>
        <v>43983</v>
      </c>
      <c r="M67" s="692">
        <f t="shared" si="18"/>
        <v>43891</v>
      </c>
      <c r="N67" s="692">
        <f t="shared" si="18"/>
        <v>43800</v>
      </c>
      <c r="O67" s="692">
        <f t="shared" si="18"/>
        <v>43709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7" t="s">
        <v>1771</v>
      </c>
      <c r="S4" s="3698"/>
      <c r="T4" s="3697" t="s">
        <v>1772</v>
      </c>
      <c r="U4" s="3698"/>
      <c r="V4" s="3723" t="s">
        <v>1773</v>
      </c>
      <c r="W4" s="3723"/>
      <c r="X4" s="1355"/>
      <c r="Y4" s="3697" t="s">
        <v>1775</v>
      </c>
      <c r="Z4" s="3698"/>
      <c r="AA4" s="3692" t="s">
        <v>1771</v>
      </c>
      <c r="AB4" s="3693" t="s">
        <v>1772</v>
      </c>
      <c r="AC4" s="3692" t="s">
        <v>1773</v>
      </c>
    </row>
    <row r="5" spans="1:29" ht="15">
      <c r="A5" s="358"/>
      <c r="B5" s="359"/>
      <c r="C5" s="3707" t="s">
        <v>1673</v>
      </c>
      <c r="D5" s="3704"/>
      <c r="E5" s="3701" t="s">
        <v>1674</v>
      </c>
      <c r="F5" s="3702"/>
      <c r="G5" s="3707" t="s">
        <v>1675</v>
      </c>
      <c r="H5" s="3704"/>
      <c r="I5" s="3707" t="s">
        <v>1676</v>
      </c>
      <c r="J5" s="3704"/>
      <c r="K5" s="559"/>
      <c r="L5" s="2715"/>
      <c r="M5" s="2716"/>
      <c r="N5" s="2716"/>
      <c r="O5" s="2716"/>
      <c r="P5" s="3717"/>
      <c r="Q5" s="3718"/>
      <c r="R5" s="3699"/>
      <c r="S5" s="3700"/>
      <c r="T5" s="3699"/>
      <c r="U5" s="3700"/>
      <c r="V5" s="3723"/>
      <c r="W5" s="3723"/>
      <c r="X5" s="1355"/>
      <c r="Y5" s="3699"/>
      <c r="Z5" s="3700"/>
      <c r="AA5" s="3693"/>
      <c r="AB5" s="3693"/>
      <c r="AC5" s="3693"/>
    </row>
    <row r="6" spans="1:29" ht="15.75" thickBot="1">
      <c r="A6" s="360"/>
      <c r="B6" s="361"/>
      <c r="C6" s="3785" t="s">
        <v>1919</v>
      </c>
      <c r="D6" s="3786"/>
      <c r="E6" s="3787" t="s">
        <v>1919</v>
      </c>
      <c r="F6" s="3788"/>
      <c r="G6" s="3785" t="s">
        <v>1919</v>
      </c>
      <c r="H6" s="3786"/>
      <c r="I6" s="3785" t="s">
        <v>1919</v>
      </c>
      <c r="J6" s="3786"/>
      <c r="K6" s="559" t="s">
        <v>1678</v>
      </c>
      <c r="L6" s="2715"/>
      <c r="M6" s="2716"/>
      <c r="N6" s="2716"/>
      <c r="O6" s="2716"/>
      <c r="P6" s="3719"/>
      <c r="Q6" s="3720"/>
      <c r="R6" s="3699"/>
      <c r="S6" s="3700"/>
      <c r="T6" s="3721"/>
      <c r="U6" s="3722"/>
      <c r="V6" s="3723"/>
      <c r="W6" s="3723"/>
      <c r="X6" s="1355"/>
      <c r="Y6" s="3721"/>
      <c r="Z6" s="3722"/>
      <c r="AA6" s="3694"/>
      <c r="AB6" s="3694"/>
      <c r="AC6" s="3694"/>
    </row>
    <row r="7" spans="1:29" s="108" customFormat="1" ht="15.75" thickBot="1">
      <c r="A7" s="362" t="s">
        <v>1679</v>
      </c>
      <c r="B7" s="363"/>
      <c r="C7" s="364">
        <f>'数据-取费表'!B2</f>
        <v>44821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4"/>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728"/>
      <c r="Q10" s="1343" t="str">
        <f t="shared" si="6"/>
        <v>土地使用年限（年）</v>
      </c>
      <c r="R10" s="701" t="s">
        <v>14</v>
      </c>
      <c r="S10" s="702">
        <f t="shared" si="0"/>
        <v>110</v>
      </c>
      <c r="T10" s="701" t="s">
        <v>14</v>
      </c>
      <c r="U10" s="702">
        <f t="shared" si="1"/>
        <v>110</v>
      </c>
      <c r="V10" s="701" t="s">
        <v>14</v>
      </c>
      <c r="W10" s="702">
        <f t="shared" si="2"/>
        <v>110</v>
      </c>
      <c r="X10" s="703"/>
      <c r="Y10" s="3665"/>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1"/>
      <c r="Q19" s="1352" t="str">
        <f t="shared" ref="Q19:Q33" si="8">B19</f>
        <v>区域土地利用方向</v>
      </c>
      <c r="R19" s="705" t="s">
        <v>14</v>
      </c>
      <c r="S19" s="706">
        <f>F19</f>
        <v>100</v>
      </c>
      <c r="T19" s="705" t="s">
        <v>14</v>
      </c>
      <c r="U19" s="706">
        <f>H19</f>
        <v>100</v>
      </c>
      <c r="V19" s="705" t="s">
        <v>14</v>
      </c>
      <c r="W19" s="706">
        <f>J19</f>
        <v>100</v>
      </c>
      <c r="X19" s="1355"/>
      <c r="Y19" s="373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1"/>
      <c r="Q20" s="1352"/>
      <c r="R20" s="705"/>
      <c r="S20" s="706"/>
      <c r="T20" s="705"/>
      <c r="U20" s="706"/>
      <c r="V20" s="705"/>
      <c r="W20" s="706"/>
      <c r="X20" s="1355"/>
      <c r="Y20" s="373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1"/>
      <c r="Q21" s="1352" t="str">
        <f t="shared" si="8"/>
        <v>环境状况</v>
      </c>
      <c r="R21" s="705" t="s">
        <v>14</v>
      </c>
      <c r="S21" s="706">
        <f>F21</f>
        <v>100</v>
      </c>
      <c r="T21" s="705" t="s">
        <v>14</v>
      </c>
      <c r="U21" s="706">
        <f>H21</f>
        <v>100</v>
      </c>
      <c r="V21" s="705" t="s">
        <v>14</v>
      </c>
      <c r="W21" s="706">
        <f>J21</f>
        <v>100</v>
      </c>
      <c r="X21" s="1355"/>
      <c r="Y21" s="373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1"/>
      <c r="Q23" s="1343" t="str">
        <f t="shared" si="8"/>
        <v>公共配套设施</v>
      </c>
      <c r="R23" s="701" t="s">
        <v>14</v>
      </c>
      <c r="S23" s="702">
        <f>F23</f>
        <v>100</v>
      </c>
      <c r="T23" s="701" t="s">
        <v>14</v>
      </c>
      <c r="U23" s="702">
        <f>H23</f>
        <v>100</v>
      </c>
      <c r="V23" s="701" t="s">
        <v>14</v>
      </c>
      <c r="W23" s="702">
        <f>J23</f>
        <v>100</v>
      </c>
      <c r="X23" s="703"/>
      <c r="Y23" s="373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1"/>
      <c r="Q24" s="1343"/>
      <c r="R24" s="701"/>
      <c r="S24" s="702"/>
      <c r="T24" s="701"/>
      <c r="U24" s="702"/>
      <c r="V24" s="701"/>
      <c r="W24" s="702"/>
      <c r="X24" s="703"/>
      <c r="Y24" s="373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1"/>
      <c r="Q25" s="1343" t="str">
        <f t="shared" ref="Q25" si="9">B25</f>
        <v>基础设施水平</v>
      </c>
      <c r="R25" s="701" t="s">
        <v>14</v>
      </c>
      <c r="S25" s="702">
        <f>F25</f>
        <v>100</v>
      </c>
      <c r="T25" s="701" t="s">
        <v>14</v>
      </c>
      <c r="U25" s="702">
        <f>H25</f>
        <v>100</v>
      </c>
      <c r="V25" s="701" t="s">
        <v>14</v>
      </c>
      <c r="W25" s="702">
        <f>J25</f>
        <v>100</v>
      </c>
      <c r="X25" s="703"/>
      <c r="Y25" s="373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1"/>
      <c r="Q26" s="1343"/>
      <c r="R26" s="701"/>
      <c r="S26" s="702"/>
      <c r="T26" s="701"/>
      <c r="U26" s="702"/>
      <c r="V26" s="701"/>
      <c r="W26" s="702"/>
      <c r="X26" s="703"/>
      <c r="Y26" s="373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1"/>
      <c r="Q28" s="1352" t="str">
        <f t="shared" si="8"/>
        <v>毗邻道路的类型与等级</v>
      </c>
      <c r="R28" s="705" t="s">
        <v>14</v>
      </c>
      <c r="S28" s="706">
        <f t="shared" si="10"/>
        <v>100</v>
      </c>
      <c r="T28" s="705" t="s">
        <v>14</v>
      </c>
      <c r="U28" s="706">
        <f t="shared" si="11"/>
        <v>100</v>
      </c>
      <c r="V28" s="705" t="s">
        <v>14</v>
      </c>
      <c r="W28" s="706">
        <f t="shared" si="12"/>
        <v>100</v>
      </c>
      <c r="X28" s="1355"/>
      <c r="Y28" s="373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1"/>
      <c r="Q29" s="1352"/>
      <c r="R29" s="705"/>
      <c r="S29" s="706"/>
      <c r="T29" s="705"/>
      <c r="U29" s="706"/>
      <c r="V29" s="705"/>
      <c r="W29" s="706"/>
      <c r="X29" s="1355"/>
      <c r="Y29" s="373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1"/>
      <c r="Q30" s="1352" t="str">
        <f t="shared" si="8"/>
        <v>土地级别</v>
      </c>
      <c r="R30" s="705" t="s">
        <v>14</v>
      </c>
      <c r="S30" s="706">
        <f t="shared" si="10"/>
        <v>100</v>
      </c>
      <c r="T30" s="705" t="s">
        <v>14</v>
      </c>
      <c r="U30" s="706">
        <f t="shared" si="11"/>
        <v>100</v>
      </c>
      <c r="V30" s="705" t="s">
        <v>14</v>
      </c>
      <c r="W30" s="706">
        <f t="shared" si="12"/>
        <v>100</v>
      </c>
      <c r="X30" s="1355"/>
      <c r="Y30" s="373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1"/>
      <c r="Q31" s="1352">
        <f t="shared" si="8"/>
        <v>111</v>
      </c>
      <c r="R31" s="705" t="s">
        <v>14</v>
      </c>
      <c r="S31" s="706">
        <f t="shared" si="10"/>
        <v>100</v>
      </c>
      <c r="T31" s="705" t="s">
        <v>14</v>
      </c>
      <c r="U31" s="706">
        <f t="shared" si="11"/>
        <v>100</v>
      </c>
      <c r="V31" s="705" t="s">
        <v>14</v>
      </c>
      <c r="W31" s="706">
        <f t="shared" si="12"/>
        <v>100</v>
      </c>
      <c r="X31" s="1355"/>
      <c r="Y31" s="373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0" t="s">
        <v>1696</v>
      </c>
      <c r="Q32" s="1352">
        <f t="shared" si="8"/>
        <v>111</v>
      </c>
      <c r="R32" s="705" t="s">
        <v>14</v>
      </c>
      <c r="S32" s="706">
        <f t="shared" si="10"/>
        <v>100</v>
      </c>
      <c r="T32" s="705" t="s">
        <v>14</v>
      </c>
      <c r="U32" s="706">
        <f t="shared" si="11"/>
        <v>100</v>
      </c>
      <c r="V32" s="705" t="s">
        <v>14</v>
      </c>
      <c r="W32" s="706">
        <f t="shared" si="12"/>
        <v>100</v>
      </c>
      <c r="X32" s="1355"/>
      <c r="Y32" s="373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5"/>
      <c r="Q33" s="1352">
        <f t="shared" si="8"/>
        <v>111</v>
      </c>
      <c r="R33" s="708" t="s">
        <v>14</v>
      </c>
      <c r="S33" s="709">
        <f t="shared" si="10"/>
        <v>100</v>
      </c>
      <c r="T33" s="708" t="s">
        <v>14</v>
      </c>
      <c r="U33" s="709">
        <f t="shared" si="11"/>
        <v>100</v>
      </c>
      <c r="V33" s="708" t="s">
        <v>14</v>
      </c>
      <c r="W33" s="709">
        <f t="shared" si="12"/>
        <v>100</v>
      </c>
      <c r="X33" s="710"/>
      <c r="Y33" s="373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5"/>
      <c r="Q34" s="1352" t="str">
        <f>B34</f>
        <v>宗地面积</v>
      </c>
      <c r="R34" s="705" t="s">
        <v>14</v>
      </c>
      <c r="S34" s="706" t="e">
        <f t="shared" si="10"/>
        <v>#N/A</v>
      </c>
      <c r="T34" s="705" t="s">
        <v>14</v>
      </c>
      <c r="U34" s="706" t="e">
        <f t="shared" si="11"/>
        <v>#N/A</v>
      </c>
      <c r="V34" s="705" t="s">
        <v>14</v>
      </c>
      <c r="W34" s="706" t="e">
        <f t="shared" si="12"/>
        <v>#N/A</v>
      </c>
      <c r="X34" s="1355"/>
      <c r="Y34" s="373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5"/>
      <c r="Q35" s="1352" t="str">
        <f t="shared" ref="Q35:Q40" si="14">B35</f>
        <v>宗地形状</v>
      </c>
      <c r="R35" s="705" t="s">
        <v>14</v>
      </c>
      <c r="S35" s="706">
        <f t="shared" si="10"/>
        <v>100</v>
      </c>
      <c r="T35" s="705" t="s">
        <v>14</v>
      </c>
      <c r="U35" s="706">
        <f t="shared" si="11"/>
        <v>100</v>
      </c>
      <c r="V35" s="705" t="s">
        <v>14</v>
      </c>
      <c r="W35" s="706">
        <f t="shared" si="12"/>
        <v>100</v>
      </c>
      <c r="X35" s="1355"/>
      <c r="Y35" s="373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5"/>
      <c r="Q36" s="1352" t="str">
        <f t="shared" si="14"/>
        <v>宗地开发程度</v>
      </c>
      <c r="R36" s="701" t="s">
        <v>14</v>
      </c>
      <c r="S36" s="702">
        <f t="shared" si="10"/>
        <v>100</v>
      </c>
      <c r="T36" s="701" t="s">
        <v>14</v>
      </c>
      <c r="U36" s="702">
        <f t="shared" si="11"/>
        <v>100</v>
      </c>
      <c r="V36" s="701" t="s">
        <v>14</v>
      </c>
      <c r="W36" s="702">
        <f t="shared" si="12"/>
        <v>100</v>
      </c>
      <c r="X36" s="703"/>
      <c r="Y36" s="373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5" t="s">
        <v>1696</v>
      </c>
      <c r="Q37" s="1352" t="str">
        <f t="shared" si="14"/>
        <v>工程地质条件</v>
      </c>
      <c r="R37" s="705" t="s">
        <v>14</v>
      </c>
      <c r="S37" s="706">
        <f t="shared" si="10"/>
        <v>100</v>
      </c>
      <c r="T37" s="705" t="s">
        <v>14</v>
      </c>
      <c r="U37" s="706">
        <f t="shared" si="11"/>
        <v>100</v>
      </c>
      <c r="V37" s="705" t="s">
        <v>14</v>
      </c>
      <c r="W37" s="706">
        <f t="shared" si="12"/>
        <v>100</v>
      </c>
      <c r="X37" s="1355"/>
      <c r="Y37" s="373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5"/>
      <c r="Q38" s="1352">
        <f t="shared" si="14"/>
        <v>111</v>
      </c>
      <c r="R38" s="705" t="s">
        <v>14</v>
      </c>
      <c r="S38" s="706">
        <f t="shared" si="10"/>
        <v>100</v>
      </c>
      <c r="T38" s="705" t="s">
        <v>14</v>
      </c>
      <c r="U38" s="706">
        <f t="shared" si="11"/>
        <v>100</v>
      </c>
      <c r="V38" s="705" t="s">
        <v>14</v>
      </c>
      <c r="W38" s="706">
        <f t="shared" si="12"/>
        <v>100</v>
      </c>
      <c r="X38" s="1355"/>
      <c r="Y38" s="373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5"/>
      <c r="Q39" s="1352">
        <f t="shared" si="14"/>
        <v>111</v>
      </c>
      <c r="R39" s="705" t="s">
        <v>14</v>
      </c>
      <c r="S39" s="706">
        <f t="shared" si="10"/>
        <v>100</v>
      </c>
      <c r="T39" s="705" t="s">
        <v>14</v>
      </c>
      <c r="U39" s="706">
        <f t="shared" si="11"/>
        <v>100</v>
      </c>
      <c r="V39" s="705" t="s">
        <v>14</v>
      </c>
      <c r="W39" s="706">
        <f t="shared" si="12"/>
        <v>100</v>
      </c>
      <c r="X39" s="1355"/>
      <c r="Y39" s="373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5"/>
      <c r="Q40" s="1352">
        <f t="shared" si="14"/>
        <v>111</v>
      </c>
      <c r="R40" s="708" t="s">
        <v>14</v>
      </c>
      <c r="S40" s="709">
        <f t="shared" si="10"/>
        <v>100</v>
      </c>
      <c r="T40" s="708" t="s">
        <v>14</v>
      </c>
      <c r="U40" s="709">
        <f t="shared" si="11"/>
        <v>100</v>
      </c>
      <c r="V40" s="708" t="s">
        <v>14</v>
      </c>
      <c r="W40" s="709">
        <f t="shared" si="12"/>
        <v>100</v>
      </c>
      <c r="X40" s="710"/>
      <c r="Y40" s="373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8" t="str">
        <f>A41</f>
        <v>成交单价</v>
      </c>
      <c r="Q41" s="3728"/>
      <c r="R41" s="3723">
        <f>E41</f>
        <v>0</v>
      </c>
      <c r="S41" s="3723"/>
      <c r="T41" s="3723">
        <f>G41</f>
        <v>0</v>
      </c>
      <c r="U41" s="3723"/>
      <c r="V41" s="3723">
        <f>I41</f>
        <v>0</v>
      </c>
      <c r="W41" s="372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8" t="str">
        <f>A42</f>
        <v>比较价值（元/平方米）</v>
      </c>
      <c r="Q42" s="3728"/>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5" t="str">
        <f>A43</f>
        <v>估价对象XX用房的比较价值（楼面单价，元/平方米）</v>
      </c>
      <c r="Q43" s="3726"/>
      <c r="R43" s="3783" t="e">
        <f>ROUND(IF(D42="简单平均",AVERAGE(R42:W42),R42*F42+T42*H42+V42*J42),0)</f>
        <v>#DIV/0!</v>
      </c>
      <c r="S43" s="3783"/>
      <c r="T43" s="3783"/>
      <c r="U43" s="3783"/>
      <c r="V43" s="3783"/>
      <c r="W43" s="378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1" t="s">
        <v>1887</v>
      </c>
      <c r="H50" s="378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100.61</v>
      </c>
      <c r="F51" s="639" t="e">
        <f t="shared" ref="F51:F60" si="15">ROUND(B51*E51/10000,0)</f>
        <v>#DIV/0!</v>
      </c>
      <c r="G51" s="3710"/>
      <c r="H51" s="372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2022-9-1</v>
      </c>
      <c r="D63" s="692">
        <f>EDATE(C63,-3)</f>
        <v>44713</v>
      </c>
      <c r="E63" s="692">
        <f>EDATE(D63,-3)</f>
        <v>44621</v>
      </c>
      <c r="F63" s="692">
        <f t="shared" ref="F63:O63" si="18">EDATE(E63,-3)</f>
        <v>44531</v>
      </c>
      <c r="G63" s="692">
        <f t="shared" si="18"/>
        <v>44440</v>
      </c>
      <c r="H63" s="692">
        <f t="shared" si="18"/>
        <v>44348</v>
      </c>
      <c r="I63" s="692">
        <f t="shared" si="18"/>
        <v>44256</v>
      </c>
      <c r="J63" s="692">
        <f t="shared" si="18"/>
        <v>44166</v>
      </c>
      <c r="K63" s="692">
        <f t="shared" si="18"/>
        <v>44075</v>
      </c>
      <c r="L63" s="692">
        <f t="shared" si="18"/>
        <v>43983</v>
      </c>
      <c r="M63" s="692">
        <f t="shared" si="18"/>
        <v>43891</v>
      </c>
      <c r="N63" s="692">
        <f t="shared" si="18"/>
        <v>43800</v>
      </c>
      <c r="O63" s="692">
        <f t="shared" si="18"/>
        <v>43709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2" t="s">
        <v>2084</v>
      </c>
      <c r="D1" s="3793"/>
      <c r="E1" s="3793"/>
      <c r="F1" s="3793"/>
      <c r="G1" s="3793"/>
      <c r="H1" s="3793"/>
      <c r="I1" s="3793"/>
      <c r="J1" s="3793"/>
      <c r="K1" s="3793"/>
      <c r="L1" s="3793"/>
      <c r="M1" s="3793"/>
      <c r="N1" s="3793"/>
      <c r="O1" s="3793"/>
      <c r="P1" s="3793"/>
      <c r="Q1" s="3793"/>
      <c r="R1" s="3793"/>
      <c r="S1" s="379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9.5" thickBot="1">
      <c r="A4" s="1493"/>
      <c r="B4" s="3510" t="s">
        <v>917</v>
      </c>
      <c r="C4" s="3510"/>
      <c r="D4" s="3510"/>
      <c r="E4" s="1493"/>
    </row>
    <row r="5" spans="1:5" ht="16.5" thickTop="1">
      <c r="A5" s="1491"/>
      <c r="B5" s="3508" t="s">
        <v>909</v>
      </c>
      <c r="C5" s="1494" t="s">
        <v>910</v>
      </c>
      <c r="D5" s="850" t="e">
        <f ca="1">结果表!H101</f>
        <v>#REF!</v>
      </c>
      <c r="E5" s="1491"/>
    </row>
    <row r="6" spans="1:5" ht="15.75">
      <c r="A6" s="1491"/>
      <c r="B6" s="3508"/>
      <c r="C6" s="1494" t="s">
        <v>911</v>
      </c>
      <c r="D6" s="850" t="e">
        <f ca="1">NUMBERSTRING(INT(D5*10000),2)&amp;"元整"</f>
        <v>#REF!</v>
      </c>
      <c r="E6" s="1491"/>
    </row>
    <row r="7" spans="1:5" ht="15.75">
      <c r="A7" s="1491"/>
      <c r="B7" s="3513"/>
      <c r="C7" s="1495" t="s">
        <v>912</v>
      </c>
      <c r="D7" s="851" t="e">
        <f ca="1">结果表!H102</f>
        <v>#REF!</v>
      </c>
      <c r="E7" s="1491"/>
    </row>
    <row r="8" spans="1:5" ht="15.75">
      <c r="A8" s="1491"/>
      <c r="B8" s="3514" t="str">
        <f>结果表!E103</f>
        <v>2.估价师知悉的法定优先受偿款</v>
      </c>
      <c r="C8" s="1496" t="s">
        <v>913</v>
      </c>
      <c r="D8" s="851">
        <f>结果表!H103</f>
        <v>0</v>
      </c>
      <c r="E8" s="1491"/>
    </row>
    <row r="9" spans="1:5" ht="15.75">
      <c r="A9" s="1491"/>
      <c r="B9" s="351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7" t="str">
        <f>结果表!E107</f>
        <v>3.房地产抵押价值</v>
      </c>
      <c r="C13" s="1499" t="s">
        <v>910</v>
      </c>
      <c r="D13" s="853" t="e">
        <f ca="1">结果表!H107</f>
        <v>#REF!</v>
      </c>
      <c r="E13" s="1491"/>
    </row>
    <row r="14" spans="1:5" ht="15.75">
      <c r="A14" s="1491"/>
      <c r="B14" s="3508"/>
      <c r="C14" s="1494" t="s">
        <v>911</v>
      </c>
      <c r="D14" s="850" t="e">
        <f ca="1">NUMBERSTRING(INT(D13*10000),2)&amp;"元整"</f>
        <v>#REF!</v>
      </c>
      <c r="E14" s="1491"/>
    </row>
    <row r="15" spans="1:5" ht="15">
      <c r="A15" s="1491"/>
      <c r="B15" s="3513"/>
      <c r="C15" s="1495" t="s">
        <v>921</v>
      </c>
      <c r="D15" s="859" t="e">
        <f ca="1">结果表!H108</f>
        <v>#REF!</v>
      </c>
      <c r="E15" s="1491"/>
    </row>
    <row r="16" spans="1:5" ht="15">
      <c r="A16" s="1491"/>
      <c r="B16" s="3514" t="str">
        <f>结果表!E109</f>
        <v>——</v>
      </c>
      <c r="C16" s="1499" t="s">
        <v>922</v>
      </c>
      <c r="D16" s="1500" t="str">
        <f>结果表!H109</f>
        <v>——</v>
      </c>
      <c r="E16" s="1491"/>
    </row>
    <row r="17" spans="1:5" ht="15.75">
      <c r="A17" s="1491"/>
      <c r="B17" s="3515"/>
      <c r="C17" s="1494" t="s">
        <v>923</v>
      </c>
      <c r="D17" s="850" t="e">
        <f>NUMBERSTRING(INT(D16*10000),2)&amp;"元整"</f>
        <v>#VALUE!</v>
      </c>
      <c r="E17" s="1491"/>
    </row>
    <row r="18" spans="1:5" ht="15">
      <c r="A18" s="1491"/>
      <c r="B18" s="3516"/>
      <c r="C18" s="1495" t="s">
        <v>912</v>
      </c>
      <c r="D18" s="859" t="str">
        <f>结果表!H110</f>
        <v>——</v>
      </c>
      <c r="E18" s="1491"/>
    </row>
    <row r="19" spans="1:5" ht="15.75">
      <c r="A19" s="1491"/>
      <c r="B19" s="3507" t="str">
        <f>结果表!E111</f>
        <v>——</v>
      </c>
      <c r="C19" s="1499" t="s">
        <v>910</v>
      </c>
      <c r="D19" s="851" t="str">
        <f>结果表!H111</f>
        <v>——</v>
      </c>
      <c r="E19" s="1491"/>
    </row>
    <row r="20" spans="1:5" ht="15.75">
      <c r="A20" s="1491"/>
      <c r="B20" s="3508"/>
      <c r="C20" s="1494" t="s">
        <v>923</v>
      </c>
      <c r="D20" s="850" t="e">
        <f>NUMBERSTRING(INT(D19*10000),2)&amp;"元整"</f>
        <v>#VALUE!</v>
      </c>
      <c r="E20" s="1491"/>
    </row>
    <row r="21" spans="1:5" ht="15.75" thickBot="1">
      <c r="A21" s="1491"/>
      <c r="B21" s="350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3383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3482</v>
      </c>
      <c r="F3" s="2004" t="s">
        <v>3483</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802"/>
      <c r="B4" s="3803"/>
      <c r="C4" s="3803"/>
      <c r="D4" s="3804"/>
      <c r="E4" s="3804"/>
      <c r="F4" s="3804"/>
      <c r="G4" s="3804"/>
      <c r="H4" s="3804"/>
      <c r="I4" s="3804"/>
      <c r="J4" s="380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25.5">
      <c r="A8" s="3299"/>
      <c r="B8" s="170" t="s">
        <v>1957</v>
      </c>
      <c r="C8" s="2026" t="s">
        <v>3484</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99" t="s">
        <v>1960</v>
      </c>
      <c r="X8" s="380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01"/>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0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06" t="s">
        <v>3259</v>
      </c>
      <c r="B20" s="167" t="s">
        <v>1994</v>
      </c>
      <c r="C20" s="3325" t="e">
        <f>ROUND(IF(F21="与级别开发程度一致",0,(G21-E21)/C21),0)</f>
        <v>#DIV/0!</v>
      </c>
      <c r="D20" s="3341" t="s">
        <v>1998</v>
      </c>
      <c r="E20" s="3342"/>
      <c r="F20" s="3812" t="s">
        <v>1995</v>
      </c>
      <c r="G20" s="381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80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1.0545</v>
      </c>
      <c r="D23" s="2054" t="s">
        <v>2002</v>
      </c>
      <c r="E23" s="761">
        <v>44197</v>
      </c>
      <c r="F23" s="2054" t="s">
        <v>2003</v>
      </c>
      <c r="G23" s="762">
        <f>'数据-取费表'!B2</f>
        <v>44821</v>
      </c>
      <c r="H23" s="3343" t="s">
        <v>3261</v>
      </c>
      <c r="I23" s="3344" t="str">
        <f>IF(H23="季度增幅（自定义）",SUMIF(N25:N28,E2,O25:O28),"")</f>
        <v/>
      </c>
      <c r="J23" s="3446" t="s">
        <v>3260</v>
      </c>
      <c r="K23" s="1125"/>
      <c r="L23" s="2055" t="s">
        <v>2004</v>
      </c>
      <c r="M23" s="1328">
        <f>ROUND(SUMIF(地价!B2:G2,E2,地价!B16:G16),0)</f>
        <v>687</v>
      </c>
      <c r="N23" s="2056" t="s">
        <v>2005</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0.93789999999999996</v>
      </c>
      <c r="D24" s="2060" t="s">
        <v>2007</v>
      </c>
      <c r="E24" s="1335">
        <f>存贷款利率!E24/100</f>
        <v>4.3499999999999997E-2</v>
      </c>
      <c r="F24" s="2060" t="s">
        <v>1999</v>
      </c>
      <c r="G24" s="768">
        <f>SUMIF(M30:Q30,E2,M33:Q33)</f>
        <v>0.05</v>
      </c>
      <c r="H24" s="2060" t="s">
        <v>2008</v>
      </c>
      <c r="I24" s="769">
        <f>SUMIF('数据-取费表'!C6:C15,E2,'数据-取费表'!F6:F15)/COUNTIF('数据-取费表'!C6:C15,E2)</f>
        <v>48.69</v>
      </c>
      <c r="J24" s="770">
        <f>IF(E2="住宅",70,IF(E2="商业",40,50))</f>
        <v>70</v>
      </c>
      <c r="K24" s="1125"/>
      <c r="L24" s="2061" t="s">
        <v>2009</v>
      </c>
      <c r="M24" s="1329">
        <f>ROUND(SUMPRODUCT((地价!A4:A16=YEAR(G23)&amp;"-"&amp;ROUNDUP(MONTH(G23)/3,0))*(地价!B2:G2=E2)*(地价!B4:G16)),0)</f>
        <v>737</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11"/>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0</v>
      </c>
      <c r="G72" s="1063"/>
      <c r="H72" s="1066">
        <f t="shared" ref="H72:H80" si="18">IFERROR(ROUNDDOWN($F$72*I72/2,4),"——")</f>
        <v>0</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0</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f t="shared" si="18"/>
        <v>0</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f t="shared" si="18"/>
        <v>0</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f t="shared" si="18"/>
        <v>0</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f t="shared" si="18"/>
        <v>0</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f t="shared" si="18"/>
        <v>0</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f t="shared" si="18"/>
        <v>0</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f t="shared" si="18"/>
        <v>0</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08" t="s">
        <v>3299</v>
      </c>
      <c r="B103" s="3808"/>
      <c r="C103" s="3808"/>
      <c r="D103" s="3808"/>
      <c r="E103" s="3808"/>
      <c r="F103" s="3808"/>
      <c r="G103" s="3808"/>
      <c r="H103" s="3808"/>
      <c r="I103" s="3808"/>
      <c r="J103" s="3808"/>
      <c r="K103" s="3390"/>
      <c r="L103" s="3390"/>
      <c r="M103" s="3390"/>
      <c r="N103" s="3390"/>
    </row>
    <row r="104" spans="1:14">
      <c r="A104" s="3809" t="s">
        <v>3300</v>
      </c>
      <c r="B104" s="3809" t="s">
        <v>3301</v>
      </c>
      <c r="C104" s="3391" t="s">
        <v>3302</v>
      </c>
      <c r="D104" s="3392"/>
      <c r="E104" s="3392"/>
      <c r="F104" s="3392"/>
      <c r="G104" s="3392"/>
      <c r="H104" s="3392"/>
      <c r="I104" s="3392"/>
      <c r="J104" s="3393"/>
      <c r="K104" s="3394"/>
      <c r="L104" s="3394"/>
      <c r="M104" s="3394"/>
      <c r="N104" s="3394"/>
    </row>
    <row r="105" spans="1:14">
      <c r="A105" s="3809"/>
      <c r="B105" s="3809"/>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95"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9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9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9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9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96"/>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9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98" t="s">
        <v>3316</v>
      </c>
      <c r="B113" s="3798"/>
      <c r="C113" s="3798"/>
      <c r="D113" s="3798"/>
      <c r="E113" s="3798"/>
      <c r="F113" s="3798"/>
      <c r="G113" s="3798"/>
      <c r="H113" s="3798"/>
      <c r="I113" s="3798"/>
      <c r="J113" s="379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t="str">
        <f>E2</f>
        <v>住宅</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21" t="s">
        <v>2610</v>
      </c>
      <c r="B20" s="3814" t="s">
        <v>2631</v>
      </c>
      <c r="C20" s="3103" t="s">
        <v>2442</v>
      </c>
      <c r="D20" s="3104"/>
      <c r="E20" s="3105">
        <v>1</v>
      </c>
      <c r="F20" s="3106" t="s">
        <v>2443</v>
      </c>
      <c r="G20" s="3106"/>
    </row>
    <row r="21" spans="1:13" ht="19.5" customHeight="1">
      <c r="A21" s="3822"/>
      <c r="B21" s="3815"/>
      <c r="C21" s="3107" t="s">
        <v>2444</v>
      </c>
      <c r="D21" s="3108"/>
      <c r="E21" s="3109">
        <v>1</v>
      </c>
      <c r="F21" s="3106" t="s">
        <v>2445</v>
      </c>
      <c r="G21" s="3106"/>
    </row>
    <row r="22" spans="1:13" ht="19.5" customHeight="1">
      <c r="A22" s="3822"/>
      <c r="B22" s="3815"/>
      <c r="C22" s="3107" t="s">
        <v>2446</v>
      </c>
      <c r="D22" s="3108"/>
      <c r="E22" s="3109">
        <v>0.9</v>
      </c>
      <c r="F22" s="3106" t="s">
        <v>2447</v>
      </c>
      <c r="G22" s="3106"/>
    </row>
    <row r="23" spans="1:13" ht="19.5" customHeight="1">
      <c r="A23" s="3822"/>
      <c r="B23" s="3815"/>
      <c r="C23" s="3107" t="s">
        <v>2448</v>
      </c>
      <c r="D23" s="3108"/>
      <c r="E23" s="3109">
        <v>0.9</v>
      </c>
      <c r="F23" s="3106" t="s">
        <v>2449</v>
      </c>
      <c r="G23" s="3106"/>
    </row>
    <row r="24" spans="1:13" ht="19.5" customHeight="1">
      <c r="A24" s="3822"/>
      <c r="B24" s="3815"/>
      <c r="C24" s="3107" t="s">
        <v>2450</v>
      </c>
      <c r="D24" s="3108"/>
      <c r="E24" s="3109">
        <v>0.8</v>
      </c>
      <c r="F24" s="3106" t="s">
        <v>2451</v>
      </c>
      <c r="G24" s="3106"/>
    </row>
    <row r="25" spans="1:13" ht="19.5" customHeight="1" thickBot="1">
      <c r="A25" s="3823"/>
      <c r="B25" s="381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17" t="s">
        <v>2634</v>
      </c>
      <c r="B27" s="3814" t="s">
        <v>2615</v>
      </c>
      <c r="C27" s="3103" t="s">
        <v>2455</v>
      </c>
      <c r="D27" s="3104"/>
      <c r="E27" s="3105">
        <v>1</v>
      </c>
      <c r="F27" s="3106" t="s">
        <v>2456</v>
      </c>
      <c r="G27" s="3106"/>
    </row>
    <row r="28" spans="1:13" ht="19.5" customHeight="1">
      <c r="A28" s="3818"/>
      <c r="B28" s="3815"/>
      <c r="C28" s="3107" t="s">
        <v>2457</v>
      </c>
      <c r="D28" s="3108"/>
      <c r="E28" s="3109">
        <v>1</v>
      </c>
      <c r="F28" s="3106" t="s">
        <v>2458</v>
      </c>
      <c r="G28" s="3106"/>
    </row>
    <row r="29" spans="1:13" ht="19.5" customHeight="1">
      <c r="A29" s="3818"/>
      <c r="B29" s="3815"/>
      <c r="C29" s="3107" t="s">
        <v>2459</v>
      </c>
      <c r="D29" s="3108"/>
      <c r="E29" s="3109">
        <v>0.8</v>
      </c>
      <c r="F29" s="3106" t="s">
        <v>2460</v>
      </c>
      <c r="G29" s="3106"/>
    </row>
    <row r="30" spans="1:13" ht="19.5" customHeight="1">
      <c r="A30" s="3818"/>
      <c r="B30" s="3815"/>
      <c r="C30" s="3107" t="s">
        <v>2461</v>
      </c>
      <c r="D30" s="3108"/>
      <c r="E30" s="3109">
        <v>0.8</v>
      </c>
      <c r="F30" s="3106" t="s">
        <v>2462</v>
      </c>
      <c r="G30" s="3106"/>
    </row>
    <row r="31" spans="1:13" ht="19.5" customHeight="1">
      <c r="A31" s="3818"/>
      <c r="B31" s="3815"/>
      <c r="C31" s="3107" t="s">
        <v>2463</v>
      </c>
      <c r="D31" s="3108"/>
      <c r="E31" s="3109">
        <v>0.8</v>
      </c>
      <c r="F31" s="3106" t="s">
        <v>2464</v>
      </c>
      <c r="G31" s="3106"/>
    </row>
    <row r="32" spans="1:13" ht="19.5" customHeight="1">
      <c r="A32" s="3818"/>
      <c r="B32" s="3815"/>
      <c r="C32" s="3107" t="s">
        <v>2465</v>
      </c>
      <c r="D32" s="3108"/>
      <c r="E32" s="3109">
        <v>0.7</v>
      </c>
      <c r="F32" s="3106" t="s">
        <v>2466</v>
      </c>
      <c r="G32" s="3106"/>
    </row>
    <row r="33" spans="1:7" ht="19.5" customHeight="1">
      <c r="A33" s="3818"/>
      <c r="B33" s="3815"/>
      <c r="C33" s="3107" t="s">
        <v>2467</v>
      </c>
      <c r="D33" s="3108"/>
      <c r="E33" s="3109">
        <v>0.8</v>
      </c>
      <c r="F33" s="3106" t="s">
        <v>2468</v>
      </c>
      <c r="G33" s="3106"/>
    </row>
    <row r="34" spans="1:7" ht="19.5" customHeight="1">
      <c r="A34" s="3818"/>
      <c r="B34" s="3815"/>
      <c r="C34" s="3107" t="s">
        <v>2469</v>
      </c>
      <c r="D34" s="3108"/>
      <c r="E34" s="3109">
        <v>0.6</v>
      </c>
      <c r="F34" s="3106" t="s">
        <v>2470</v>
      </c>
      <c r="G34" s="3106"/>
    </row>
    <row r="35" spans="1:7" ht="19.5" customHeight="1">
      <c r="A35" s="3818"/>
      <c r="B35" s="3815"/>
      <c r="C35" s="3107" t="s">
        <v>2471</v>
      </c>
      <c r="D35" s="3108"/>
      <c r="E35" s="3109">
        <v>0.2</v>
      </c>
      <c r="F35" s="3106" t="s">
        <v>2472</v>
      </c>
      <c r="G35" s="3106"/>
    </row>
    <row r="36" spans="1:7" ht="19.5" customHeight="1">
      <c r="A36" s="3818"/>
      <c r="B36" s="3815"/>
      <c r="C36" s="3107" t="s">
        <v>2473</v>
      </c>
      <c r="D36" s="3108"/>
      <c r="E36" s="3109">
        <v>0.2</v>
      </c>
      <c r="F36" s="3106" t="s">
        <v>2474</v>
      </c>
      <c r="G36" s="3106"/>
    </row>
    <row r="37" spans="1:7" ht="19.5" customHeight="1">
      <c r="A37" s="3818"/>
      <c r="B37" s="3820" t="s">
        <v>2635</v>
      </c>
      <c r="C37" s="3107" t="s">
        <v>2475</v>
      </c>
      <c r="D37" s="3108"/>
      <c r="E37" s="3109">
        <v>0.6</v>
      </c>
      <c r="F37" s="3106" t="s">
        <v>2476</v>
      </c>
      <c r="G37" s="3106"/>
    </row>
    <row r="38" spans="1:7" ht="19.5" customHeight="1">
      <c r="A38" s="3818"/>
      <c r="B38" s="3815"/>
      <c r="C38" s="3107" t="s">
        <v>2477</v>
      </c>
      <c r="D38" s="3108"/>
      <c r="E38" s="3109">
        <v>0.6</v>
      </c>
      <c r="F38" s="3106" t="s">
        <v>2478</v>
      </c>
      <c r="G38" s="3106"/>
    </row>
    <row r="39" spans="1:7" ht="19.5" customHeight="1" thickBot="1">
      <c r="A39" s="3819"/>
      <c r="B39" s="381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21" t="s">
        <v>2613</v>
      </c>
      <c r="B41" s="3814" t="s">
        <v>2637</v>
      </c>
      <c r="C41" s="3103" t="s">
        <v>2482</v>
      </c>
      <c r="D41" s="3104"/>
      <c r="E41" s="3105">
        <v>1</v>
      </c>
      <c r="F41" s="3106" t="s">
        <v>2483</v>
      </c>
      <c r="G41" s="3106"/>
    </row>
    <row r="42" spans="1:7" ht="19.5" customHeight="1">
      <c r="A42" s="3822"/>
      <c r="B42" s="3815"/>
      <c r="C42" s="3107" t="s">
        <v>2484</v>
      </c>
      <c r="D42" s="3108"/>
      <c r="E42" s="3109">
        <v>1</v>
      </c>
      <c r="F42" s="3106" t="s">
        <v>2485</v>
      </c>
      <c r="G42" s="3106"/>
    </row>
    <row r="43" spans="1:7" ht="19.5" customHeight="1">
      <c r="A43" s="3822"/>
      <c r="B43" s="3824"/>
      <c r="C43" s="3107" t="s">
        <v>2486</v>
      </c>
      <c r="D43" s="3108"/>
      <c r="E43" s="3109">
        <v>1.5</v>
      </c>
      <c r="F43" s="3106" t="s">
        <v>2487</v>
      </c>
      <c r="G43" s="3106"/>
    </row>
    <row r="44" spans="1:7" ht="19.5" customHeight="1">
      <c r="A44" s="3822"/>
      <c r="B44" s="3118" t="s">
        <v>2638</v>
      </c>
      <c r="C44" s="3107" t="s">
        <v>2639</v>
      </c>
      <c r="D44" s="3108"/>
      <c r="E44" s="3109">
        <v>2</v>
      </c>
      <c r="F44" s="3106" t="s">
        <v>2488</v>
      </c>
      <c r="G44" s="3106"/>
    </row>
    <row r="45" spans="1:7" ht="19.5" customHeight="1">
      <c r="A45" s="3822"/>
      <c r="B45" s="3820" t="s">
        <v>2640</v>
      </c>
      <c r="C45" s="3107" t="s">
        <v>2489</v>
      </c>
      <c r="D45" s="3108"/>
      <c r="E45" s="3109">
        <v>1</v>
      </c>
      <c r="F45" s="3106" t="s">
        <v>2490</v>
      </c>
      <c r="G45" s="3106"/>
    </row>
    <row r="46" spans="1:7" ht="19.5" customHeight="1">
      <c r="A46" s="3822"/>
      <c r="B46" s="3815"/>
      <c r="C46" s="3107" t="s">
        <v>2491</v>
      </c>
      <c r="D46" s="3108"/>
      <c r="E46" s="3109">
        <v>1</v>
      </c>
      <c r="F46" s="3106" t="s">
        <v>2492</v>
      </c>
      <c r="G46" s="3106"/>
    </row>
    <row r="47" spans="1:7" ht="19.5" customHeight="1">
      <c r="A47" s="3822"/>
      <c r="B47" s="3815"/>
      <c r="C47" s="3107" t="s">
        <v>2493</v>
      </c>
      <c r="D47" s="3108"/>
      <c r="E47" s="3109">
        <v>1</v>
      </c>
      <c r="F47" s="3106" t="s">
        <v>2494</v>
      </c>
      <c r="G47" s="3106"/>
    </row>
    <row r="48" spans="1:7" ht="19.5" customHeight="1">
      <c r="A48" s="3822"/>
      <c r="B48" s="3815"/>
      <c r="C48" s="3107" t="s">
        <v>2495</v>
      </c>
      <c r="D48" s="3108"/>
      <c r="E48" s="3109">
        <v>1</v>
      </c>
      <c r="F48" s="3106" t="s">
        <v>2496</v>
      </c>
      <c r="G48" s="3106"/>
    </row>
    <row r="49" spans="1:7" ht="19.5" customHeight="1">
      <c r="A49" s="3822"/>
      <c r="B49" s="3815"/>
      <c r="C49" s="3107" t="s">
        <v>2497</v>
      </c>
      <c r="D49" s="3108"/>
      <c r="E49" s="3109">
        <v>1</v>
      </c>
      <c r="F49" s="3106" t="s">
        <v>2498</v>
      </c>
      <c r="G49" s="3106"/>
    </row>
    <row r="50" spans="1:7" ht="19.5" customHeight="1">
      <c r="A50" s="3822"/>
      <c r="B50" s="3815"/>
      <c r="C50" s="3107" t="s">
        <v>2499</v>
      </c>
      <c r="D50" s="3108"/>
      <c r="E50" s="3109">
        <v>1</v>
      </c>
      <c r="F50" s="3106" t="s">
        <v>2500</v>
      </c>
      <c r="G50" s="3106"/>
    </row>
    <row r="51" spans="1:7" ht="19.5" customHeight="1" thickBot="1">
      <c r="A51" s="3823"/>
      <c r="B51" s="381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20" t="s">
        <v>2654</v>
      </c>
      <c r="C73" s="3092" t="s">
        <v>2655</v>
      </c>
      <c r="D73" s="3092" t="s">
        <v>2656</v>
      </c>
      <c r="E73" s="3118">
        <v>0.2</v>
      </c>
      <c r="F73" s="3118">
        <v>25</v>
      </c>
    </row>
    <row r="74" spans="1:7" ht="24">
      <c r="A74" s="3118">
        <v>2</v>
      </c>
      <c r="B74" s="3815"/>
      <c r="C74" s="3092" t="s">
        <v>2657</v>
      </c>
      <c r="D74" s="3092" t="s">
        <v>2658</v>
      </c>
      <c r="E74" s="3118">
        <v>0.2</v>
      </c>
      <c r="F74" s="3118">
        <v>25</v>
      </c>
    </row>
    <row r="75" spans="1:7" ht="24">
      <c r="A75" s="3118">
        <v>3</v>
      </c>
      <c r="B75" s="3815"/>
      <c r="C75" s="3092" t="s">
        <v>2659</v>
      </c>
      <c r="D75" s="3092" t="s">
        <v>2660</v>
      </c>
      <c r="E75" s="3118">
        <v>0.2</v>
      </c>
      <c r="F75" s="3118">
        <v>25</v>
      </c>
    </row>
    <row r="76" spans="1:7" ht="13.5">
      <c r="A76" s="3118">
        <v>4</v>
      </c>
      <c r="B76" s="3815"/>
      <c r="C76" s="3092" t="s">
        <v>2661</v>
      </c>
      <c r="D76" s="3092" t="s">
        <v>2662</v>
      </c>
      <c r="E76" s="3118">
        <v>0.15</v>
      </c>
      <c r="F76" s="3118">
        <v>20</v>
      </c>
    </row>
    <row r="77" spans="1:7" ht="24">
      <c r="A77" s="3118">
        <v>5</v>
      </c>
      <c r="B77" s="3815"/>
      <c r="C77" s="3092" t="s">
        <v>2663</v>
      </c>
      <c r="D77" s="3092" t="s">
        <v>2664</v>
      </c>
      <c r="E77" s="3118">
        <v>0.15</v>
      </c>
      <c r="F77" s="3118">
        <v>20</v>
      </c>
    </row>
    <row r="78" spans="1:7" ht="24">
      <c r="A78" s="3118">
        <v>6</v>
      </c>
      <c r="B78" s="3815"/>
      <c r="C78" s="3092" t="s">
        <v>2665</v>
      </c>
      <c r="D78" s="3092" t="s">
        <v>2666</v>
      </c>
      <c r="E78" s="3118">
        <v>0.15</v>
      </c>
      <c r="F78" s="3118">
        <v>20</v>
      </c>
    </row>
    <row r="79" spans="1:7" ht="24">
      <c r="A79" s="3118">
        <v>7</v>
      </c>
      <c r="B79" s="3815"/>
      <c r="C79" s="3092" t="s">
        <v>2667</v>
      </c>
      <c r="D79" s="3092" t="s">
        <v>2668</v>
      </c>
      <c r="E79" s="3118">
        <v>0.15</v>
      </c>
      <c r="F79" s="3118">
        <v>20</v>
      </c>
    </row>
    <row r="80" spans="1:7" ht="24">
      <c r="A80" s="3118">
        <v>8</v>
      </c>
      <c r="B80" s="3815"/>
      <c r="C80" s="3092" t="s">
        <v>2669</v>
      </c>
      <c r="D80" s="3092" t="s">
        <v>2670</v>
      </c>
      <c r="E80" s="3118">
        <v>0.1</v>
      </c>
      <c r="F80" s="3118">
        <v>15</v>
      </c>
    </row>
    <row r="81" spans="1:6" ht="24">
      <c r="A81" s="3118">
        <v>9</v>
      </c>
      <c r="B81" s="3815"/>
      <c r="C81" s="3092" t="s">
        <v>2671</v>
      </c>
      <c r="D81" s="3092" t="s">
        <v>2672</v>
      </c>
      <c r="E81" s="3118">
        <v>0.1</v>
      </c>
      <c r="F81" s="3118">
        <v>15</v>
      </c>
    </row>
    <row r="82" spans="1:6" ht="24">
      <c r="A82" s="3118">
        <v>10</v>
      </c>
      <c r="B82" s="3815"/>
      <c r="C82" s="3092" t="s">
        <v>2673</v>
      </c>
      <c r="D82" s="3092" t="s">
        <v>2674</v>
      </c>
      <c r="E82" s="3118">
        <v>0.1</v>
      </c>
      <c r="F82" s="3118">
        <v>15</v>
      </c>
    </row>
    <row r="83" spans="1:6" ht="24">
      <c r="A83" s="3118">
        <v>11</v>
      </c>
      <c r="B83" s="3815"/>
      <c r="C83" s="3092" t="s">
        <v>2675</v>
      </c>
      <c r="D83" s="3092" t="s">
        <v>2676</v>
      </c>
      <c r="E83" s="3118">
        <v>0.1</v>
      </c>
      <c r="F83" s="3118">
        <v>15</v>
      </c>
    </row>
    <row r="84" spans="1:6" ht="24">
      <c r="A84" s="3118">
        <v>12</v>
      </c>
      <c r="B84" s="3815"/>
      <c r="C84" s="3092" t="s">
        <v>2677</v>
      </c>
      <c r="D84" s="3092" t="s">
        <v>2678</v>
      </c>
      <c r="E84" s="3118">
        <v>0.1</v>
      </c>
      <c r="F84" s="3118">
        <v>15</v>
      </c>
    </row>
    <row r="85" spans="1:6" ht="13.5">
      <c r="A85" s="3118">
        <v>13</v>
      </c>
      <c r="B85" s="3815"/>
      <c r="C85" s="3092" t="s">
        <v>2679</v>
      </c>
      <c r="D85" s="3092" t="s">
        <v>2680</v>
      </c>
      <c r="E85" s="3118">
        <v>0.1</v>
      </c>
      <c r="F85" s="3118">
        <v>15</v>
      </c>
    </row>
    <row r="86" spans="1:6" ht="13.5">
      <c r="A86" s="3118">
        <v>14</v>
      </c>
      <c r="B86" s="3815"/>
      <c r="C86" s="3092" t="s">
        <v>2681</v>
      </c>
      <c r="D86" s="3092" t="s">
        <v>2682</v>
      </c>
      <c r="E86" s="3118">
        <v>0.1</v>
      </c>
      <c r="F86" s="3118">
        <v>15</v>
      </c>
    </row>
    <row r="87" spans="1:6" ht="13.5">
      <c r="A87" s="3118">
        <v>15</v>
      </c>
      <c r="B87" s="3815"/>
      <c r="C87" s="3092" t="s">
        <v>2683</v>
      </c>
      <c r="D87" s="3092" t="s">
        <v>2684</v>
      </c>
      <c r="E87" s="3118">
        <v>0.1</v>
      </c>
      <c r="F87" s="3118">
        <v>15</v>
      </c>
    </row>
    <row r="88" spans="1:6" ht="24">
      <c r="A88" s="3118">
        <v>16</v>
      </c>
      <c r="B88" s="3815"/>
      <c r="C88" s="3092" t="s">
        <v>2685</v>
      </c>
      <c r="D88" s="3092" t="s">
        <v>2686</v>
      </c>
      <c r="E88" s="3118">
        <v>0.1</v>
      </c>
      <c r="F88" s="3118">
        <v>15</v>
      </c>
    </row>
    <row r="89" spans="1:6" ht="24">
      <c r="A89" s="3118">
        <v>17</v>
      </c>
      <c r="B89" s="3824"/>
      <c r="C89" s="3092" t="s">
        <v>2687</v>
      </c>
      <c r="D89" s="3092" t="s">
        <v>2688</v>
      </c>
      <c r="E89" s="3118">
        <v>0.1</v>
      </c>
      <c r="F89" s="3118">
        <v>15</v>
      </c>
    </row>
    <row r="90" spans="1:6" ht="13.5">
      <c r="A90" s="3118">
        <v>18</v>
      </c>
      <c r="B90" s="3820" t="s">
        <v>2689</v>
      </c>
      <c r="C90" s="3092" t="s">
        <v>2690</v>
      </c>
      <c r="D90" s="3092" t="s">
        <v>2691</v>
      </c>
      <c r="E90" s="3118">
        <v>0.2</v>
      </c>
      <c r="F90" s="3118">
        <v>25</v>
      </c>
    </row>
    <row r="91" spans="1:6" ht="24">
      <c r="A91" s="3118">
        <v>19</v>
      </c>
      <c r="B91" s="3815"/>
      <c r="C91" s="3092" t="s">
        <v>2692</v>
      </c>
      <c r="D91" s="3092" t="s">
        <v>2693</v>
      </c>
      <c r="E91" s="3118">
        <v>0.2</v>
      </c>
      <c r="F91" s="3118">
        <v>25</v>
      </c>
    </row>
    <row r="92" spans="1:6" ht="13.5">
      <c r="A92" s="3118">
        <v>20</v>
      </c>
      <c r="B92" s="3815"/>
      <c r="C92" s="3092" t="s">
        <v>2694</v>
      </c>
      <c r="D92" s="3092" t="s">
        <v>2695</v>
      </c>
      <c r="E92" s="3118">
        <v>0.15</v>
      </c>
      <c r="F92" s="3118">
        <v>20</v>
      </c>
    </row>
    <row r="93" spans="1:6" ht="13.5">
      <c r="A93" s="3118">
        <v>21</v>
      </c>
      <c r="B93" s="3815"/>
      <c r="C93" s="3092" t="s">
        <v>2696</v>
      </c>
      <c r="D93" s="3092" t="s">
        <v>2697</v>
      </c>
      <c r="E93" s="3118">
        <v>0.15</v>
      </c>
      <c r="F93" s="3118">
        <v>20</v>
      </c>
    </row>
    <row r="94" spans="1:6" ht="13.5">
      <c r="A94" s="3118">
        <v>22</v>
      </c>
      <c r="B94" s="3815"/>
      <c r="C94" s="3092" t="s">
        <v>2698</v>
      </c>
      <c r="D94" s="3092" t="s">
        <v>2699</v>
      </c>
      <c r="E94" s="3118">
        <v>0.15</v>
      </c>
      <c r="F94" s="3118">
        <v>20</v>
      </c>
    </row>
    <row r="95" spans="1:6" ht="36">
      <c r="A95" s="3118">
        <v>23</v>
      </c>
      <c r="B95" s="3815"/>
      <c r="C95" s="3092" t="s">
        <v>2700</v>
      </c>
      <c r="D95" s="3092" t="s">
        <v>2701</v>
      </c>
      <c r="E95" s="3118">
        <v>0.15</v>
      </c>
      <c r="F95" s="3118">
        <v>20</v>
      </c>
    </row>
    <row r="96" spans="1:6" ht="13.5">
      <c r="A96" s="3118">
        <v>24</v>
      </c>
      <c r="B96" s="3815"/>
      <c r="C96" s="3092" t="s">
        <v>2702</v>
      </c>
      <c r="D96" s="3092" t="s">
        <v>2703</v>
      </c>
      <c r="E96" s="3118">
        <v>0.1</v>
      </c>
      <c r="F96" s="3118">
        <v>15</v>
      </c>
    </row>
    <row r="97" spans="1:6" ht="13.5">
      <c r="A97" s="3118">
        <v>25</v>
      </c>
      <c r="B97" s="3815"/>
      <c r="C97" s="3092" t="s">
        <v>2704</v>
      </c>
      <c r="D97" s="3092" t="s">
        <v>2705</v>
      </c>
      <c r="E97" s="3118">
        <v>0.1</v>
      </c>
      <c r="F97" s="3118">
        <v>15</v>
      </c>
    </row>
    <row r="98" spans="1:6" ht="24">
      <c r="A98" s="3118">
        <v>26</v>
      </c>
      <c r="B98" s="3815"/>
      <c r="C98" s="3092" t="s">
        <v>2706</v>
      </c>
      <c r="D98" s="3092" t="s">
        <v>2707</v>
      </c>
      <c r="E98" s="3118">
        <v>0.1</v>
      </c>
      <c r="F98" s="3118">
        <v>15</v>
      </c>
    </row>
    <row r="99" spans="1:6" ht="24">
      <c r="A99" s="3118">
        <v>27</v>
      </c>
      <c r="B99" s="3815"/>
      <c r="C99" s="3092" t="s">
        <v>2708</v>
      </c>
      <c r="D99" s="3092" t="s">
        <v>2709</v>
      </c>
      <c r="E99" s="3118">
        <v>0.1</v>
      </c>
      <c r="F99" s="3118">
        <v>15</v>
      </c>
    </row>
    <row r="100" spans="1:6" ht="13.5">
      <c r="A100" s="3118">
        <v>28</v>
      </c>
      <c r="B100" s="3815"/>
      <c r="C100" s="3092" t="s">
        <v>2710</v>
      </c>
      <c r="D100" s="3092" t="s">
        <v>2711</v>
      </c>
      <c r="E100" s="3118">
        <v>0.1</v>
      </c>
      <c r="F100" s="3118">
        <v>15</v>
      </c>
    </row>
    <row r="101" spans="1:6" ht="13.5">
      <c r="A101" s="3118">
        <v>29</v>
      </c>
      <c r="B101" s="3815"/>
      <c r="C101" s="3092" t="s">
        <v>2712</v>
      </c>
      <c r="D101" s="3092" t="s">
        <v>2713</v>
      </c>
      <c r="E101" s="3118">
        <v>0.1</v>
      </c>
      <c r="F101" s="3118">
        <v>15</v>
      </c>
    </row>
    <row r="102" spans="1:6" ht="13.5">
      <c r="A102" s="3118">
        <v>30</v>
      </c>
      <c r="B102" s="3815"/>
      <c r="C102" s="3092" t="s">
        <v>2714</v>
      </c>
      <c r="D102" s="3092" t="s">
        <v>2715</v>
      </c>
      <c r="E102" s="3118">
        <v>0.1</v>
      </c>
      <c r="F102" s="3118">
        <v>15</v>
      </c>
    </row>
    <row r="103" spans="1:6" ht="24">
      <c r="A103" s="3118">
        <v>31</v>
      </c>
      <c r="B103" s="3815"/>
      <c r="C103" s="3092" t="s">
        <v>2716</v>
      </c>
      <c r="D103" s="3092" t="s">
        <v>2717</v>
      </c>
      <c r="E103" s="3118">
        <v>0.1</v>
      </c>
      <c r="F103" s="3118">
        <v>15</v>
      </c>
    </row>
    <row r="104" spans="1:6" ht="24">
      <c r="A104" s="3118">
        <v>32</v>
      </c>
      <c r="B104" s="3815"/>
      <c r="C104" s="3092" t="s">
        <v>2718</v>
      </c>
      <c r="D104" s="3092" t="s">
        <v>2719</v>
      </c>
      <c r="E104" s="3118">
        <v>0.1</v>
      </c>
      <c r="F104" s="3118">
        <v>15</v>
      </c>
    </row>
    <row r="105" spans="1:6" ht="24">
      <c r="A105" s="3118">
        <v>33</v>
      </c>
      <c r="B105" s="3815"/>
      <c r="C105" s="3092" t="s">
        <v>2720</v>
      </c>
      <c r="D105" s="3092" t="s">
        <v>2721</v>
      </c>
      <c r="E105" s="3118">
        <v>0.1</v>
      </c>
      <c r="F105" s="3118">
        <v>15</v>
      </c>
    </row>
    <row r="106" spans="1:6" ht="24">
      <c r="A106" s="3118">
        <v>34</v>
      </c>
      <c r="B106" s="3824"/>
      <c r="C106" s="3092" t="s">
        <v>2722</v>
      </c>
      <c r="D106" s="3092" t="s">
        <v>2723</v>
      </c>
      <c r="E106" s="3118">
        <v>0.1</v>
      </c>
      <c r="F106" s="3118">
        <v>15</v>
      </c>
    </row>
    <row r="107" spans="1:6" ht="24">
      <c r="A107" s="3118">
        <v>35</v>
      </c>
      <c r="B107" s="3820" t="s">
        <v>2724</v>
      </c>
      <c r="C107" s="3118" t="s">
        <v>2725</v>
      </c>
      <c r="D107" s="3092" t="s">
        <v>2726</v>
      </c>
      <c r="E107" s="3118">
        <v>0.15</v>
      </c>
      <c r="F107" s="3118">
        <v>20</v>
      </c>
    </row>
    <row r="108" spans="1:6" ht="13.5">
      <c r="A108" s="3118">
        <v>36</v>
      </c>
      <c r="B108" s="3815"/>
      <c r="C108" s="3118" t="s">
        <v>2727</v>
      </c>
      <c r="D108" s="3092" t="s">
        <v>2728</v>
      </c>
      <c r="E108" s="3118">
        <v>0.15</v>
      </c>
      <c r="F108" s="3118">
        <v>20</v>
      </c>
    </row>
    <row r="109" spans="1:6" ht="13.5">
      <c r="A109" s="3118">
        <v>37</v>
      </c>
      <c r="B109" s="3815"/>
      <c r="C109" s="3118" t="s">
        <v>2729</v>
      </c>
      <c r="D109" s="3092" t="s">
        <v>2730</v>
      </c>
      <c r="E109" s="3118">
        <v>0.15</v>
      </c>
      <c r="F109" s="3118">
        <v>20</v>
      </c>
    </row>
    <row r="110" spans="1:6" ht="13.5">
      <c r="A110" s="3118">
        <v>38</v>
      </c>
      <c r="B110" s="3815"/>
      <c r="C110" s="3118" t="s">
        <v>2731</v>
      </c>
      <c r="D110" s="3092" t="s">
        <v>2732</v>
      </c>
      <c r="E110" s="3118">
        <v>0.1</v>
      </c>
      <c r="F110" s="3118">
        <v>15</v>
      </c>
    </row>
    <row r="111" spans="1:6" ht="24">
      <c r="A111" s="3118">
        <v>39</v>
      </c>
      <c r="B111" s="3815"/>
      <c r="C111" s="3118" t="s">
        <v>2733</v>
      </c>
      <c r="D111" s="3092" t="s">
        <v>2734</v>
      </c>
      <c r="E111" s="3118">
        <v>0.1</v>
      </c>
      <c r="F111" s="3118">
        <v>15</v>
      </c>
    </row>
    <row r="112" spans="1:6" ht="24">
      <c r="A112" s="3118">
        <v>40</v>
      </c>
      <c r="B112" s="3824"/>
      <c r="C112" s="3118" t="s">
        <v>2735</v>
      </c>
      <c r="D112" s="3092" t="s">
        <v>2736</v>
      </c>
      <c r="E112" s="3118">
        <v>0.1</v>
      </c>
      <c r="F112" s="3118">
        <v>15</v>
      </c>
    </row>
    <row r="113" spans="1:6" ht="13.5">
      <c r="A113" s="3118">
        <v>41</v>
      </c>
      <c r="B113" s="3825" t="s">
        <v>2737</v>
      </c>
      <c r="C113" s="3118" t="s">
        <v>2738</v>
      </c>
      <c r="D113" s="3092" t="s">
        <v>2739</v>
      </c>
      <c r="E113" s="3118">
        <v>0.1</v>
      </c>
      <c r="F113" s="3118">
        <v>15</v>
      </c>
    </row>
    <row r="114" spans="1:6" ht="13.5">
      <c r="A114" s="3118">
        <v>42</v>
      </c>
      <c r="B114" s="3825"/>
      <c r="C114" s="3118" t="s">
        <v>2740</v>
      </c>
      <c r="D114" s="3092" t="s">
        <v>2741</v>
      </c>
      <c r="E114" s="3118">
        <v>0.1</v>
      </c>
      <c r="F114" s="3118">
        <v>15</v>
      </c>
    </row>
    <row r="115" spans="1:6" ht="24">
      <c r="A115" s="3118">
        <v>43</v>
      </c>
      <c r="B115" s="3825"/>
      <c r="C115" s="3118" t="s">
        <v>2742</v>
      </c>
      <c r="D115" s="3092" t="s">
        <v>2743</v>
      </c>
      <c r="E115" s="3118">
        <v>0.1</v>
      </c>
      <c r="F115" s="3118">
        <v>15</v>
      </c>
    </row>
    <row r="116" spans="1:6" ht="13.5">
      <c r="A116" s="3118">
        <v>44</v>
      </c>
      <c r="B116" s="3820" t="s">
        <v>2744</v>
      </c>
      <c r="C116" s="3118" t="s">
        <v>2745</v>
      </c>
      <c r="D116" s="3092" t="s">
        <v>2746</v>
      </c>
      <c r="E116" s="3118">
        <v>0.1</v>
      </c>
      <c r="F116" s="3118">
        <v>15</v>
      </c>
    </row>
    <row r="117" spans="1:6" ht="24">
      <c r="A117" s="3118">
        <v>45</v>
      </c>
      <c r="B117" s="3824"/>
      <c r="C117" s="3092" t="s">
        <v>2747</v>
      </c>
      <c r="D117" s="3092" t="s">
        <v>2748</v>
      </c>
      <c r="E117" s="3118">
        <v>0.1</v>
      </c>
      <c r="F117" s="3118">
        <v>15</v>
      </c>
    </row>
    <row r="118" spans="1:6" ht="24">
      <c r="A118" s="3118">
        <v>46</v>
      </c>
      <c r="B118" s="3820" t="s">
        <v>2749</v>
      </c>
      <c r="C118" s="3118" t="s">
        <v>2750</v>
      </c>
      <c r="D118" s="3092" t="s">
        <v>2751</v>
      </c>
      <c r="E118" s="3118">
        <v>0.1</v>
      </c>
      <c r="F118" s="3118">
        <v>15</v>
      </c>
    </row>
    <row r="119" spans="1:6" ht="24">
      <c r="A119" s="3118">
        <v>47</v>
      </c>
      <c r="B119" s="3824"/>
      <c r="C119" s="3118" t="s">
        <v>2752</v>
      </c>
      <c r="D119" s="3092" t="s">
        <v>2753</v>
      </c>
      <c r="E119" s="3118">
        <v>0.1</v>
      </c>
      <c r="F119" s="3118">
        <v>15</v>
      </c>
    </row>
    <row r="120" spans="1:6" ht="13.5">
      <c r="A120" s="3118">
        <v>48</v>
      </c>
      <c r="B120" s="3820" t="s">
        <v>2754</v>
      </c>
      <c r="C120" s="3118" t="s">
        <v>2755</v>
      </c>
      <c r="D120" s="3092" t="s">
        <v>2756</v>
      </c>
      <c r="E120" s="3118">
        <v>0.1</v>
      </c>
      <c r="F120" s="3118">
        <v>15</v>
      </c>
    </row>
    <row r="121" spans="1:6" ht="13.5">
      <c r="A121" s="3118">
        <v>49</v>
      </c>
      <c r="B121" s="3824"/>
      <c r="C121" s="3118" t="s">
        <v>2757</v>
      </c>
      <c r="D121" s="3092" t="s">
        <v>2758</v>
      </c>
      <c r="E121" s="3118">
        <v>0.1</v>
      </c>
      <c r="F121" s="3118">
        <v>15</v>
      </c>
    </row>
    <row r="122" spans="1:6" ht="24">
      <c r="A122" s="3118">
        <v>50</v>
      </c>
      <c r="B122" s="3825" t="s">
        <v>2759</v>
      </c>
      <c r="C122" s="3118" t="s">
        <v>2760</v>
      </c>
      <c r="D122" s="3092" t="s">
        <v>2761</v>
      </c>
      <c r="E122" s="3118">
        <v>0.1</v>
      </c>
      <c r="F122" s="3118">
        <v>15</v>
      </c>
    </row>
    <row r="123" spans="1:6" ht="24">
      <c r="A123" s="3118">
        <v>51</v>
      </c>
      <c r="B123" s="3825"/>
      <c r="C123" s="3118" t="s">
        <v>2762</v>
      </c>
      <c r="D123" s="3092" t="s">
        <v>2763</v>
      </c>
      <c r="E123" s="3118">
        <v>0.1</v>
      </c>
      <c r="F123" s="3118">
        <v>15</v>
      </c>
    </row>
    <row r="124" spans="1:6" ht="24">
      <c r="A124" s="3118">
        <v>52</v>
      </c>
      <c r="B124" s="3825" t="s">
        <v>2764</v>
      </c>
      <c r="C124" s="3118" t="s">
        <v>2765</v>
      </c>
      <c r="D124" s="3092" t="s">
        <v>2766</v>
      </c>
      <c r="E124" s="3118">
        <v>0.1</v>
      </c>
      <c r="F124" s="3118">
        <v>15</v>
      </c>
    </row>
    <row r="125" spans="1:6" ht="24">
      <c r="A125" s="3118">
        <v>53</v>
      </c>
      <c r="B125" s="382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25" t="s">
        <v>2772</v>
      </c>
      <c r="C127" s="3118" t="s">
        <v>2773</v>
      </c>
      <c r="D127" s="3092" t="s">
        <v>2774</v>
      </c>
      <c r="E127" s="3118">
        <v>0.1</v>
      </c>
      <c r="F127" s="3118">
        <v>15</v>
      </c>
    </row>
    <row r="128" spans="1:6" ht="13.5">
      <c r="A128" s="3118">
        <v>56</v>
      </c>
      <c r="B128" s="3825"/>
      <c r="C128" s="3118" t="s">
        <v>2775</v>
      </c>
      <c r="D128" s="3092" t="s">
        <v>2776</v>
      </c>
      <c r="E128" s="3118">
        <v>0.1</v>
      </c>
      <c r="F128" s="3118">
        <v>15</v>
      </c>
    </row>
    <row r="129" spans="1:6" ht="24">
      <c r="A129" s="3118">
        <v>57</v>
      </c>
      <c r="B129" s="3825"/>
      <c r="C129" s="3118" t="s">
        <v>2777</v>
      </c>
      <c r="D129" s="3092" t="s">
        <v>2778</v>
      </c>
      <c r="E129" s="3118">
        <v>0.1</v>
      </c>
      <c r="F129" s="3118">
        <v>15</v>
      </c>
    </row>
    <row r="130" spans="1:6" ht="24">
      <c r="A130" s="3118">
        <v>58</v>
      </c>
      <c r="B130" s="3825" t="s">
        <v>2779</v>
      </c>
      <c r="C130" s="3118" t="s">
        <v>2780</v>
      </c>
      <c r="D130" s="3092" t="s">
        <v>2781</v>
      </c>
      <c r="E130" s="3118">
        <v>0.1</v>
      </c>
      <c r="F130" s="3118">
        <v>15</v>
      </c>
    </row>
    <row r="131" spans="1:6" ht="13.5">
      <c r="A131" s="3118">
        <v>59</v>
      </c>
      <c r="B131" s="3825"/>
      <c r="C131" s="3118" t="s">
        <v>2782</v>
      </c>
      <c r="D131" s="3092" t="s">
        <v>2783</v>
      </c>
      <c r="E131" s="3118">
        <v>0.1</v>
      </c>
      <c r="F131" s="3118">
        <v>15</v>
      </c>
    </row>
    <row r="132" spans="1:6" ht="13.5">
      <c r="A132" s="3118">
        <v>60</v>
      </c>
      <c r="B132" s="3820" t="s">
        <v>2784</v>
      </c>
      <c r="C132" s="3118" t="s">
        <v>2785</v>
      </c>
      <c r="D132" s="3092" t="s">
        <v>2786</v>
      </c>
      <c r="E132" s="3118">
        <v>0.1</v>
      </c>
      <c r="F132" s="3118">
        <v>15</v>
      </c>
    </row>
    <row r="133" spans="1:6" ht="13.5">
      <c r="A133" s="3118">
        <v>61</v>
      </c>
      <c r="B133" s="382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25" t="s">
        <v>2792</v>
      </c>
      <c r="C135" s="3118" t="s">
        <v>2793</v>
      </c>
      <c r="D135" s="3092" t="s">
        <v>2794</v>
      </c>
      <c r="E135" s="3118">
        <v>0.1</v>
      </c>
      <c r="F135" s="3118">
        <v>15</v>
      </c>
    </row>
    <row r="136" spans="1:6" ht="13.5">
      <c r="A136" s="3118">
        <v>64</v>
      </c>
      <c r="B136" s="382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30789</v>
      </c>
      <c r="C2" s="2" t="s">
        <v>106</v>
      </c>
      <c r="D2" s="199"/>
      <c r="E2" s="199"/>
      <c r="F2" s="199"/>
      <c r="G2" s="199"/>
    </row>
    <row r="3" spans="1:7" s="200" customFormat="1" ht="18" customHeight="1" thickBot="1">
      <c r="A3" s="203" t="s">
        <v>58</v>
      </c>
      <c r="B3" s="204">
        <f ca="1">ROUND(B2*10000/'数据-汇总表'!E3,0)</f>
        <v>3060233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100.61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100.61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100.61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1E-3</v>
      </c>
      <c r="D44" s="238"/>
      <c r="E44" s="238"/>
      <c r="F44" s="239"/>
      <c r="G44" s="3691"/>
    </row>
    <row r="45" spans="1:7" s="214" customFormat="1" ht="13.5" customHeight="1">
      <c r="A45" s="777" t="s">
        <v>341</v>
      </c>
      <c r="B45" s="244" t="s">
        <v>85</v>
      </c>
      <c r="C45" s="245">
        <f>C46</f>
        <v>11</v>
      </c>
      <c r="D45" s="235">
        <f>C47</f>
        <v>5.0000000000000001E-3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46</v>
      </c>
      <c r="D51" s="232"/>
      <c r="E51" s="232"/>
      <c r="F51" s="264"/>
      <c r="G51" s="234" t="s">
        <v>37</v>
      </c>
    </row>
    <row r="52" spans="1:7" s="208" customFormat="1" ht="16.5" thickBot="1">
      <c r="A52" s="265" t="s">
        <v>38</v>
      </c>
      <c r="B52" s="266"/>
      <c r="C52" s="267">
        <f ca="1">C31+C51</f>
        <v>30789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8" t="s">
        <v>2844</v>
      </c>
      <c r="B1" s="3828"/>
      <c r="C1" s="3828"/>
      <c r="D1" s="3828"/>
      <c r="E1" s="3828"/>
      <c r="F1" s="3828"/>
      <c r="G1" s="382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82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82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30" t="s">
        <v>3186</v>
      </c>
      <c r="B1" s="383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3290"/>
  </cols>
  <sheetData>
    <row r="1" spans="1:6">
      <c r="A1" s="3831" t="s">
        <v>3237</v>
      </c>
      <c r="B1" s="3831"/>
      <c r="C1" s="3831"/>
      <c r="D1" s="3831"/>
      <c r="E1" s="3831"/>
      <c r="F1" s="383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44821</v>
      </c>
      <c r="B1" s="3210" t="s">
        <v>2843</v>
      </c>
      <c r="C1" s="3211"/>
      <c r="D1" s="3211"/>
      <c r="E1" s="3211"/>
      <c r="F1" s="3211"/>
      <c r="G1" s="3211"/>
      <c r="H1" s="3211"/>
      <c r="I1" s="3211"/>
      <c r="J1" s="3165"/>
      <c r="K1" s="3211" t="s">
        <v>454</v>
      </c>
      <c r="L1" s="3211"/>
      <c r="M1" s="3211"/>
      <c r="N1" s="3211"/>
      <c r="O1" s="3211"/>
      <c r="P1" s="3211"/>
      <c r="Q1" s="3165"/>
      <c r="R1" s="3833" t="s">
        <v>456</v>
      </c>
      <c r="S1" s="3834"/>
      <c r="T1" s="3834"/>
      <c r="U1" s="3834"/>
      <c r="V1" s="3834"/>
      <c r="W1" s="3834"/>
      <c r="X1" s="3165"/>
      <c r="Y1" s="3833" t="s">
        <v>457</v>
      </c>
      <c r="Z1" s="3834"/>
      <c r="AA1" s="3834"/>
      <c r="AB1" s="3834"/>
      <c r="AC1" s="3834"/>
      <c r="AD1" s="383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833" t="s">
        <v>2831</v>
      </c>
      <c r="S21" s="3834"/>
      <c r="T21" s="3834"/>
      <c r="U21" s="3834"/>
      <c r="V21" s="3834"/>
      <c r="W21" s="3834"/>
      <c r="X21" s="3165"/>
      <c r="Y21" s="3833" t="s">
        <v>2832</v>
      </c>
      <c r="Z21" s="3834"/>
      <c r="AA21" s="3834"/>
      <c r="AB21" s="3834"/>
      <c r="AC21" s="3834"/>
      <c r="AD21" s="383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0" t="s">
        <v>452</v>
      </c>
      <c r="C1" s="3840"/>
      <c r="D1" s="3840"/>
      <c r="E1" s="3840"/>
      <c r="F1" s="3840"/>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44821</v>
      </c>
      <c r="D1" s="1302" t="s">
        <v>603</v>
      </c>
      <c r="E1" s="1297">
        <f>'数据-取费表'!B22</f>
        <v>2</v>
      </c>
      <c r="F1" s="1302" t="s">
        <v>604</v>
      </c>
      <c r="G1" s="1298">
        <f ca="1">INDIRECT("d"&amp;$K$1)/100</f>
        <v>3.6499999999999998E-2</v>
      </c>
      <c r="H1" s="1302" t="s">
        <v>634</v>
      </c>
      <c r="I1" s="1298">
        <f ca="1">F4/100</f>
        <v>1.4999999999999999E-2</v>
      </c>
      <c r="J1" s="1303">
        <f>IF(C1&gt;C13,0,MATCH(C1,C$13:C$111,-1))+IF(SUMIF(C13:C111,C1,D13:D111)=0,13,12)</f>
        <v>15</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7" t="str">
        <f>IF(项目基本情况!B9="房地产市场价值","估价结果一览表","结果表-2")</f>
        <v>结果表-2</v>
      </c>
      <c r="B1" s="3517"/>
      <c r="C1" s="3517"/>
      <c r="D1" s="3517"/>
      <c r="E1" s="3517"/>
      <c r="F1" s="3517"/>
      <c r="G1" s="3517"/>
      <c r="H1" s="3517"/>
      <c r="I1" s="3517"/>
    </row>
    <row r="2" spans="1:9" ht="30" customHeight="1" thickTop="1">
      <c r="A2" s="3518" t="s">
        <v>928</v>
      </c>
      <c r="B2" s="3518" t="s">
        <v>929</v>
      </c>
      <c r="C2" s="3518" t="s">
        <v>930</v>
      </c>
      <c r="D2" s="3518" t="str">
        <f>结果表!D116</f>
        <v>出让国有建设用地使用权价值</v>
      </c>
      <c r="E2" s="3518"/>
      <c r="F2" s="3518" t="str">
        <f>结果表!F116</f>
        <v>在建建筑物价值</v>
      </c>
      <c r="G2" s="3518"/>
      <c r="H2" s="3518" t="str">
        <f>IF(项目基本情况!B9="房地产市场价值","房地产市场价值","房地产价值")</f>
        <v>房地产价值</v>
      </c>
      <c r="I2" s="3518"/>
    </row>
    <row r="3" spans="1:9" ht="15">
      <c r="A3" s="3519"/>
      <c r="B3" s="3519"/>
      <c r="C3" s="3519"/>
      <c r="D3" s="854" t="s">
        <v>925</v>
      </c>
      <c r="E3" s="854" t="s">
        <v>931</v>
      </c>
      <c r="F3" s="854" t="s">
        <v>925</v>
      </c>
      <c r="G3" s="854" t="s">
        <v>926</v>
      </c>
      <c r="H3" s="854" t="s">
        <v>925</v>
      </c>
      <c r="I3" s="854" t="s">
        <v>926</v>
      </c>
    </row>
    <row r="4" spans="1:9" ht="15">
      <c r="A4" s="1505" t="str">
        <f>项目基本情况!S2</f>
        <v>北京市房地产</v>
      </c>
      <c r="B4" s="854">
        <f>项目基本情况!C17</f>
        <v>100.61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9" t="s">
        <v>927</v>
      </c>
      <c r="B5" s="3519"/>
      <c r="C5" s="3519"/>
      <c r="D5" s="3519" t="e">
        <f ca="1">结果表!D119</f>
        <v>#REF!</v>
      </c>
      <c r="E5" s="3519"/>
      <c r="F5" s="3519" t="e">
        <f ca="1">结果表!F119</f>
        <v>#REF!</v>
      </c>
      <c r="G5" s="3519"/>
      <c r="H5" s="3519" t="e">
        <f ca="1">结果表!H119</f>
        <v>#REF!</v>
      </c>
      <c r="I5" s="3519"/>
    </row>
    <row r="6" spans="1:9" ht="15.75">
      <c r="A6" s="3520" t="str">
        <f>结果表!A120</f>
        <v>估价师知悉的法定优先受偿款</v>
      </c>
      <c r="B6" s="3520"/>
      <c r="C6" s="3520"/>
      <c r="D6" s="3520">
        <f>结果表!D120</f>
        <v>0</v>
      </c>
      <c r="E6" s="3520"/>
      <c r="F6" s="3520"/>
      <c r="G6" s="3520"/>
      <c r="H6" s="3520"/>
      <c r="I6" s="3520"/>
    </row>
    <row r="7" spans="1:9" ht="15">
      <c r="A7" s="3519" t="s">
        <v>927</v>
      </c>
      <c r="B7" s="3519"/>
      <c r="C7" s="3519"/>
      <c r="D7" s="3521" t="str">
        <f>结果表!D121</f>
        <v>零元整</v>
      </c>
      <c r="E7" s="3522"/>
      <c r="F7" s="3522"/>
      <c r="G7" s="3522"/>
      <c r="H7" s="3522"/>
      <c r="I7" s="3523"/>
    </row>
    <row r="8" spans="1:9" ht="15.75">
      <c r="A8" s="3520" t="str">
        <f>结果表!A122</f>
        <v>房地产抵押价值</v>
      </c>
      <c r="B8" s="3520"/>
      <c r="C8" s="3520"/>
      <c r="D8" s="3520" t="e">
        <f ca="1">结果表!D122</f>
        <v>#REF!</v>
      </c>
      <c r="E8" s="3520"/>
      <c r="F8" s="3520"/>
      <c r="G8" s="3520"/>
      <c r="H8" s="3520"/>
      <c r="I8" s="3520"/>
    </row>
    <row r="9" spans="1:9" ht="15">
      <c r="A9" s="3519" t="s">
        <v>927</v>
      </c>
      <c r="B9" s="3519"/>
      <c r="C9" s="3519"/>
      <c r="D9" s="3519" t="e">
        <f ca="1">结果表!D123</f>
        <v>#REF!</v>
      </c>
      <c r="E9" s="3519"/>
      <c r="F9" s="3519"/>
      <c r="G9" s="3519"/>
      <c r="H9" s="3519"/>
      <c r="I9" s="3519"/>
    </row>
    <row r="10" spans="1:9" ht="15.75">
      <c r="A10" s="3520" t="str">
        <f>结果表!A124</f>
        <v/>
      </c>
      <c r="B10" s="3520"/>
      <c r="C10" s="3520"/>
      <c r="D10" s="3520" t="str">
        <f>结果表!D124</f>
        <v>——</v>
      </c>
      <c r="E10" s="3520"/>
      <c r="F10" s="3520"/>
      <c r="G10" s="3520"/>
      <c r="H10" s="3520"/>
      <c r="I10" s="3520"/>
    </row>
    <row r="11" spans="1:9" ht="15">
      <c r="A11" s="3519" t="s">
        <v>927</v>
      </c>
      <c r="B11" s="3519"/>
      <c r="C11" s="3519"/>
      <c r="D11" s="3519" t="e">
        <f>结果表!D125</f>
        <v>#VALUE!</v>
      </c>
      <c r="E11" s="3519"/>
      <c r="F11" s="3519"/>
      <c r="G11" s="3519"/>
      <c r="H11" s="3519"/>
      <c r="I11" s="3519"/>
    </row>
    <row r="12" spans="1:9" ht="15.75">
      <c r="A12" s="3520" t="str">
        <f>结果表!A126</f>
        <v/>
      </c>
      <c r="B12" s="3520"/>
      <c r="C12" s="3520"/>
      <c r="D12" s="3520" t="str">
        <f>结果表!D126</f>
        <v>——</v>
      </c>
      <c r="E12" s="3520"/>
      <c r="F12" s="3520"/>
      <c r="G12" s="3520"/>
      <c r="H12" s="3520"/>
      <c r="I12" s="3520"/>
    </row>
    <row r="13" spans="1:9" ht="15.75" thickBot="1">
      <c r="A13" s="3524" t="s">
        <v>927</v>
      </c>
      <c r="B13" s="3524"/>
      <c r="C13" s="3524"/>
      <c r="D13" s="3524" t="e">
        <f>结果表!D127</f>
        <v>#VALUE!</v>
      </c>
      <c r="E13" s="3524"/>
      <c r="F13" s="3524"/>
      <c r="G13" s="3524"/>
      <c r="H13" s="3524"/>
      <c r="I13" s="3524"/>
    </row>
    <row r="14" spans="1:9" ht="15" thickTop="1">
      <c r="A14" s="3525" t="s">
        <v>932</v>
      </c>
      <c r="B14" s="3525"/>
      <c r="C14" s="3525"/>
      <c r="D14" s="3525"/>
      <c r="E14" s="3525"/>
      <c r="F14" s="3525"/>
      <c r="G14" s="3525"/>
      <c r="H14" s="3525"/>
      <c r="I14" s="352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100.61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44821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1060.2081000000001</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100.61</v>
      </c>
      <c r="C14" s="2518"/>
      <c r="D14" s="2518">
        <f ca="1">ROUND(结果表!G20*'数据-汇总表'!E19/10000,4)</f>
        <v>1060.2081000000001</v>
      </c>
      <c r="E14" s="2518">
        <f ca="1">ROUND(D14*10000/B14,0)</f>
        <v>105378</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6" t="s">
        <v>949</v>
      </c>
      <c r="B1" s="3526"/>
      <c r="C1" s="3526"/>
      <c r="D1" s="3526"/>
    </row>
    <row r="2" spans="1:4" ht="18">
      <c r="A2" s="3527" t="s">
        <v>933</v>
      </c>
      <c r="B2" s="3527"/>
      <c r="C2" s="3527"/>
      <c r="D2" s="3527"/>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梁津</v>
      </c>
      <c r="B5" s="1511">
        <f ca="1">项目基本情况!E4</f>
        <v>1119970066</v>
      </c>
      <c r="C5" s="1514"/>
      <c r="D5" s="1513" t="s">
        <v>938</v>
      </c>
    </row>
    <row r="6" spans="1:4" ht="18">
      <c r="A6" s="3527" t="s">
        <v>939</v>
      </c>
      <c r="B6" s="3527"/>
      <c r="C6" s="3527"/>
      <c r="D6" s="352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8"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0"/>
      <c r="C12" s="3530"/>
      <c r="D12" s="3530"/>
    </row>
    <row r="13" spans="1:4" ht="30" customHeight="1">
      <c r="A13" s="3529" t="str">
        <f>IF(项目基本情况!B8="抵押","3.抵押双方在办理抵押登记手续时，应使用本公司出具的正式《房地产评估报告》，特提醒报告使用者注意。","——")</f>
        <v>——</v>
      </c>
      <c r="B13" s="3530"/>
      <c r="C13" s="3530"/>
      <c r="D13" s="3530"/>
    </row>
    <row r="14" spans="1:4" ht="15.75" customHeight="1">
      <c r="A14" s="3529" t="str">
        <f>IF(项目基本情况!B8="抵押","4.本次评估估价师所知悉的法定优先受偿款情况说明如下：","——")</f>
        <v>——</v>
      </c>
      <c r="B14" s="3530"/>
      <c r="C14" s="3530"/>
      <c r="D14" s="3530"/>
    </row>
    <row r="15" spans="1:4" ht="42" customHeight="1">
      <c r="A15" s="3529" t="str">
        <f>IF(项目基本情况!B8="抵押","（1）"&amp;CONCATENATE(项目基本情况!L20,项目基本情况!L21,项目基本情况!L22),"——")</f>
        <v>——</v>
      </c>
      <c r="B15" s="3529"/>
      <c r="C15" s="3529"/>
      <c r="D15" s="3529"/>
    </row>
    <row r="16" spans="1:4" ht="30" customHeight="1">
      <c r="A16" s="3532" t="s">
        <v>943</v>
      </c>
      <c r="B16" s="3532"/>
      <c r="C16" s="3532"/>
      <c r="D16" s="3532"/>
    </row>
    <row r="17" spans="1:4" ht="144" customHeight="1">
      <c r="A17" s="3532" t="s">
        <v>944</v>
      </c>
      <c r="B17" s="3532"/>
      <c r="C17" s="3532"/>
      <c r="D17" s="3532"/>
    </row>
    <row r="18" spans="1:4" ht="15.75" customHeight="1">
      <c r="A18" s="3529" t="str">
        <f>IF(项目基本情况!B8="抵押",结果表!K120,"——")</f>
        <v>——</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9"/>
      <c r="C20" s="3529"/>
      <c r="D20" s="3529"/>
    </row>
    <row r="21" spans="1:4" ht="57.75" customHeight="1">
      <c r="A21" s="3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3"/>
      <c r="C21" s="3533"/>
      <c r="D21" s="3533"/>
    </row>
    <row r="22" spans="1:4" ht="18.75" customHeight="1">
      <c r="A22" s="3534" t="s">
        <v>945</v>
      </c>
      <c r="B22" s="3534"/>
      <c r="C22" s="3534"/>
      <c r="D22" s="353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1">
        <v>42551</v>
      </c>
      <c r="D31" s="35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0" t="s">
        <v>956</v>
      </c>
      <c r="B15" s="3535" t="s">
        <v>109</v>
      </c>
      <c r="C15" s="3536"/>
    </row>
    <row r="16" spans="1:7" ht="13.5">
      <c r="A16" s="3541"/>
      <c r="B16" s="3535" t="s">
        <v>42</v>
      </c>
      <c r="C16" s="3536"/>
    </row>
    <row r="17" spans="1:3" ht="13.5">
      <c r="A17" s="3541"/>
      <c r="B17" s="3538" t="s">
        <v>957</v>
      </c>
      <c r="C17" s="1532" t="s">
        <v>956</v>
      </c>
    </row>
    <row r="18" spans="1:3" ht="13.5">
      <c r="A18" s="3541"/>
      <c r="B18" s="3538"/>
      <c r="C18" s="1532" t="s">
        <v>958</v>
      </c>
    </row>
    <row r="19" spans="1:3" ht="13.5">
      <c r="A19" s="3541"/>
      <c r="B19" s="3538"/>
      <c r="C19" s="1532" t="s">
        <v>959</v>
      </c>
    </row>
    <row r="20" spans="1:3" ht="13.5">
      <c r="A20" s="3542"/>
      <c r="B20" s="3537" t="s">
        <v>960</v>
      </c>
      <c r="C20" s="3536"/>
    </row>
    <row r="21" spans="1:3" ht="13.5">
      <c r="A21" s="1533" t="s">
        <v>961</v>
      </c>
      <c r="B21" s="1534"/>
      <c r="C21" s="1535"/>
    </row>
    <row r="22" spans="1:3" ht="13.5">
      <c r="A22" s="3539" t="s">
        <v>962</v>
      </c>
      <c r="B22" s="3537" t="s">
        <v>963</v>
      </c>
      <c r="C22" s="3536"/>
    </row>
    <row r="23" spans="1:3" ht="13.5">
      <c r="A23" s="3539"/>
      <c r="B23" s="3537" t="s">
        <v>964</v>
      </c>
      <c r="C23" s="3536"/>
    </row>
    <row r="24" spans="1:3" ht="13.5">
      <c r="A24" s="3539"/>
      <c r="B24" s="3537" t="s">
        <v>965</v>
      </c>
      <c r="C24" s="3536"/>
    </row>
    <row r="25" spans="1:3" ht="13.5">
      <c r="A25" s="3539"/>
      <c r="B25" s="3538" t="s">
        <v>966</v>
      </c>
      <c r="C25" s="1532" t="s">
        <v>967</v>
      </c>
    </row>
    <row r="26" spans="1:3" ht="13.5">
      <c r="A26" s="3539"/>
      <c r="B26" s="3538"/>
      <c r="C26" s="1532" t="s">
        <v>968</v>
      </c>
    </row>
    <row r="27" spans="1:3" ht="13.5">
      <c r="A27" s="3539"/>
      <c r="B27" s="3538"/>
      <c r="C27" s="1532" t="s">
        <v>969</v>
      </c>
    </row>
    <row r="28" spans="1:3" ht="13.5">
      <c r="A28" s="3539"/>
      <c r="B28" s="3538"/>
      <c r="C28" s="1532" t="s">
        <v>970</v>
      </c>
    </row>
    <row r="29" spans="1:3" ht="13.5">
      <c r="A29" s="3539"/>
      <c r="B29" s="3538"/>
      <c r="C29" s="1532" t="s">
        <v>971</v>
      </c>
    </row>
    <row r="30" spans="1:3" ht="13.5">
      <c r="A30" s="3539"/>
      <c r="B30" s="3538"/>
      <c r="C30" s="1532" t="s">
        <v>972</v>
      </c>
    </row>
    <row r="31" spans="1:3" ht="13.5">
      <c r="A31" s="3539"/>
      <c r="B31" s="3538"/>
      <c r="C31" s="1532" t="s">
        <v>973</v>
      </c>
    </row>
    <row r="32" spans="1:3" ht="13.5">
      <c r="A32" s="3539"/>
      <c r="B32" s="3538"/>
      <c r="C32" s="1532" t="s">
        <v>974</v>
      </c>
    </row>
    <row r="33" spans="1:3" ht="13.5">
      <c r="A33" s="3539"/>
      <c r="B33" s="353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3"/>
      <c r="E18" s="3545" t="s">
        <v>2162</v>
      </c>
      <c r="F18" s="3544"/>
      <c r="G18" s="354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法拍</vt:lpstr>
      <vt:lpstr>三部案例</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2023-11-21T08:52:37Z</dcterms:modified>
</cp:coreProperties>
</file>