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105" windowHeight="1110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<sst xmlns="http://schemas.openxmlformats.org/spreadsheetml/2006/main" count="7861" uniqueCount="2768">
  <si>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</si>
  <si>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</si>
  <si>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</si>
  <si>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</si>
  <si>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</si>
  <si>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</si>
  <si>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</si>
  <si>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</si>
  <si>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</si>
  <si>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</si>
  <si>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</si>
  <si>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</si>
  <si>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</si>
  <si>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</si>
  <si>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</si>
  <si>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</si>
  <si>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</si>
  <si>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</si>
  <si>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</si>
  <si>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</si>
  <si>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</si>
  <si>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</si>
  <si>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</si>
  <si>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</si>
  <si>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</si>
  <si>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</si>
  <si>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</si>
  <si>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</si>
  <si>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</si>
  <si>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</si>
  <si>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</si>
  <si>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</si>
  <si>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</si>
  <si>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</si>
  <si>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</si>
  <si>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</si>
  <si>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</si>
  <si>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</si>
  <si>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</si>
  <si>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</si>
  <si>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</si>
  <si>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</si>
  <si>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</si>
  <si>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</si>
  <si>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</si>
  <si>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</si>
  <si>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</si>
  <si>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</si>
  <si>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</si>
  <si>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</si>
  <si>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</si>
  <si>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</si>
  <si>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</si>
  <si>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</si>
  <si>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</si>
  <si>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</si>
  <si>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</si>
  <si>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</si>
  <si>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</si>
  <si>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</si>
  <si>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</si>
  <si>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</si>
  <si>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</si>
  <si>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</si>
  <si>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</si>
  <si>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</si>
  <si>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</si>
  <si>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</si>
  <si>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</si>
  <si>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</si>
  <si>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</si>
  <si>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</si>
  <si>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</si>
  <si>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</si>
  <si>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</si>
  <si>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</si>
  <si>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</si>
  <si>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</si>
  <si>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</si>
  <si>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</si>
  <si>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</si>
  <si>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</si>
  <si>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</si>
  <si>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</si>
  <si>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</si>
  <si>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</si>
  <si>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</si>
  <si>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</si>
  <si>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</si>
  <si>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</si>
  <si>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</si>
  <si>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</si>
  <si>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</si>
  <si>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</si>
  <si>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</si>
  <si>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</si>
  <si>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</si>
  <si>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</si>
  <si>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</si>
  <si>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</si>
  <si>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</si>
  <si>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</si>
  <si>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</si>
  <si>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</si>
  <si>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</si>
  <si>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</si>
  <si>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</si>
  <si>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</si>
  <si>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</si>
  <si>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</si>
  <si>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</si>
  <si>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</si>
  <si>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</si>
  <si>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</si>
  <si>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</si>
  <si>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</si>
  <si>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</si>
  <si>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</si>
  <si>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</si>
  <si>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</si>
  <si>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</si>
  <si>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</si>
  <si>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</si>
  <si>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</si>
  <si>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</si>
  <si>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</si>
  <si>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</si>
  <si>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</si>
  <si>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</si>
  <si>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</si>
  <si>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</si>
  <si>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</si>
  <si>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</si>
  <si>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</si>
  <si>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</si>
  <si>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</si>
  <si>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</si>
  <si>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</si>
  <si>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</si>
  <si>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</si>
  <si>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</si>
  <si>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</si>
  <si>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</si>
  <si>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</si>
  <si>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</si>
  <si>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</si>
  <si>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</si>
  <si>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</si>
  <si>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</si>
  <si>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</si>
  <si>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</si>
  <si>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</si>
  <si>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</si>
  <si>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</si>
  <si>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</si>
  <si>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</si>
  <si>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</si>
  <si>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</si>
  <si>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</si>
  <si>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</si>
  <si>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</si>
  <si>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</si>
  <si>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</si>
  <si>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</si>
  <si>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</si>
  <si>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</si>
  <si>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</si>
  <si>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</si>
  <si>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</si>
  <si>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</si>
  <si>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</si>
  <si>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</si>
  <si>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</si>
  <si>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</si>
  <si>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</si>
  <si>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</si>
  <si>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</si>
  <si>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</si>
  <si>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</si>
  <si>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</si>
  <si>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</si>
  <si>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</si>
  <si>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</si>
  <si>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</si>
  <si>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</si>
  <si>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</si>
  <si>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</si>
  <si>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</si>
  <si>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</si>
  <si>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</si>
  <si>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</si>
  <si>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</si>
  <si>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</si>
  <si>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</si>
  <si>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</si>
  <si>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</si>
  <si>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</si>
  <si>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</si>
  <si>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</si>
  <si>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</si>
  <si>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</si>
  <si>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</si>
  <si>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</si>
  <si>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</si>
  <si>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</si>
  <si>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</si>
  <si>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</si>
  <si>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</si>
  <si>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</si>
  <si>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</si>
  <si>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</si>
  <si>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</si>
  <si>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</si>
  <si>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</si>
  <si>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</si>
  <si>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</si>
  <si>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</si>
  <si>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</si>
  <si>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</si>
  <si>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</si>
  <si>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</si>
  <si>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</si>
  <si>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</si>
  <si>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</si>
  <si>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</si>
  <si>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</si>
  <si>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</si>
  <si>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</si>
  <si>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</si>
  <si>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</si>
  <si>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</si>
  <si>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</si>
  <si>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</si>
  <si>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</si>
  <si>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</si>
  <si>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</si>
  <si>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</si>
  <si>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</si>
  <si>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</si>
  <si>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</si>
  <si>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</si>
  <si>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</si>
  <si>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</si>
  <si>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</si>
  <si>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</si>
  <si>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</si>
  <si>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</si>
  <si>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</si>
  <si>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</si>
  <si>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</si>
  <si>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</si>
  <si>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</si>
  <si>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</si>
  <si>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</si>
  <si>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</si>
  <si>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</si>
  <si>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</si>
  <si>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</si>
  <si>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</si>
  <si>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</si>
  <si>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</si>
  <si>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</si>
  <si>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</si>
  <si>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</si>
  <si>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</si>
  <si>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</si>
  <si>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</si>
  <si>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</si>
  <si>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</si>
  <si>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</si>
  <si>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</si>
  <si>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</si>
  <si>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</si>
  <si>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</si>
  <si>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</si>
  <si>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</si>
  <si>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</si>
  <si>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</si>
  <si>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</si>
  <si>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</si>
  <si>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</si>
  <si>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</si>
  <si>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</si>
  <si>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</si>
  <si>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</si>
  <si>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</si>
  <si>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</si>
  <si>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</si>
  <si>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</si>
  <si>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</si>
  <si>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</si>
  <si>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</si>
  <si>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</si>
  <si>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</si>
  <si>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</si>
  <si>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</si>
  <si>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</si>
  <si>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</si>
  <si>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</si>
  <si>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</si>
  <si>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</si>
  <si>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</si>
  <si>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</si>
  <si>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</si>
  <si>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</si>
  <si>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</si>
  <si>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</si>
  <si>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</si>
  <si>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</si>
  <si>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</si>
  <si>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</si>
  <si>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</si>
  <si>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</si>
  <si>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</si>
  <si>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</si>
  <si>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</si>
  <si>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</si>
  <si>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</si>
  <si>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</si>
  <si>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</si>
  <si>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</si>
  <si>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</si>
  <si>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</si>
  <si>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</si>
  <si>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</si>
  <si>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</si>
  <si>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</si>
  <si>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</si>
  <si>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</si>
  <si>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</si>
  <si>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</si>
  <si>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</si>
  <si>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</si>
  <si>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</si>
  <si>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</si>
  <si>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</si>
  <si>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</si>
  <si>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</si>
  <si>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</si>
  <si>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</si>
  <si>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</si>
  <si>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</si>
  <si>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</si>
  <si>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</si>
  <si>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</si>
  <si>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</si>
  <si>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</si>
  <si>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</si>
  <si>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</si>
  <si>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</si>
  <si>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</si>
  <si>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</si>
  <si>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</si>
  <si>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</si>
  <si>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</si>
  <si>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</si>
  <si>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</si>
  <si>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</si>
  <si>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</si>
  <si>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</si>
  <si>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</si>
  <si>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</si>
  <si>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</si>
  <si>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</si>
  <si>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</si>
  <si>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</si>
  <si>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</si>
  <si>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</si>
  <si>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</si>
  <si>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</si>
  <si>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</si>
  <si>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</si>
  <si>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</si>
  <si>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</si>
  <si>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</si>
  <si>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</si>
  <si>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</si>
  <si>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</si>
  <si>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</si>
  <si>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</si>
  <si>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</si>
  <si>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</si>
  <si>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</si>
  <si>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</si>
  <si>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</si>
  <si>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</si>
  <si>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</si>
  <si>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</si>
  <si>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</si>
  <si>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</si>
  <si>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</si>
  <si>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</si>
  <si>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</si>
  <si>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</si>
  <si>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</si>
  <si>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</si>
  <si>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</si>
  <si>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</si>
  <si>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</si>
  <si>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</si>
  <si>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</si>
  <si>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</si>
  <si>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</si>
  <si>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</si>
  <si>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</si>
  <si>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</si>
  <si>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</si>
  <si>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</si>
  <si>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</si>
  <si>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</si>
  <si>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</si>
  <si>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</si>
  <si>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</si>
  <si>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</si>
  <si>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</si>
  <si>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</si>
  <si>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</si>
  <si>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</si>
  <si>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</si>
  <si>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</si>
  <si>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</si>
  <si>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</si>
  <si>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</si>
  <si>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</si>
  <si>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</si>
  <si>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</si>
  <si>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</si>
  <si>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</si>
  <si>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</si>
  <si>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</si>
  <si>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</si>
  <si>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</si>
  <si>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</si>
  <si>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</si>
  <si>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</si>
  <si>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</si>
  <si>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</si>
  <si>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</si>
  <si>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</si>
  <si>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</si>
  <si>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</si>
  <si>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</si>
  <si>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</si>
  <si>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</si>
  <si>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</si>
  <si>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</si>
  <si>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</si>
  <si>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</si>
  <si>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</si>
  <si>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</si>
  <si>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</si>
  <si>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</si>
  <si>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</si>
  <si>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</si>
  <si>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</si>
  <si>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</si>
  <si>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</si>
  <si>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</si>
  <si>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</si>
  <si>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</si>
  <si>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</si>
  <si>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</si>
  <si>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</si>
  <si>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</si>
  <si>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</si>
  <si>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</si>
  <si>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</si>
  <si>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</si>
  <si>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</si>
  <si>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</si>
  <si>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</si>
  <si>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</si>
  <si>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</si>
  <si>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</si>
  <si>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</si>
  <si>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</si>
  <si>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</si>
  <si>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</si>
  <si>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</si>
  <si>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</si>
  <si>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</si>
  <si>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</si>
  <si>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</si>
  <si>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</si>
  <si>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</si>
  <si>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</si>
  <si>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</si>
  <si>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</si>
  <si>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</si>
  <si>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</si>
  <si>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</si>
  <si>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</si>
  <si>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</si>
  <si>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</si>
  <si>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</si>
  <si>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</si>
  <si>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</si>
  <si>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</si>
  <si>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</si>
  <si>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</si>
  <si>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</si>
  <si>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</si>
  <si>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</si>
  <si>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</si>
  <si>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</si>
  <si>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</si>
  <si>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</si>
  <si>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</si>
  <si>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</si>
  <si>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</si>
  <si>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</si>
  <si>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</si>
  <si>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</si>
  <si>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</si>
  <si>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</si>
  <si>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</si>
  <si>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</si>
  <si>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</si>
  <si>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</si>
  <si>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</si>
  <si>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</si>
  <si>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</si>
  <si>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</si>
  <si>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</si>
  <si>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</si>
  <si>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</si>
  <si>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</si>
  <si>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</si>
  <si>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</si>
  <si>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</si>
  <si>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</si>
  <si>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</si>
  <si>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</si>
  <si>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</si>
  <si>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</si>
  <si>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</si>
  <si>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</si>
  <si>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</si>
  <si>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</si>
  <si>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</si>
  <si>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</si>
  <si>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</si>
  <si>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</si>
  <si>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</si>
  <si>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</si>
  <si>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</si>
  <si>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</si>
  <si>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</si>
  <si>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</si>
  <si>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</si>
  <si>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</si>
  <si>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</si>
  <si>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</si>
  <si>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</si>
  <si>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</si>
  <si>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</si>
  <si>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</si>
  <si>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</si>
  <si>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</si>
  <si>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</si>
  <si>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</si>
  <si>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</si>
  <si>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</si>
  <si>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</si>
  <si>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</si>
  <si>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</si>
  <si>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</si>
  <si>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</si>
  <si>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</si>
  <si>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</si>
  <si>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</si>
  <si>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</si>
  <si>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</si>
  <si>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</si>
  <si>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</si>
  <si>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</si>
  <si>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</si>
  <si>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</si>
  <si>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</si>
  <si>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</si>
  <si>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</si>
  <si>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</si>
  <si>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</si>
  <si>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</si>
  <si>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</si>
  <si>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</si>
  <si>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</si>
  <si>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</si>
  <si>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</si>
  <si>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</si>
  <si>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</si>
  <si>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</si>
  <si>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</si>
  <si>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</si>
  <si>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</si>
  <si>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</si>
  <si>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</si>
  <si>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</si>
  <si>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</si>
  <si>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</si>
  <si>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</si>
  <si>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</si>
  <si>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</si>
  <si>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</si>
  <si>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</si>
  <si>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</si>
  <si>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</si>
  <si>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</si>
  <si>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</si>
  <si>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</si>
  <si>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</si>
  <si>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</si>
  <si>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</si>
  <si>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</si>
  <si>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</si>
  <si>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</si>
  <si>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</si>
  <si>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</si>
  <si>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</si>
  <si>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</si>
  <si>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</si>
  <si>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</si>
  <si>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</si>
  <si>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</si>
  <si>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</si>
  <si>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</si>
  <si>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</si>
  <si>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</si>
  <si>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</si>
  <si>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</si>
  <si>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</si>
  <si>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</si>
  <si>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</si>
  <si>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</si>
  <si>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</si>
  <si>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</si>
  <si>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</si>
  <si>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</si>
  <si>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</si>
  <si>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</si>
  <si>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</si>
  <si>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</si>
  <si>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</si>
  <si>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</si>
  <si>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</si>
  <si>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</si>
  <si>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</si>
  <si>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</si>
  <si>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</si>
  <si>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</si>
  <si>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</si>
  <si>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</si>
  <si>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</si>
  <si>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</si>
  <si>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</si>
  <si>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</si>
  <si>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</si>
  <si>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</si>
  <si>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</si>
  <si>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</si>
  <si>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</si>
  <si>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</si>
  <si>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</si>
  <si>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</si>
  <si>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</si>
  <si>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</si>
  <si>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</si>
  <si>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</si>
  <si>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</si>
  <si>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</si>
  <si>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</si>
  <si>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</si>
  <si>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</si>
  <si>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</si>
  <si>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</si>
  <si>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</si>
  <si>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</si>
  <si>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</si>
  <si>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</si>
  <si>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</si>
  <si>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</si>
  <si>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</si>
  <si>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</si>
  <si>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</si>
  <si>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</si>
  <si>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</si>
  <si>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</si>
  <si>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</si>
  <si>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</si>
  <si>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</si>
  <si>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</si>
  <si>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</si>
  <si>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</si>
  <si>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</si>
  <si>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</si>
  <si>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</si>
  <si>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</si>
  <si>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</si>
  <si>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</si>
  <si>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</si>
  <si>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</si>
  <si>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</si>
  <si>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</si>
  <si>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</si>
  <si>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</si>
  <si>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</si>
  <si>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</si>
  <si>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</si>
  <si>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</si>
  <si>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</si>
  <si>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</si>
  <si>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</si>
  <si>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</si>
  <si>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</si>
  <si>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</si>
  <si>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</si>
  <si>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</si>
  <si>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</si>
  <si>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</si>
  <si>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</si>
  <si>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</si>
  <si>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</si>
  <si>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</si>
  <si>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</si>
  <si>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</si>
  <si>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</si>
  <si>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</si>
  <si>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</si>
  <si>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</si>
  <si>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</si>
  <si>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</si>
  <si>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</si>
  <si>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</si>
  <si>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</si>
  <si>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</si>
  <si>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</si>
  <si>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</si>
  <si>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</si>
  <si>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</si>
  <si>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</si>
  <si>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</si>
  <si>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</si>
  <si>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</si>
  <si>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</si>
  <si>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</si>
  <si>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</si>
  <si>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</si>
  <si>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</si>
  <si>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</si>
  <si>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</si>
  <si>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</si>
  <si>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</si>
  <si>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</si>
  <si>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</si>
  <si>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</si>
  <si>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</si>
  <si>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</si>
  <si>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</si>
  <si>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</si>
  <si>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</si>
  <si>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</si>
  <si>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</si>
  <si>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</si>
  <si>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</si>
  <si>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</si>
  <si>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</si>
  <si>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</si>
  <si>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</si>
  <si>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</si>
  <si>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</si>
  <si>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</si>
  <si>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</si>
  <si>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</si>
  <si>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</si>
  <si>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</si>
  <si>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</si>
  <si>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</si>
  <si>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</si>
  <si>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</si>
  <si>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</si>
  <si>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</si>
  <si>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</si>
  <si>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</si>
  <si>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</si>
  <si>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</si>
  <si>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</si>
  <si>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</si>
  <si>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</si>
  <si>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</si>
  <si>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</si>
  <si>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</si>
  <si>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</si>
  <si>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</si>
  <si>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</si>
  <si>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</si>
  <si>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</si>
  <si>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</si>
  <si>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</si>
  <si>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</si>
  <si>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</si>
  <si>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</si>
  <si>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</si>
  <si>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</si>
  <si>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</si>
  <si>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</si>
  <si>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</si>
  <si>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</si>
  <si>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商品房</t>
  </si>
  <si>
    <t>出让金</t>
  </si>
  <si>
    <t>成本价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</si>
  <si>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</si>
  <si>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</si>
  <si>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</si>
  <si>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</si>
  <si>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</si>
  <si>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</si>
  <si>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</si>
  <si>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</si>
  <si>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</si>
  <si>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</si>
  <si>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</si>
  <si>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</si>
  <si>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</si>
  <si>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</si>
  <si>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</si>
  <si>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</si>
  <si>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</si>
  <si>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</si>
  <si>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</si>
  <si>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</si>
  <si>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</si>
  <si>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</si>
  <si>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</si>
  <si>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</si>
  <si>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</si>
  <si>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</si>
  <si>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</si>
  <si>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</si>
  <si>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</si>
  <si>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</si>
  <si>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</si>
  <si>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</si>
  <si>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</si>
  <si>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</si>
  <si>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</si>
  <si>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</si>
  <si>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</si>
  <si>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</si>
  <si>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</si>
  <si>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</si>
  <si>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</si>
  <si>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</si>
  <si>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</si>
  <si>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</si>
  <si>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</si>
  <si>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</si>
  <si>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</si>
  <si>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</si>
  <si>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</si>
  <si>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</si>
  <si>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</si>
  <si>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</si>
  <si>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</si>
  <si>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</si>
  <si>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</si>
  <si>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</si>
  <si>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</si>
  <si>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</si>
  <si>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</si>
  <si>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</si>
  <si>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</si>
  <si>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</si>
  <si>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</si>
  <si>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</si>
  <si>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</si>
  <si>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</si>
  <si>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</si>
  <si>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</si>
  <si>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</si>
  <si>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</si>
  <si>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</si>
  <si>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</si>
  <si>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</si>
  <si>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</si>
  <si>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</si>
  <si>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</si>
  <si>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</si>
  <si>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</si>
  <si>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</si>
  <si>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</si>
  <si>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</si>
  <si>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</si>
  <si>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</si>
  <si>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</si>
  <si>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</si>
  <si>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</si>
  <si>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</si>
  <si>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</si>
  <si>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</si>
  <si>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</si>
  <si>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</si>
  <si>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</si>
  <si>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</si>
  <si>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</si>
  <si>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</si>
  <si>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</si>
  <si>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</si>
  <si>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</si>
  <si>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</si>
  <si>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</si>
  <si>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</si>
  <si>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</si>
  <si>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</si>
  <si>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</si>
  <si>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</si>
  <si>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</si>
  <si>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</si>
  <si>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</si>
  <si>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</si>
  <si>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</si>
  <si>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</si>
  <si>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</si>
  <si>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</si>
  <si>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</si>
  <si>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</si>
  <si>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</si>
  <si>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</si>
  <si>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</si>
  <si>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</si>
  <si>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</si>
  <si>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</si>
  <si>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</si>
  <si>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</si>
  <si>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</si>
  <si>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</si>
  <si>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</si>
  <si>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</si>
  <si>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</si>
  <si>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</si>
  <si>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</si>
  <si>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</si>
  <si>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</si>
  <si>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</si>
  <si>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</si>
  <si>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</si>
  <si>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</si>
  <si>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</si>
  <si>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</si>
  <si>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</si>
  <si>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</si>
  <si>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</si>
  <si>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</si>
  <si>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</si>
  <si>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</si>
  <si>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</si>
  <si>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</si>
  <si>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</si>
  <si>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</si>
  <si>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</si>
  <si>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</si>
  <si>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</si>
  <si>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</si>
  <si>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</si>
  <si>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</si>
  <si>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</si>
  <si>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</si>
  <si>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</si>
  <si>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</si>
  <si>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</si>
  <si>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</si>
  <si>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</si>
  <si>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</si>
  <si>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</si>
  <si>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</si>
  <si>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</si>
  <si>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</si>
  <si>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</si>
  <si>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</si>
  <si>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</si>
  <si>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</si>
  <si>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</si>
  <si>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</si>
  <si>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</si>
  <si>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</si>
  <si>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</si>
  <si>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</si>
  <si>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</si>
  <si>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</si>
  <si>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</si>
  <si>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</si>
  <si>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</si>
  <si>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</si>
  <si>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</si>
  <si>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</si>
  <si>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</si>
  <si>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</si>
  <si>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</si>
  <si>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</si>
  <si>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</si>
  <si>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</si>
  <si>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</si>
  <si>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</si>
  <si>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</si>
  <si>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</si>
  <si>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</si>
  <si>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</si>
  <si>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</si>
  <si>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</si>
  <si>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</si>
  <si>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</si>
  <si>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</si>
  <si>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</si>
  <si>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</si>
  <si>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</si>
  <si>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</si>
  <si>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</si>
  <si>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</si>
  <si>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</si>
  <si>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</si>
  <si>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</si>
  <si>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</si>
  <si>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</si>
  <si>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</si>
  <si>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</si>
  <si>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</si>
  <si>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</si>
  <si>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</si>
  <si>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</si>
  <si>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</si>
  <si>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</si>
  <si>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</si>
  <si>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</si>
  <si>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</si>
  <si>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</si>
  <si>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</si>
  <si>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</si>
  <si>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</si>
  <si>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</si>
  <si>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</si>
  <si>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</si>
  <si>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</si>
  <si>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</si>
  <si>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</si>
  <si>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</si>
  <si>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</si>
  <si>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</si>
  <si>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</si>
  <si>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</si>
  <si>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</si>
  <si>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</si>
  <si>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</si>
  <si>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</si>
  <si>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</si>
  <si>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</si>
  <si>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</si>
  <si>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</si>
  <si>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</si>
  <si>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</si>
  <si>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</si>
  <si>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</si>
  <si>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</si>
  <si>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</si>
  <si>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</si>
  <si>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</si>
  <si>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</si>
  <si>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</si>
  <si>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</si>
  <si>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</si>
  <si>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</si>
  <si>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</si>
  <si>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</si>
  <si>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</si>
  <si>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</si>
  <si>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</si>
  <si>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</si>
  <si>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</si>
  <si>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</si>
  <si>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</si>
  <si>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</si>
  <si>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</si>
  <si>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</si>
  <si>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</si>
  <si>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</si>
  <si>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</si>
  <si>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</si>
  <si>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</si>
  <si>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</si>
  <si>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</si>
  <si>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</si>
  <si>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</si>
  <si>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</si>
  <si>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</si>
  <si>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</si>
  <si>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</si>
  <si>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</si>
  <si>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</si>
  <si>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</si>
  <si>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</si>
  <si>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</si>
  <si>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</si>
  <si>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</si>
  <si>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</si>
  <si>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</si>
  <si>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</si>
  <si>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</si>
  <si>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</si>
  <si>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</si>
  <si>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</si>
  <si>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</si>
  <si>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</si>
  <si>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</si>
  <si>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</si>
  <si>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</si>
  <si>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</si>
  <si>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</si>
  <si>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</si>
  <si>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</si>
  <si>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</si>
  <si>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</si>
  <si>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</si>
  <si>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</si>
  <si>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</si>
  <si>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</si>
  <si>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</si>
  <si>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</si>
  <si>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</si>
  <si>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</si>
  <si>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</si>
  <si>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</si>
  <si>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</si>
  <si>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</si>
  <si>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</si>
  <si>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</si>
  <si>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</si>
  <si>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</si>
  <si>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</si>
  <si>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</si>
  <si>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</si>
  <si>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</si>
  <si>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</si>
  <si>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</si>
  <si>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</si>
  <si>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</si>
  <si>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</si>
  <si>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</si>
  <si>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</si>
  <si>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</si>
  <si>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</si>
  <si>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</si>
  <si>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</si>
  <si>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</si>
  <si>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</si>
  <si>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</si>
  <si>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</si>
  <si>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</si>
  <si>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</si>
  <si>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</si>
  <si>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</si>
  <si>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</si>
  <si>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</si>
  <si>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</si>
  <si>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</si>
  <si>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</si>
  <si>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</si>
  <si>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</si>
  <si>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</si>
  <si>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</si>
  <si>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</si>
  <si>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</si>
  <si>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</si>
  <si>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</si>
  <si>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</si>
  <si>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</si>
  <si>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</si>
  <si>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</si>
  <si>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</si>
  <si>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</si>
  <si>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</si>
  <si>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</si>
  <si>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</si>
  <si>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</si>
  <si>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</si>
  <si>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</si>
  <si>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</si>
  <si>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</si>
  <si>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</si>
  <si>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东南</t>
  </si>
  <si>
    <t>西北</t>
  </si>
  <si>
    <t>南</t>
  </si>
  <si>
    <t>西南</t>
  </si>
  <si>
    <t>楼层</t>
  </si>
  <si>
    <t>6/18</t>
  </si>
  <si>
    <t>3/18</t>
  </si>
  <si>
    <t>2/18</t>
  </si>
  <si>
    <t>11/14</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</si>
  <si>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</si>
  <si>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</si>
  <si>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</si>
  <si>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</si>
  <si>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</si>
  <si>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</si>
  <si>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</si>
  <si>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</si>
  <si>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</si>
  <si>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</si>
  <si>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</si>
  <si>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</si>
  <si>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</si>
  <si>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</si>
  <si>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</si>
  <si>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</si>
  <si>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</si>
  <si>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</si>
  <si>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</si>
  <si>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</si>
  <si>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</si>
  <si>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</si>
  <si>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</si>
  <si>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</si>
  <si>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</si>
  <si>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</si>
  <si>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</si>
  <si>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</si>
  <si>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</si>
  <si>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</si>
  <si>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</si>
  <si>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</si>
  <si>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</si>
  <si>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</si>
  <si>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</si>
  <si>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</si>
  <si>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</si>
  <si>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</si>
  <si>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</si>
  <si>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东西</t>
  </si>
  <si>
    <t>东</t>
  </si>
  <si>
    <t>西</t>
  </si>
  <si>
    <t>东北</t>
  </si>
  <si>
    <t>北</t>
  </si>
  <si>
    <t>多层板楼</t>
  </si>
  <si>
    <t>高层板楼</t>
  </si>
  <si>
    <t>板塔结合</t>
  </si>
  <si>
    <t>钢混</t>
  </si>
  <si>
    <t>带装修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</si>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</sst>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yyyy&quot;年&quot;m&quot;月&quot;d&quot;日&quot;;@"/>
    <numFmt numFmtId="178" formatCode="0.000_ "/>
    <numFmt numFmtId="179" formatCode="[DBNum1][$-804]yyyy&quot;年&quot;m&quot;月&quot;d&quot;日&quot;;@"/>
    <numFmt numFmtId="180" formatCode="yyyy/m/d;@"/>
    <numFmt numFmtId="181" formatCode="0.0000_ "/>
    <numFmt numFmtId="182" formatCode="0_ "/>
    <numFmt numFmtId="183" formatCode="0.00_ "/>
    <numFmt numFmtId="184" formatCode="0_);[Red]\(0\)"/>
    <numFmt numFmtId="185" formatCode="0.0%"/>
    <numFmt numFmtId="186" formatCode="0.0_ "/>
    <numFmt numFmtId="187" formatCode="0.0000%"/>
    <numFmt numFmtId="188" formatCode="0.00_);[Red]\(0.00\)"/>
    <numFmt numFmtId="189" formatCode="0.0_);[Red]\(0.0\)"/>
    <numFmt numFmtId="190" formatCode="0.000_);[Red]\(0.000\)"/>
    <numFmt numFmtId="191" formatCode="yyyy&quot;年&quot;m&quot;月&quot;;@"/>
    <numFmt numFmtId="192" formatCode="0.000%"/>
    <numFmt numFmtId="193" formatCode="0_ ;[Red]\-0\ "/>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11"/>
      <name val="宋体"/>
      <charset val="134"/>
    </font>
    <font>
      <sz val="14"/>
      <name val="楷体_GB2312"/>
      <charset val="134"/>
    </font>
    <font>
      <sz val="12"/>
      <name val="宋体"/>
      <charset val="134"/>
    </font>
    <font>
      <sz val="9"/>
      <name val="宋体"/>
      <charset val="134"/>
    </font>
    <font>
      <sz val="12"/>
      <name val="楷体_GB2312"/>
      <charset val="134"/>
    </font>
    <font>
      <sz val="12"/>
      <name val="仿宋_GB2312"/>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8" fontId="19" fillId="0" borderId="0" xfId="21" applyNumberFormat="1" applyFont="1" applyAlignment="1">
      <alignment horizontal="left" vertical="center"/>
    </xf>
    <xf numFmtId="178" fontId="19" fillId="0" borderId="19" xfId="21" applyNumberFormat="1" applyFont="1" applyBorder="1" applyAlignment="1">
      <alignment horizontal="left" vertical="center"/>
    </xf>
    <xf numFmtId="17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8" fontId="20" fillId="0" borderId="0" xfId="21" applyNumberFormat="1" applyFont="1" applyAlignment="1">
      <alignment horizontal="left" vertical="center"/>
    </xf>
    <xf numFmtId="178"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1" fontId="25" fillId="2" borderId="78" xfId="0" applyNumberFormat="1" applyFont="1" applyFill="1" applyBorder="1" applyAlignment="1" applyProtection="1">
      <alignment horizontal="center" vertical="center" wrapText="1"/>
    </xf>
    <xf numFmtId="18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0"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0"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0"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0"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1"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177" fontId="71" fillId="17" borderId="97"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177" fontId="71" fillId="17" borderId="100" xfId="0" applyNumberFormat="1"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49" fontId="91" fillId="15"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49" fontId="100" fillId="17" borderId="119" xfId="0" applyNumberFormat="1" applyFont="1" applyFill="1" applyBorder="1" applyAlignment="1" applyProtection="1">
      <alignment horizontal="center" vertical="center" wrapText="1"/>
      <protection locked="0"/>
    </xf>
    <xf numFmtId="0" fontId="71" fillId="17" borderId="85" xfId="0" applyNumberFormat="1" applyFont="1" applyFill="1" applyBorder="1" applyAlignment="1" applyProtection="1">
      <alignment horizontal="center" vertical="center" wrapText="1"/>
    </xf>
    <xf numFmtId="49" fontId="71" fillId="17" borderId="119" xfId="0" applyNumberFormat="1" applyFont="1" applyFill="1" applyBorder="1" applyAlignment="1" applyProtection="1">
      <alignment horizontal="center" vertical="center" wrapText="1"/>
      <protection locked="0"/>
    </xf>
    <xf numFmtId="49" fontId="100" fillId="17"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189"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100"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181"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6"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78"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6" fontId="127" fillId="0" borderId="7" xfId="62" applyNumberFormat="1"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77"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6"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77"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77"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3\2&#26376;\&#21335;&#33829;&#25151;\&#29616;&#22312;&#24066;&#20540;\&#36807;&#31243;\&#21021;&#31295;\&#22269;&#30005;&#29616;&#205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案例"/>
      <sheetName val="Sheet1"/>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4" customWidth="1"/>
    <col min="2" max="2" width="81" style="3705" customWidth="1"/>
    <col min="3" max="16384" width="9" style="3706"/>
  </cols>
  <sheetData>
    <row r="1" s="3701" customFormat="1" ht="16.5" spans="1:2">
      <c r="A1" s="3707" t="s">
        <v>0</v>
      </c>
      <c r="B1" s="3708" t="s">
        <v>1</v>
      </c>
    </row>
    <row r="2" s="3702" customFormat="1" ht="15" spans="1:2">
      <c r="A2" s="3709" t="s">
        <v>2</v>
      </c>
      <c r="B2" s="3710" t="str">
        <f>'预评函-封皮'!B37:I37</f>
        <v>北京市房地产市场价值预评估</v>
      </c>
    </row>
    <row r="3" s="3703" customFormat="1" spans="1:2">
      <c r="A3" s="3711" t="s">
        <v>3</v>
      </c>
      <c r="B3" s="3712">
        <f>'预评函-封皮'!B40</f>
        <v>0</v>
      </c>
    </row>
    <row r="4" s="3703" customFormat="1" spans="1:2">
      <c r="A4" s="3711" t="s">
        <v>4</v>
      </c>
      <c r="B4" s="3712" t="str">
        <f ca="1">'预评函-封皮'!B46</f>
        <v>（注册号：0)、（注册号：0)</v>
      </c>
    </row>
    <row r="5" s="3701" customFormat="1" ht="15" spans="1:2">
      <c r="A5" s="3713" t="s">
        <v>5</v>
      </c>
      <c r="B5" s="3714" t="str">
        <f>'预评函-封皮'!B49</f>
        <v>康正预评字号</v>
      </c>
    </row>
    <row r="6" s="3702" customFormat="1" ht="15" spans="1:2">
      <c r="A6" s="3709" t="s">
        <v>6</v>
      </c>
      <c r="B6" s="3710" t="str">
        <f>'预评函-1'!A4</f>
        <v>受贵公司委托，我公司对北京市房地产市场价值进行了预评估。</v>
      </c>
    </row>
    <row r="7" s="3703" customFormat="1" spans="1:2">
      <c r="A7" s="3711" t="s">
        <v>7</v>
      </c>
      <c r="B7" s="3712" t="str">
        <f>'预评函-1'!A7</f>
        <v>估价对象为北京市房地产，为所有。根据《国有土地使用证》[]，估价对象（分摊）出让国有建设用地使用权面积为0平方米，建筑面积为69.7平方米。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估价对象为北京市房地产,属开发建设的，该项目尚在开发建设中。根据《国有土地使用证》[]，估价对象（分摊）出让国有建设用地使用权面积为0平方米，规划建筑面积为69.7平方米。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为估价委托人了解估价对象房地产市场价值提供参考依据。</v>
      </c>
    </row>
    <row r="12" s="3703" customFormat="1" spans="1:2">
      <c r="A12" s="3711" t="s">
        <v>12</v>
      </c>
      <c r="B12" s="3712" t="str">
        <f>'预评函-1'!A15</f>
        <v>2023年2月20日（评估专业人员实地查勘之日）</v>
      </c>
    </row>
    <row r="13" s="3703" customFormat="1" spans="1:2">
      <c r="A13" s="3711" t="s">
        <v>13</v>
      </c>
      <c r="B13" s="3712" t="str">
        <f>'预评函-1'!A18</f>
        <v>本次估价的“房地产价值”是指在正常市场情况下，在价值时点2023年2月20日，估价对象规划用途为，土地取得方式为划拨，假定未设立法定优先受偿款下的房地产市场价值。</v>
      </c>
    </row>
    <row r="14" s="3703" customFormat="1" spans="1:2">
      <c r="A14" s="3711" t="s">
        <v>14</v>
      </c>
      <c r="B14" s="371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v>
      </c>
    </row>
    <row r="16" s="3703" customFormat="1" spans="1:2">
      <c r="A16" s="3711" t="s">
        <v>16</v>
      </c>
      <c r="B16" s="3712" t="str">
        <f>'预评函-1'!A21</f>
        <v>——</v>
      </c>
    </row>
    <row r="17" s="3703" customFormat="1" spans="1:2">
      <c r="A17" s="3711" t="s">
        <v>17</v>
      </c>
      <c r="B17" s="3712" t="str">
        <f>'预评函-1'!A22</f>
        <v>——</v>
      </c>
    </row>
    <row r="18" s="3701" customFormat="1" ht="15" spans="1:2">
      <c r="A18" s="3713" t="s">
        <v>18</v>
      </c>
      <c r="B18" s="3714" t="str">
        <f>'预评函-1'!A24</f>
        <v>本次评估采用的主估价方法为收益法和比较法。</v>
      </c>
    </row>
    <row r="19" s="3702" customFormat="1" ht="15" spans="1:2">
      <c r="A19" s="3709" t="s">
        <v>19</v>
      </c>
      <c r="B19" s="37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3" customFormat="1" spans="1:2">
      <c r="A20" s="3711" t="s">
        <v>20</v>
      </c>
      <c r="B20" s="3712" t="e">
        <f ca="1">'预评函-2'!D5</f>
        <v>#REF!</v>
      </c>
    </row>
    <row r="21" s="3703" customFormat="1" spans="1:2">
      <c r="A21" s="3711" t="s">
        <v>21</v>
      </c>
      <c r="B21" s="3712" t="e">
        <f ca="1">'预评函-2'!D7</f>
        <v>#REF!</v>
      </c>
    </row>
    <row r="22" s="3703" customFormat="1" spans="1:2">
      <c r="A22" s="3711" t="s">
        <v>22</v>
      </c>
      <c r="B22" s="3712" t="e">
        <f ca="1">'预评函-2'!D6</f>
        <v>#REF!</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v>
      </c>
    </row>
    <row r="30" s="3703" customFormat="1" spans="1:2">
      <c r="A30" s="3711" t="s">
        <v>30</v>
      </c>
      <c r="B30" s="3712" t="str">
        <f ca="1">'预评函-2'!D13</f>
        <v>——</v>
      </c>
    </row>
    <row r="31" s="3703" customFormat="1" spans="1:2">
      <c r="A31" s="3711" t="s">
        <v>31</v>
      </c>
      <c r="B31" s="3712" t="e">
        <f ca="1">'预评函-2'!D15</f>
        <v>#REF!</v>
      </c>
    </row>
    <row r="32" s="3703" customFormat="1" spans="1:2">
      <c r="A32" s="3711" t="s">
        <v>32</v>
      </c>
      <c r="B32" s="3712" t="e">
        <f ca="1">'预评函-2'!D14</f>
        <v>#VALUE!</v>
      </c>
    </row>
    <row r="33" s="3703" customFormat="1" spans="1:2">
      <c r="A33" s="3711" t="s">
        <v>33</v>
      </c>
      <c r="B33" s="3712" t="str">
        <f>'预评函-2'!B16</f>
        <v>3.抵押担保权已注销时的房地产抵押价值</v>
      </c>
    </row>
    <row r="34" s="3703" customFormat="1" spans="1:2">
      <c r="A34" s="3711" t="s">
        <v>34</v>
      </c>
      <c r="B34" s="3712" t="str">
        <f ca="1">'预评函-2'!D16</f>
        <v>——</v>
      </c>
    </row>
    <row r="35" s="3703" customFormat="1" spans="1:2">
      <c r="A35" s="3711" t="s">
        <v>35</v>
      </c>
      <c r="B35" s="3712" t="str">
        <f ca="1">'预评函-2'!D18</f>
        <v>——</v>
      </c>
    </row>
    <row r="36" s="3703" customFormat="1" spans="1:2">
      <c r="A36" s="3711" t="s">
        <v>36</v>
      </c>
      <c r="B36" s="3712" t="e">
        <f ca="1">'预评函-2'!D17</f>
        <v>#VALUE!</v>
      </c>
    </row>
    <row r="37" s="3703" customFormat="1" spans="1:2">
      <c r="A37" s="3711" t="s">
        <v>37</v>
      </c>
      <c r="B37" s="3712" t="str">
        <f>'预评函-2'!B19</f>
        <v>——</v>
      </c>
    </row>
    <row r="38" s="3703" customFormat="1" spans="1:2">
      <c r="A38" s="3711" t="s">
        <v>38</v>
      </c>
      <c r="B38" s="3712" t="str">
        <f ca="1">'预评函-2'!D19</f>
        <v>——</v>
      </c>
    </row>
    <row r="39" s="3703" customFormat="1" spans="1:2">
      <c r="A39" s="3711" t="s">
        <v>39</v>
      </c>
      <c r="B39" s="3712" t="str">
        <f ca="1">'预评函-2'!D21</f>
        <v>——</v>
      </c>
    </row>
    <row r="40" s="3703" customFormat="1" spans="1:2">
      <c r="A40" s="3711" t="s">
        <v>40</v>
      </c>
      <c r="B40" s="3712" t="e">
        <f ca="1">'预评函-2'!D20</f>
        <v>#VALUE!</v>
      </c>
    </row>
    <row r="41" s="3703" customFormat="1" spans="1:2">
      <c r="A41" s="3711" t="s">
        <v>41</v>
      </c>
      <c r="B41" s="3712" t="str">
        <f>'预评函-3'!A4</f>
        <v>北京市房地产</v>
      </c>
    </row>
    <row r="42" s="3703" customFormat="1" spans="1:2">
      <c r="A42" s="3711" t="s">
        <v>42</v>
      </c>
      <c r="B42" s="3712" t="str">
        <f>'预评函-3'!B2</f>
        <v>建筑面积</v>
      </c>
    </row>
    <row r="43" s="3703" customFormat="1" spans="1:2">
      <c r="A43" s="3711" t="s">
        <v>43</v>
      </c>
      <c r="B43" s="3712">
        <f>'预评函-3'!B4</f>
        <v>69.7</v>
      </c>
    </row>
    <row r="44" s="3703" customFormat="1"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
      </c>
    </row>
    <row r="55" s="3703" customFormat="1" spans="1:2">
      <c r="A55" s="3711" t="s">
        <v>55</v>
      </c>
      <c r="B55" s="3712" t="str">
        <f>'预评函-3'!A10</f>
        <v/>
      </c>
    </row>
    <row r="56" s="3703" customFormat="1" spans="1:2">
      <c r="A56" s="3711" t="s">
        <v>56</v>
      </c>
      <c r="B56" s="3712" t="str">
        <f>'预评函-3'!A12</f>
        <v/>
      </c>
    </row>
    <row r="57" s="3701" customFormat="1" ht="15" spans="1:2">
      <c r="A57" s="3713" t="s">
        <v>57</v>
      </c>
      <c r="B57" s="3714" t="str">
        <f>'预评函-3'!A6</f>
        <v/>
      </c>
    </row>
    <row r="58" s="3702" customFormat="1" ht="15" spans="1:2">
      <c r="A58" s="3709" t="s">
        <v>58</v>
      </c>
      <c r="B58" s="3710" t="str">
        <f>'预评函-4'!A12</f>
        <v>2.本次评估设定估价对象房地产权属无争议，未被查封或者以其他形式限制其房地产权利，未设定抵押权等他项权利，不涉及第三方权利义务。</v>
      </c>
    </row>
    <row r="59" s="3703" customFormat="1" spans="1:2">
      <c r="A59" s="3711" t="s">
        <v>59</v>
      </c>
      <c r="B59" s="3712" t="str">
        <f>'预评函-4'!A13</f>
        <v>——</v>
      </c>
    </row>
    <row r="60" s="3703" customFormat="1" spans="1:2">
      <c r="A60" s="3711" t="s">
        <v>60</v>
      </c>
      <c r="B60" s="3712" t="str">
        <f>'预评函-4'!A14</f>
        <v>——</v>
      </c>
    </row>
    <row r="61" s="3703" customFormat="1" spans="1:2">
      <c r="A61" s="3711" t="s">
        <v>61</v>
      </c>
      <c r="B61" s="3712" t="str">
        <f>'预评函-4'!A15</f>
        <v>——</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v>
      </c>
    </row>
    <row r="65" s="3703" customFormat="1" spans="1:2">
      <c r="A65" s="3711" t="s">
        <v>65</v>
      </c>
      <c r="B65" s="37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5" spans="1:2">
      <c r="A69" s="3713" t="s">
        <v>69</v>
      </c>
      <c r="B69" s="3715">
        <f>'预评函-4'!C31</f>
        <v>42551</v>
      </c>
    </row>
    <row r="70" ht="15" spans="1:2">
      <c r="A70" s="3716" t="s">
        <v>70</v>
      </c>
      <c r="B70" s="3717">
        <f>'预评函-4'!A4</f>
        <v>0</v>
      </c>
    </row>
    <row r="71" spans="1:2">
      <c r="A71" s="3711" t="s">
        <v>71</v>
      </c>
      <c r="B71" s="3712">
        <f ca="1">'预评函-4'!B4</f>
        <v>0</v>
      </c>
    </row>
    <row r="72" spans="1:2">
      <c r="A72" s="3711" t="s">
        <v>72</v>
      </c>
      <c r="B72" s="3718">
        <f>'预评函-4'!A5</f>
        <v>0</v>
      </c>
    </row>
    <row r="73" s="3701" customFormat="1" ht="15" spans="1:2">
      <c r="A73" s="3713" t="s">
        <v>73</v>
      </c>
      <c r="B73" s="3714">
        <f ca="1">'预评函-4'!B5</f>
        <v>0</v>
      </c>
    </row>
    <row r="74" ht="1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4" customWidth="1"/>
    <col min="2" max="2" width="23.25" style="3545" customWidth="1"/>
    <col min="3" max="3" width="13" style="3546" customWidth="1"/>
    <col min="4" max="4" width="5.75" style="3547" customWidth="1"/>
    <col min="5" max="5" width="7.125" style="3547" customWidth="1"/>
    <col min="6" max="6" width="10.625" style="3547" customWidth="1"/>
    <col min="7" max="7" width="7.5" style="3547" customWidth="1"/>
    <col min="8" max="8" width="11.875" style="3546" customWidth="1"/>
    <col min="9" max="9" width="11.625" style="3546" customWidth="1"/>
    <col min="10" max="10" width="9" style="3546" customWidth="1"/>
    <col min="11" max="19" width="9" style="3547" customWidth="1"/>
    <col min="20" max="23" width="9" style="3546" customWidth="1"/>
    <col min="24" max="24" width="21.125" style="3545" customWidth="1"/>
    <col min="25" max="16384" width="9" style="3545"/>
  </cols>
  <sheetData>
    <row r="1" s="3543" customFormat="1" ht="40.5"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315</v>
      </c>
      <c r="C20" s="3554"/>
    </row>
    <row r="21" spans="1:3">
      <c r="A21" s="3553" t="s">
        <v>260</v>
      </c>
      <c r="B21" s="3553" t="s">
        <v>315</v>
      </c>
      <c r="C21" s="3554"/>
    </row>
    <row r="22" spans="1:3">
      <c r="A22" s="3553" t="s">
        <v>317</v>
      </c>
      <c r="B22" s="3553" t="s">
        <v>315</v>
      </c>
      <c r="C22" s="3554"/>
    </row>
    <row r="23" spans="1:3">
      <c r="A23" s="3553" t="s">
        <v>318</v>
      </c>
      <c r="B23" s="3553" t="s">
        <v>315</v>
      </c>
      <c r="C23" s="3554"/>
    </row>
    <row r="24" spans="1:3">
      <c r="A24" s="3553" t="s">
        <v>319</v>
      </c>
      <c r="B24" s="3553" t="s">
        <v>315</v>
      </c>
      <c r="C24" s="3554"/>
    </row>
    <row r="25" spans="1:3">
      <c r="A25" s="3553" t="s">
        <v>320</v>
      </c>
      <c r="B25" s="3553" t="s">
        <v>315</v>
      </c>
      <c r="C25" s="3554"/>
    </row>
    <row r="26" spans="1:3">
      <c r="A26" s="3553" t="s">
        <v>321</v>
      </c>
      <c r="B26" s="3553" t="s">
        <v>315</v>
      </c>
      <c r="C26" s="3554"/>
    </row>
    <row r="27" spans="1:3">
      <c r="A27" s="3553" t="s">
        <v>315</v>
      </c>
      <c r="B27" s="3553" t="s">
        <v>315</v>
      </c>
      <c r="C27" s="3554"/>
    </row>
    <row r="28" spans="1:3">
      <c r="A28" s="3553" t="s">
        <v>315</v>
      </c>
      <c r="B28" s="3553" t="s">
        <v>315</v>
      </c>
      <c r="C28" s="3554"/>
    </row>
    <row r="29" spans="1:3">
      <c r="A29" s="3553" t="s">
        <v>315</v>
      </c>
      <c r="B29" s="3553" t="s">
        <v>315</v>
      </c>
      <c r="C29" s="3554"/>
    </row>
    <row r="30" spans="1:3">
      <c r="A30" s="3553" t="s">
        <v>315</v>
      </c>
      <c r="B30" s="3553" t="s">
        <v>315</v>
      </c>
      <c r="C30" s="3554"/>
    </row>
    <row r="31" spans="1:3">
      <c r="A31" s="3553" t="s">
        <v>315</v>
      </c>
      <c r="B31" s="3553" t="s">
        <v>315</v>
      </c>
      <c r="C31" s="3554"/>
    </row>
    <row r="32" spans="1:3">
      <c r="A32" s="3553" t="s">
        <v>315</v>
      </c>
      <c r="B32" s="3553" t="s">
        <v>315</v>
      </c>
      <c r="C32" s="3554"/>
    </row>
    <row r="33" spans="1:3">
      <c r="A33" s="3553" t="s">
        <v>315</v>
      </c>
      <c r="B33" s="3553" t="s">
        <v>315</v>
      </c>
      <c r="C33" s="3554"/>
    </row>
    <row r="34" spans="1:3">
      <c r="A34" s="3553" t="s">
        <v>315</v>
      </c>
      <c r="B34" s="3553" t="s">
        <v>315</v>
      </c>
      <c r="C34" s="3554"/>
    </row>
    <row r="35" spans="1:3">
      <c r="A35" s="3553" t="s">
        <v>315</v>
      </c>
      <c r="B35" s="3553" t="s">
        <v>315</v>
      </c>
      <c r="C35" s="3554"/>
    </row>
    <row r="36" spans="1:3">
      <c r="A36" s="3553" t="s">
        <v>315</v>
      </c>
      <c r="B36" s="3553" t="s">
        <v>315</v>
      </c>
      <c r="C36" s="3554"/>
    </row>
    <row r="37" spans="1:3">
      <c r="A37" s="3553" t="s">
        <v>315</v>
      </c>
      <c r="B37" s="3553" t="s">
        <v>315</v>
      </c>
      <c r="C37" s="3554"/>
    </row>
    <row r="38" spans="1:3">
      <c r="A38" s="3553" t="s">
        <v>315</v>
      </c>
      <c r="B38" s="3553" t="s">
        <v>315</v>
      </c>
      <c r="C38" s="3554"/>
    </row>
    <row r="39" spans="1:3">
      <c r="A39" s="3553" t="s">
        <v>315</v>
      </c>
      <c r="B39" s="3553" t="s">
        <v>315</v>
      </c>
      <c r="C39" s="3554"/>
    </row>
    <row r="40" spans="1:3">
      <c r="A40" s="3553" t="s">
        <v>315</v>
      </c>
      <c r="B40" s="3553" t="s">
        <v>315</v>
      </c>
      <c r="C40" s="3554"/>
    </row>
    <row r="41" spans="1:3">
      <c r="A41" s="3553" t="s">
        <v>315</v>
      </c>
      <c r="B41" s="3553" t="s">
        <v>315</v>
      </c>
      <c r="C41" s="3554"/>
    </row>
    <row r="42" spans="1:3">
      <c r="A42" s="3553" t="s">
        <v>315</v>
      </c>
      <c r="B42" s="3553" t="s">
        <v>315</v>
      </c>
      <c r="C42" s="3554"/>
    </row>
    <row r="43" spans="1:3">
      <c r="A43" s="3553" t="s">
        <v>315</v>
      </c>
      <c r="B43" s="3553" t="s">
        <v>315</v>
      </c>
      <c r="C43" s="3554"/>
    </row>
    <row r="44" spans="1:3">
      <c r="A44" s="3553" t="s">
        <v>315</v>
      </c>
      <c r="B44" s="3553" t="s">
        <v>315</v>
      </c>
      <c r="C44" s="3554"/>
    </row>
    <row r="45" spans="1:3">
      <c r="A45" s="3553" t="s">
        <v>315</v>
      </c>
      <c r="B45" s="3553" t="s">
        <v>315</v>
      </c>
      <c r="C45" s="3554"/>
    </row>
    <row r="46" spans="1:3">
      <c r="A46" s="3553" t="s">
        <v>315</v>
      </c>
      <c r="B46" s="3553" t="s">
        <v>315</v>
      </c>
      <c r="C46" s="3554"/>
    </row>
    <row r="47" spans="1:3">
      <c r="A47" s="3553" t="s">
        <v>315</v>
      </c>
      <c r="B47" s="3553" t="s">
        <v>315</v>
      </c>
      <c r="C47" s="3554"/>
    </row>
    <row r="48" spans="1:3">
      <c r="A48" s="3553" t="s">
        <v>315</v>
      </c>
      <c r="B48" s="3553" t="s">
        <v>315</v>
      </c>
      <c r="C48" s="3554"/>
    </row>
    <row r="49" spans="1:3">
      <c r="A49" s="3553" t="s">
        <v>315</v>
      </c>
      <c r="B49" s="3553" t="s">
        <v>315</v>
      </c>
      <c r="C49" s="3554"/>
    </row>
    <row r="50" spans="1:3">
      <c r="A50" s="3553" t="s">
        <v>315</v>
      </c>
      <c r="B50" s="3553" t="s">
        <v>315</v>
      </c>
      <c r="C50" s="3554"/>
    </row>
    <row r="51" spans="1:4">
      <c r="A51" s="3558" t="s">
        <v>322</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323</v>
      </c>
    </row>
    <row r="52" spans="1:4">
      <c r="A52" s="3558" t="s">
        <v>324</v>
      </c>
      <c r="B52" s="3558" t="s">
        <v>325</v>
      </c>
      <c r="C52" s="3546" t="s">
        <v>326</v>
      </c>
      <c r="D52" s="3546" t="s">
        <v>327</v>
      </c>
    </row>
    <row r="53" spans="1:3">
      <c r="A53" s="3550" t="s">
        <v>328</v>
      </c>
      <c r="B53" s="3559" t="s">
        <v>329</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330</v>
      </c>
      <c r="C54" s="3546" t="s">
        <v>331</v>
      </c>
    </row>
    <row r="55" spans="1:3">
      <c r="A55" s="3550"/>
      <c r="B55" s="3559" t="s">
        <v>332</v>
      </c>
      <c r="C55" s="3546" t="s">
        <v>333</v>
      </c>
    </row>
    <row r="56" spans="1:3">
      <c r="A56" s="3550"/>
      <c r="B56" s="3559" t="s">
        <v>334</v>
      </c>
      <c r="C56" s="3546" t="s">
        <v>335</v>
      </c>
    </row>
    <row r="57" spans="1:3">
      <c r="A57" s="3550"/>
      <c r="B57" s="3559" t="s">
        <v>336</v>
      </c>
      <c r="C57" s="3546" t="s">
        <v>337</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338</v>
      </c>
      <c r="B1" s="3495"/>
      <c r="C1" s="3495"/>
      <c r="D1" s="3495"/>
      <c r="E1" s="3495"/>
      <c r="F1" s="3496"/>
      <c r="I1" s="3537" t="s">
        <v>339</v>
      </c>
      <c r="J1" s="349"/>
      <c r="K1" s="349"/>
      <c r="L1" s="349"/>
      <c r="M1" s="349"/>
      <c r="N1" s="3538"/>
      <c r="O1" s="3538"/>
      <c r="P1" s="3538"/>
      <c r="Q1" s="3538"/>
      <c r="R1" s="3538"/>
    </row>
    <row r="2" spans="1:18">
      <c r="A2" s="3497"/>
      <c r="B2" s="3498"/>
      <c r="C2" s="3498"/>
      <c r="D2" s="3498"/>
      <c r="E2" s="3498"/>
      <c r="F2" s="3499"/>
      <c r="I2" s="3539" t="s">
        <v>340</v>
      </c>
      <c r="J2" s="3539"/>
      <c r="K2" s="3539"/>
      <c r="L2" s="3539"/>
      <c r="M2" s="3539"/>
      <c r="N2" s="3539"/>
      <c r="O2" s="3539"/>
      <c r="P2" s="3539"/>
      <c r="Q2" s="3539"/>
      <c r="R2" s="3539"/>
    </row>
    <row r="3" spans="1:18">
      <c r="A3" s="504" t="s">
        <v>341</v>
      </c>
      <c r="B3" s="3500">
        <f>项目基本情况!D3</f>
        <v>44977</v>
      </c>
      <c r="C3" s="505"/>
      <c r="D3" s="505"/>
      <c r="E3" s="505"/>
      <c r="F3" s="3499"/>
      <c r="I3" s="3540"/>
      <c r="J3" s="3540" t="s">
        <v>342</v>
      </c>
      <c r="K3" s="3540" t="s">
        <v>343</v>
      </c>
      <c r="L3" s="3540" t="s">
        <v>344</v>
      </c>
      <c r="M3" s="3540" t="s">
        <v>345</v>
      </c>
      <c r="N3" s="3541" t="s">
        <v>346</v>
      </c>
      <c r="O3" s="3541" t="s">
        <v>347</v>
      </c>
      <c r="P3" s="3541" t="s">
        <v>348</v>
      </c>
      <c r="Q3" s="3541" t="s">
        <v>349</v>
      </c>
      <c r="R3" s="3541" t="s">
        <v>350</v>
      </c>
    </row>
    <row r="4" spans="1:18">
      <c r="A4" s="504" t="s">
        <v>351</v>
      </c>
      <c r="B4" s="505" t="s">
        <v>352</v>
      </c>
      <c r="C4" s="505" t="s">
        <v>353</v>
      </c>
      <c r="D4" s="505" t="s">
        <v>354</v>
      </c>
      <c r="E4" s="505" t="s">
        <v>355</v>
      </c>
      <c r="F4" s="3499"/>
      <c r="I4" s="3540" t="s">
        <v>356</v>
      </c>
      <c r="J4" s="3540">
        <v>80</v>
      </c>
      <c r="K4" s="3540">
        <v>70</v>
      </c>
      <c r="L4" s="3540">
        <v>20</v>
      </c>
      <c r="M4" s="3540">
        <v>30</v>
      </c>
      <c r="N4" s="505">
        <v>45</v>
      </c>
      <c r="O4" s="505">
        <v>60</v>
      </c>
      <c r="P4" s="505">
        <v>50</v>
      </c>
      <c r="Q4" s="505">
        <v>20</v>
      </c>
      <c r="R4" s="505">
        <v>375</v>
      </c>
    </row>
    <row r="5" spans="1:18">
      <c r="A5" s="3501">
        <v>40</v>
      </c>
      <c r="B5" s="3500">
        <v>46375</v>
      </c>
      <c r="C5" s="505">
        <f>ROUNDDOWN(MIN((B5-B3)/365,A5),2)</f>
        <v>3.83</v>
      </c>
      <c r="D5" s="3502">
        <f>IF(ISERROR(ROUND(POWER(1+E5,A5-C5)*(POWER(1+E5,C5)-1)/(POWER(1+E5,A5)-1),3)),0,ROUND(POWER(1+E5,A5-C5)*(POWER(1+E5,C5)-1)/(POWER(1+E5,A5)-1),4))</f>
        <v>0.1762</v>
      </c>
      <c r="E5" s="3503">
        <v>0.04</v>
      </c>
      <c r="F5" s="3499"/>
      <c r="I5" s="3540" t="s">
        <v>357</v>
      </c>
      <c r="J5" s="3540">
        <v>70</v>
      </c>
      <c r="K5" s="3540">
        <v>60</v>
      </c>
      <c r="L5" s="3540">
        <v>15</v>
      </c>
      <c r="M5" s="3540">
        <v>25</v>
      </c>
      <c r="N5" s="505">
        <v>40</v>
      </c>
      <c r="O5" s="505">
        <v>50</v>
      </c>
      <c r="P5" s="505">
        <v>40</v>
      </c>
      <c r="Q5" s="505">
        <v>15</v>
      </c>
      <c r="R5" s="505">
        <v>315</v>
      </c>
    </row>
    <row r="6" spans="1:18">
      <c r="A6" s="3501">
        <v>50</v>
      </c>
      <c r="B6" s="3500">
        <v>50028</v>
      </c>
      <c r="C6" s="505">
        <f>ROUNDDOWN(MIN((B6-B3)/365,A6),2)</f>
        <v>13.83</v>
      </c>
      <c r="D6" s="3502">
        <f>IF(ISERROR(ROUND(POWER(1+E6,A6-C6)*(POWER(1+E6,C6)-1)/(POWER(1+E6,A6)-1),3)),0,ROUND(POWER(1+E6,A6-C6)*(POWER(1+E6,C6)-1)/(POWER(1+E6,A6)-1),4))</f>
        <v>0.4872</v>
      </c>
      <c r="E6" s="3503">
        <v>0.04</v>
      </c>
      <c r="F6" s="3499"/>
      <c r="I6" s="3540" t="s">
        <v>358</v>
      </c>
      <c r="J6" s="3540">
        <v>60</v>
      </c>
      <c r="K6" s="3540">
        <v>50</v>
      </c>
      <c r="L6" s="3540">
        <v>10</v>
      </c>
      <c r="M6" s="3540">
        <v>20</v>
      </c>
      <c r="N6" s="505">
        <v>35</v>
      </c>
      <c r="O6" s="505">
        <v>40</v>
      </c>
      <c r="P6" s="505">
        <v>30</v>
      </c>
      <c r="Q6" s="505">
        <v>10</v>
      </c>
      <c r="R6" s="505">
        <v>255</v>
      </c>
    </row>
    <row r="7" spans="1:6">
      <c r="A7" s="3501">
        <v>70</v>
      </c>
      <c r="B7" s="3500">
        <v>57333</v>
      </c>
      <c r="C7" s="505">
        <f>ROUNDDOWN(MIN((B7-B3)/365,A7),2)</f>
        <v>33.85</v>
      </c>
      <c r="D7" s="3502">
        <f>IF(ISERROR(ROUND(POWER(1+E7,A7-C7)*(POWER(1+E7,C7)-1)/(POWER(1+E7,A7)-1),3)),0,ROUND(POWER(1+E7,A7-C7)*(POWER(1+E7,C7)-1)/(POWER(1+E7,A7)-1),4))</f>
        <v>0.7853</v>
      </c>
      <c r="E7" s="3503">
        <v>0.04</v>
      </c>
      <c r="F7" s="3499"/>
    </row>
    <row r="8" spans="1:6">
      <c r="A8" s="3497"/>
      <c r="B8" s="3498"/>
      <c r="C8" s="3498"/>
      <c r="D8" s="3498"/>
      <c r="E8" s="3498"/>
      <c r="F8" s="3499"/>
    </row>
    <row r="9" spans="1:6">
      <c r="A9" s="504" t="s">
        <v>359</v>
      </c>
      <c r="B9" s="505"/>
      <c r="C9" s="505"/>
      <c r="D9" s="505"/>
      <c r="E9" s="505"/>
      <c r="F9" s="557"/>
    </row>
    <row r="10" spans="1:6">
      <c r="A10" s="504" t="s">
        <v>360</v>
      </c>
      <c r="B10" s="505"/>
      <c r="C10" s="505"/>
      <c r="D10" s="505" t="s">
        <v>355</v>
      </c>
      <c r="E10" s="505"/>
      <c r="F10" s="557" t="s">
        <v>354</v>
      </c>
    </row>
    <row r="11" spans="1:6">
      <c r="A11" s="504" t="s">
        <v>361</v>
      </c>
      <c r="B11" s="3504">
        <v>70</v>
      </c>
      <c r="C11" s="505" t="s">
        <v>362</v>
      </c>
      <c r="D11" s="3505">
        <v>0.045</v>
      </c>
      <c r="E11" s="505" t="s">
        <v>363</v>
      </c>
      <c r="F11" s="3506">
        <f>ROUND(1-(1/(POWER(1+D11,B11))),4)</f>
        <v>0.9541</v>
      </c>
    </row>
    <row r="12" spans="1:6">
      <c r="A12" s="504" t="s">
        <v>364</v>
      </c>
      <c r="B12" s="3504">
        <v>40</v>
      </c>
      <c r="C12" s="505" t="s">
        <v>365</v>
      </c>
      <c r="D12" s="3505">
        <v>0.045</v>
      </c>
      <c r="E12" s="505" t="s">
        <v>366</v>
      </c>
      <c r="F12" s="3506">
        <f>ROUND(1-(1/(POWER(1+D12,B12))),4)</f>
        <v>0.8281</v>
      </c>
    </row>
    <row r="13" spans="1:6">
      <c r="A13" s="504" t="s">
        <v>367</v>
      </c>
      <c r="B13" s="505"/>
      <c r="C13" s="505"/>
      <c r="D13" s="3498"/>
      <c r="E13" s="3498"/>
      <c r="F13" s="3499"/>
    </row>
    <row r="14" spans="1:6">
      <c r="A14" s="504" t="s">
        <v>368</v>
      </c>
      <c r="B14" s="3504">
        <v>5000</v>
      </c>
      <c r="C14" s="3507"/>
      <c r="D14" s="3498"/>
      <c r="E14" s="3498"/>
      <c r="F14" s="3499"/>
    </row>
    <row r="15" spans="1:6">
      <c r="A15" s="504" t="s">
        <v>369</v>
      </c>
      <c r="B15" s="505">
        <f>ROUND(B14*F12/F11,2)</f>
        <v>4339.69</v>
      </c>
      <c r="C15" s="505">
        <f>ROUND(F12/F11,4)</f>
        <v>0.8679</v>
      </c>
      <c r="D15" s="3498"/>
      <c r="E15" s="3498"/>
      <c r="F15" s="3499"/>
    </row>
    <row r="16" spans="1:6">
      <c r="A16" s="504" t="s">
        <v>370</v>
      </c>
      <c r="B16" s="505"/>
      <c r="C16" s="505"/>
      <c r="D16" s="3498"/>
      <c r="E16" s="3498"/>
      <c r="F16" s="3499"/>
    </row>
    <row r="17" spans="1:6">
      <c r="A17" s="504" t="s">
        <v>369</v>
      </c>
      <c r="B17" s="3505">
        <v>4810</v>
      </c>
      <c r="C17" s="3507"/>
      <c r="D17" s="3498"/>
      <c r="E17" s="3498"/>
      <c r="F17" s="3499"/>
    </row>
    <row r="18" ht="14.25" spans="1:6">
      <c r="A18" s="3508" t="s">
        <v>368</v>
      </c>
      <c r="B18" s="560">
        <f>ROUND(B17*F11/F12,2)</f>
        <v>5541.87</v>
      </c>
      <c r="C18" s="560">
        <f>ROUND(F11/F12,4)</f>
        <v>1.1522</v>
      </c>
      <c r="D18" s="3509"/>
      <c r="E18" s="3509"/>
      <c r="F18" s="3510"/>
    </row>
    <row r="19" ht="14.25"/>
    <row r="20" s="3491" customFormat="1" ht="14.25" spans="1:13">
      <c r="A20" s="3511" t="s">
        <v>371</v>
      </c>
      <c r="B20" s="3512"/>
      <c r="C20" s="3512"/>
      <c r="D20" s="3512"/>
      <c r="E20" s="3512"/>
      <c r="F20" s="3512"/>
      <c r="G20" s="3513"/>
      <c r="I20" s="3542" t="s">
        <v>372</v>
      </c>
      <c r="J20" s="3542" t="s">
        <v>373</v>
      </c>
      <c r="K20" s="3542"/>
      <c r="L20" s="3542"/>
      <c r="M20" s="3542"/>
    </row>
    <row r="21" spans="1:10">
      <c r="A21" s="3514"/>
      <c r="B21" s="3515" t="s">
        <v>374</v>
      </c>
      <c r="C21" s="3515" t="s">
        <v>353</v>
      </c>
      <c r="D21" s="3515" t="s">
        <v>375</v>
      </c>
      <c r="E21" s="3515" t="s">
        <v>354</v>
      </c>
      <c r="F21" s="3515" t="s">
        <v>376</v>
      </c>
      <c r="G21" s="3516" t="s">
        <v>377</v>
      </c>
      <c r="I21" s="3493">
        <v>5</v>
      </c>
      <c r="J21" s="3493">
        <v>54.2</v>
      </c>
    </row>
    <row r="22" spans="1:11">
      <c r="A22" s="3514" t="s">
        <v>378</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379</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380</v>
      </c>
      <c r="M23" s="3493" t="s">
        <v>381</v>
      </c>
    </row>
    <row r="24" spans="1:13">
      <c r="A24" s="3514" t="s">
        <v>382</v>
      </c>
      <c r="B24" s="3517">
        <v>70</v>
      </c>
      <c r="C24" s="3517">
        <v>50</v>
      </c>
      <c r="D24" s="3518">
        <v>0.04</v>
      </c>
      <c r="E24" s="3515">
        <f t="shared" si="0"/>
        <v>0.918</v>
      </c>
      <c r="F24" s="3518">
        <f>F23</f>
        <v>0.7</v>
      </c>
      <c r="G24" s="3516">
        <f t="shared" si="1"/>
        <v>94.3</v>
      </c>
      <c r="I24" s="3493">
        <v>20</v>
      </c>
      <c r="J24" s="3493">
        <v>81</v>
      </c>
      <c r="K24" s="3493">
        <f t="shared" si="2"/>
        <v>6.90000000000001</v>
      </c>
      <c r="L24" s="3493" t="s">
        <v>383</v>
      </c>
      <c r="M24" s="3493">
        <v>10</v>
      </c>
    </row>
    <row r="25" spans="1:13">
      <c r="A25" s="3514" t="s">
        <v>384</v>
      </c>
      <c r="B25" s="3517">
        <v>70</v>
      </c>
      <c r="C25" s="3517">
        <v>60</v>
      </c>
      <c r="D25" s="3518">
        <v>0.04</v>
      </c>
      <c r="E25" s="3515">
        <f t="shared" si="0"/>
        <v>0.967</v>
      </c>
      <c r="F25" s="3518">
        <f>F24</f>
        <v>0.7</v>
      </c>
      <c r="G25" s="3516">
        <f t="shared" si="1"/>
        <v>97.7</v>
      </c>
      <c r="I25" s="3493">
        <v>25</v>
      </c>
      <c r="J25" s="3493">
        <v>86.3</v>
      </c>
      <c r="K25" s="3493">
        <f t="shared" si="2"/>
        <v>5.3</v>
      </c>
      <c r="L25" s="3493" t="s">
        <v>385</v>
      </c>
      <c r="M25" s="3493">
        <v>8</v>
      </c>
    </row>
    <row r="26" spans="1:13">
      <c r="A26" s="3519"/>
      <c r="B26" s="3520"/>
      <c r="C26" s="3520"/>
      <c r="D26" s="3520"/>
      <c r="E26" s="3520"/>
      <c r="F26" s="3520"/>
      <c r="G26" s="3521"/>
      <c r="I26" s="3493">
        <v>30</v>
      </c>
      <c r="J26" s="3493">
        <v>90.5</v>
      </c>
      <c r="K26" s="3493">
        <f t="shared" si="2"/>
        <v>4.2</v>
      </c>
      <c r="L26" s="3493" t="s">
        <v>386</v>
      </c>
      <c r="M26" s="3493">
        <v>5</v>
      </c>
    </row>
    <row r="27" spans="1:13">
      <c r="A27" s="3519" t="s">
        <v>387</v>
      </c>
      <c r="B27" s="3520"/>
      <c r="C27" s="3520"/>
      <c r="D27" s="3520"/>
      <c r="E27" s="3520"/>
      <c r="F27" s="3520"/>
      <c r="G27" s="3521"/>
      <c r="I27" s="3493">
        <v>35</v>
      </c>
      <c r="J27" s="3493">
        <v>93.8</v>
      </c>
      <c r="K27" s="3493">
        <f t="shared" si="2"/>
        <v>3.3</v>
      </c>
      <c r="L27" s="3493" t="s">
        <v>388</v>
      </c>
      <c r="M27" s="3493">
        <v>3</v>
      </c>
    </row>
    <row r="28" spans="1:13">
      <c r="A28" s="3519" t="s">
        <v>389</v>
      </c>
      <c r="B28" s="3520"/>
      <c r="C28" s="3520"/>
      <c r="D28" s="3520"/>
      <c r="E28" s="3520"/>
      <c r="F28" s="3520"/>
      <c r="G28" s="3521"/>
      <c r="I28" s="3493">
        <v>40</v>
      </c>
      <c r="J28" s="3493">
        <v>96.4</v>
      </c>
      <c r="K28" s="3493">
        <f t="shared" si="2"/>
        <v>2.60000000000001</v>
      </c>
      <c r="L28" s="3493" t="s">
        <v>390</v>
      </c>
      <c r="M28" s="3493">
        <v>2</v>
      </c>
    </row>
    <row r="29" spans="1:11">
      <c r="A29" s="3519" t="s">
        <v>391</v>
      </c>
      <c r="B29" s="3520"/>
      <c r="C29" s="3520"/>
      <c r="D29" s="3520"/>
      <c r="E29" s="3520"/>
      <c r="F29" s="3520"/>
      <c r="G29" s="3521"/>
      <c r="I29" s="3493">
        <v>45</v>
      </c>
      <c r="J29" s="3493">
        <v>98.4</v>
      </c>
      <c r="K29" s="3493">
        <f t="shared" si="2"/>
        <v>2</v>
      </c>
    </row>
    <row r="30" spans="1:11">
      <c r="A30" s="3519" t="s">
        <v>392</v>
      </c>
      <c r="B30" s="3520"/>
      <c r="C30" s="3520"/>
      <c r="D30" s="3520"/>
      <c r="E30" s="3520"/>
      <c r="F30" s="3520"/>
      <c r="G30" s="3521"/>
      <c r="I30" s="3493">
        <v>50</v>
      </c>
      <c r="J30" s="3493">
        <v>100</v>
      </c>
      <c r="K30" s="3493">
        <f t="shared" si="2"/>
        <v>1.59999999999999</v>
      </c>
    </row>
    <row r="31" spans="1:9">
      <c r="A31" s="3519" t="s">
        <v>393</v>
      </c>
      <c r="B31" s="3520"/>
      <c r="C31" s="3520"/>
      <c r="D31" s="3520"/>
      <c r="E31" s="3520"/>
      <c r="F31" s="3520"/>
      <c r="G31" s="3521"/>
      <c r="I31" s="3493" t="s">
        <v>394</v>
      </c>
    </row>
    <row r="32" spans="1:7">
      <c r="A32" s="3519" t="s">
        <v>395</v>
      </c>
      <c r="B32" s="3520"/>
      <c r="C32" s="3520"/>
      <c r="D32" s="3520"/>
      <c r="E32" s="3520"/>
      <c r="F32" s="3520"/>
      <c r="G32" s="3521"/>
    </row>
    <row r="33" spans="1:10">
      <c r="A33" s="3519" t="s">
        <v>396</v>
      </c>
      <c r="B33" s="3520"/>
      <c r="C33" s="3520"/>
      <c r="D33" s="3520"/>
      <c r="E33" s="3520"/>
      <c r="F33" s="3520"/>
      <c r="G33" s="3521"/>
      <c r="I33" s="3493" t="s">
        <v>372</v>
      </c>
      <c r="J33" s="3493" t="s">
        <v>397</v>
      </c>
    </row>
    <row r="34" spans="1:10">
      <c r="A34" s="3519" t="s">
        <v>398</v>
      </c>
      <c r="B34" s="3520"/>
      <c r="C34" s="3520"/>
      <c r="D34" s="3520"/>
      <c r="E34" s="3520"/>
      <c r="F34" s="3520"/>
      <c r="G34" s="3521"/>
      <c r="I34" s="3493">
        <v>5</v>
      </c>
      <c r="J34" s="3493">
        <v>55.1</v>
      </c>
    </row>
    <row r="35" spans="1:11">
      <c r="A35" s="3519" t="s">
        <v>399</v>
      </c>
      <c r="B35" s="3520"/>
      <c r="C35" s="3520"/>
      <c r="D35" s="3520"/>
      <c r="E35" s="3520"/>
      <c r="F35" s="3520"/>
      <c r="G35" s="3521"/>
      <c r="I35" s="3493">
        <v>10</v>
      </c>
      <c r="J35" s="3493">
        <v>67</v>
      </c>
      <c r="K35" s="3493">
        <f>J35-J34</f>
        <v>11.9</v>
      </c>
    </row>
    <row r="36" spans="1:13">
      <c r="A36" s="3519" t="s">
        <v>400</v>
      </c>
      <c r="B36" s="3520"/>
      <c r="C36" s="3520"/>
      <c r="D36" s="3520"/>
      <c r="E36" s="3520"/>
      <c r="F36" s="3520"/>
      <c r="G36" s="3521"/>
      <c r="I36" s="3493">
        <v>15</v>
      </c>
      <c r="J36" s="3493">
        <v>76.3</v>
      </c>
      <c r="K36" s="3493">
        <f t="shared" ref="K36:K41" si="3">J36-J35</f>
        <v>9.3</v>
      </c>
      <c r="L36" s="3493" t="s">
        <v>380</v>
      </c>
      <c r="M36" s="3493" t="s">
        <v>381</v>
      </c>
    </row>
    <row r="37" spans="1:13">
      <c r="A37" s="3519" t="s">
        <v>401</v>
      </c>
      <c r="B37" s="3520"/>
      <c r="C37" s="3520"/>
      <c r="D37" s="3520"/>
      <c r="E37" s="3520"/>
      <c r="F37" s="3520"/>
      <c r="G37" s="3521"/>
      <c r="I37" s="3493">
        <v>20</v>
      </c>
      <c r="J37" s="3493">
        <v>83.6</v>
      </c>
      <c r="K37" s="3493">
        <f t="shared" si="3"/>
        <v>7.3</v>
      </c>
      <c r="L37" s="3493" t="s">
        <v>383</v>
      </c>
      <c r="M37" s="3493">
        <v>10</v>
      </c>
    </row>
    <row r="38" spans="1:13">
      <c r="A38" s="3519" t="s">
        <v>402</v>
      </c>
      <c r="B38" s="3520"/>
      <c r="C38" s="3520"/>
      <c r="D38" s="3520"/>
      <c r="E38" s="3520"/>
      <c r="F38" s="3520"/>
      <c r="G38" s="3521"/>
      <c r="I38" s="3493">
        <v>25</v>
      </c>
      <c r="J38" s="3493">
        <v>89.3</v>
      </c>
      <c r="K38" s="3493">
        <f t="shared" si="3"/>
        <v>5.7</v>
      </c>
      <c r="L38" s="3493" t="s">
        <v>385</v>
      </c>
      <c r="M38" s="3493">
        <v>8</v>
      </c>
    </row>
    <row r="39" spans="1:13">
      <c r="A39" s="3519"/>
      <c r="B39" s="3520"/>
      <c r="C39" s="3520"/>
      <c r="D39" s="3520"/>
      <c r="E39" s="3520"/>
      <c r="F39" s="3520"/>
      <c r="G39" s="3521"/>
      <c r="I39" s="3493">
        <v>30</v>
      </c>
      <c r="J39" s="3493">
        <v>93.8</v>
      </c>
      <c r="K39" s="3493">
        <f t="shared" si="3"/>
        <v>4.5</v>
      </c>
      <c r="L39" s="3493" t="s">
        <v>386</v>
      </c>
      <c r="M39" s="3493">
        <v>6</v>
      </c>
    </row>
    <row r="40" spans="1:13">
      <c r="A40" s="3522" t="s">
        <v>403</v>
      </c>
      <c r="B40" s="3523"/>
      <c r="C40" s="3523"/>
      <c r="D40" s="3523"/>
      <c r="E40" s="3523"/>
      <c r="F40" s="3523"/>
      <c r="G40" s="3524"/>
      <c r="I40" s="3493">
        <v>35</v>
      </c>
      <c r="J40" s="3493">
        <v>97.2</v>
      </c>
      <c r="K40" s="3493">
        <f t="shared" si="3"/>
        <v>3.40000000000001</v>
      </c>
      <c r="L40" s="3493" t="s">
        <v>388</v>
      </c>
      <c r="M40" s="3493">
        <v>3</v>
      </c>
    </row>
    <row r="41" spans="1:11">
      <c r="A41" s="3525" t="s">
        <v>404</v>
      </c>
      <c r="B41" s="3526" t="s">
        <v>405</v>
      </c>
      <c r="C41" s="3527" t="s">
        <v>406</v>
      </c>
      <c r="D41" s="3527" t="s">
        <v>407</v>
      </c>
      <c r="E41" s="3528"/>
      <c r="F41" s="3529"/>
      <c r="G41" s="3530"/>
      <c r="I41" s="3493">
        <v>40</v>
      </c>
      <c r="J41" s="3493">
        <v>100</v>
      </c>
      <c r="K41" s="3493">
        <f t="shared" si="3"/>
        <v>2.8</v>
      </c>
    </row>
    <row r="42" spans="1:7">
      <c r="A42" s="3525" t="s">
        <v>408</v>
      </c>
      <c r="B42" s="3526" t="s">
        <v>409</v>
      </c>
      <c r="C42" s="3527" t="s">
        <v>409</v>
      </c>
      <c r="D42" s="3531" t="s">
        <v>410</v>
      </c>
      <c r="E42" s="3523" t="s">
        <v>411</v>
      </c>
      <c r="F42" s="3523"/>
      <c r="G42" s="3524"/>
    </row>
    <row r="43" spans="1:10">
      <c r="A43" s="3525" t="s">
        <v>412</v>
      </c>
      <c r="B43" s="3526" t="s">
        <v>413</v>
      </c>
      <c r="C43" s="3527" t="s">
        <v>414</v>
      </c>
      <c r="D43" s="3527" t="s">
        <v>415</v>
      </c>
      <c r="E43" s="3528" t="s">
        <v>416</v>
      </c>
      <c r="F43" s="3529"/>
      <c r="G43" s="3530"/>
      <c r="I43" s="3493" t="s">
        <v>372</v>
      </c>
      <c r="J43" s="3493" t="s">
        <v>417</v>
      </c>
    </row>
    <row r="44" spans="1:10">
      <c r="A44" s="3525" t="s">
        <v>418</v>
      </c>
      <c r="B44" s="3526" t="s">
        <v>419</v>
      </c>
      <c r="C44" s="3527" t="s">
        <v>420</v>
      </c>
      <c r="D44" s="3531">
        <v>0.5</v>
      </c>
      <c r="E44" s="3528" t="s">
        <v>421</v>
      </c>
      <c r="F44" s="3529"/>
      <c r="G44" s="3530"/>
      <c r="I44" s="3493">
        <v>30</v>
      </c>
      <c r="J44" s="3493">
        <v>81.7</v>
      </c>
    </row>
    <row r="45" ht="14.25" spans="1:11">
      <c r="A45" s="3532" t="s">
        <v>422</v>
      </c>
      <c r="B45" s="3533" t="s">
        <v>409</v>
      </c>
      <c r="C45" s="3534" t="s">
        <v>409</v>
      </c>
      <c r="D45" s="3534" t="s">
        <v>423</v>
      </c>
      <c r="E45" s="3535" t="s">
        <v>424</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39" customWidth="1"/>
    <col min="10" max="10" width="10" style="3142" customWidth="1"/>
    <col min="11" max="11" width="10" style="3336" customWidth="1"/>
    <col min="12" max="13" width="10" style="3337" customWidth="1"/>
    <col min="14" max="14" width="10" style="3142" customWidth="1"/>
    <col min="15" max="15" width="10" style="988" customWidth="1"/>
    <col min="16" max="17" width="10" style="3142"/>
    <col min="18" max="18" width="10" style="3142" customWidth="1"/>
    <col min="19" max="30" width="10" style="3142"/>
    <col min="31" max="16384" width="10" style="2947"/>
  </cols>
  <sheetData>
    <row r="1" ht="13.5" spans="1:28">
      <c r="A1" s="3338" t="s">
        <v>425</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455"/>
      <c r="J1" s="2897"/>
      <c r="K1" s="3456"/>
      <c r="L1" s="3457"/>
      <c r="M1" s="3457"/>
      <c r="N1" s="3384"/>
      <c r="O1" s="3247"/>
      <c r="P1" s="3384"/>
      <c r="Q1" s="3384"/>
      <c r="R1" s="3384"/>
      <c r="S1" s="2948" t="str">
        <f>IF(B10="北京市","北京市",C10)&amp;F10&amp;IF(结果表!G1="在建","出让国有建设用地使用权及在建建筑物房地产抵押价值",IF(结果表!G1="土地","出让国有建设用地使用权抵押价值",B9))</f>
        <v>北京市房地产市场价值</v>
      </c>
      <c r="T1" s="2947"/>
      <c r="U1" s="2947"/>
      <c r="V1" s="2947"/>
      <c r="W1" s="2947"/>
      <c r="X1" s="2947"/>
      <c r="Y1" s="2947"/>
      <c r="Z1" s="2947"/>
      <c r="AA1" s="2947"/>
      <c r="AB1" s="2947"/>
    </row>
    <row r="2" spans="1:28">
      <c r="A2" s="3341" t="s">
        <v>426</v>
      </c>
      <c r="B2" s="3342"/>
      <c r="C2" s="3343"/>
      <c r="D2" s="3344"/>
      <c r="E2" s="3345"/>
      <c r="F2" s="3345"/>
      <c r="G2" s="3346"/>
      <c r="H2" s="3346"/>
      <c r="I2" s="3346"/>
      <c r="J2" s="2897"/>
      <c r="K2" s="3456"/>
      <c r="L2" s="3457"/>
      <c r="M2" s="3457"/>
      <c r="N2" s="3384"/>
      <c r="O2" s="3247"/>
      <c r="P2" s="3384"/>
      <c r="Q2" s="3384"/>
      <c r="R2" s="338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2026" t="s">
        <v>427</v>
      </c>
      <c r="B3" s="3347">
        <v>44977</v>
      </c>
      <c r="C3" s="3348" t="s">
        <v>428</v>
      </c>
      <c r="D3" s="3347">
        <f>B3</f>
        <v>44977</v>
      </c>
      <c r="E3" s="3346"/>
      <c r="F3" s="3346"/>
      <c r="G3" s="3346"/>
      <c r="H3" s="3346"/>
      <c r="I3" s="3346"/>
      <c r="J3" s="2897"/>
      <c r="K3" s="3456"/>
      <c r="L3" s="3457"/>
      <c r="M3" s="3457"/>
      <c r="N3" s="3384"/>
      <c r="O3" s="3247"/>
      <c r="P3" s="3384"/>
      <c r="Q3" s="3384"/>
      <c r="R3" s="3384"/>
      <c r="S3" s="2948"/>
      <c r="T3" s="2947"/>
      <c r="U3" s="2947"/>
      <c r="V3" s="2947"/>
      <c r="W3" s="2947"/>
      <c r="X3" s="2947"/>
      <c r="Y3" s="2947"/>
      <c r="Z3" s="2947"/>
      <c r="AA3" s="2947"/>
      <c r="AB3" s="2947"/>
    </row>
    <row r="4" ht="13.5" spans="1:28">
      <c r="A4" s="2050" t="s">
        <v>429</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1"/>
      <c r="K4" s="3458" t="str">
        <f ca="1">CONCATENATE(B4,"（注册号：",C4,")、",D4,"（注册号：",E4,")")</f>
        <v>（注册号：0)、（注册号：0)</v>
      </c>
      <c r="L4" s="3457"/>
      <c r="M4" s="3457"/>
      <c r="N4" s="3384"/>
      <c r="O4" s="3247"/>
      <c r="P4" s="3384"/>
      <c r="Q4" s="3384"/>
      <c r="R4" s="3384"/>
      <c r="S4" s="2948"/>
      <c r="T4" s="2947"/>
      <c r="U4" s="2947"/>
      <c r="V4" s="2947"/>
      <c r="W4" s="2947"/>
      <c r="X4" s="2947"/>
      <c r="Y4" s="2947"/>
      <c r="Z4" s="2947"/>
      <c r="AA4" s="2947"/>
      <c r="AB4" s="2947"/>
    </row>
    <row r="5" ht="13.5" spans="1:28">
      <c r="A5" s="3352" t="s">
        <v>430</v>
      </c>
      <c r="B5" s="3353"/>
      <c r="C5" s="3354"/>
      <c r="D5" s="3355"/>
      <c r="E5" s="3052"/>
      <c r="F5" s="3052"/>
      <c r="G5" s="3052"/>
      <c r="H5" s="3052"/>
      <c r="I5" s="3052"/>
      <c r="J5" s="2931"/>
      <c r="K5" s="3458" t="str">
        <f ca="1">IF(F4="——","",IF(H4="——",F4&amp;"（注册号："&amp;G4&amp;")",CONCATENATE(F4,"（注册号：",G4,")、",H4,"（注册号：",I4,")")))</f>
        <v>（注册号：0)、（注册号：0)</v>
      </c>
      <c r="L5" s="3457"/>
      <c r="M5" s="3457"/>
      <c r="N5" s="3384"/>
      <c r="O5" s="3247"/>
      <c r="P5" s="3384"/>
      <c r="Q5" s="3384"/>
      <c r="R5" s="3384"/>
      <c r="S5" s="2947"/>
      <c r="T5" s="2947"/>
      <c r="U5" s="2947"/>
      <c r="V5" s="2947"/>
      <c r="W5" s="2947"/>
      <c r="X5" s="2947"/>
      <c r="Y5" s="2947"/>
      <c r="Z5" s="2947"/>
      <c r="AA5" s="2947"/>
      <c r="AB5" s="2947"/>
    </row>
    <row r="6" spans="1:18">
      <c r="A6" s="3356" t="s">
        <v>431</v>
      </c>
      <c r="B6" s="3357"/>
      <c r="C6" s="3358"/>
      <c r="D6" s="3359"/>
      <c r="E6" s="3345"/>
      <c r="F6" s="3052"/>
      <c r="G6" s="3052"/>
      <c r="H6" s="3052"/>
      <c r="I6" s="3052"/>
      <c r="J6" s="2931"/>
      <c r="K6" s="3459" t="str">
        <f>IF(COUNTIF(B6,"*上海银行*"),"上海银行","")</f>
        <v/>
      </c>
      <c r="L6" s="3460"/>
      <c r="M6" s="3460"/>
      <c r="N6" s="2931"/>
      <c r="O6" s="3461"/>
      <c r="P6" s="2931"/>
      <c r="Q6" s="2931"/>
      <c r="R6" s="2931"/>
    </row>
    <row r="7" spans="1:18">
      <c r="A7" s="3356" t="s">
        <v>432</v>
      </c>
      <c r="B7" s="3360"/>
      <c r="C7" s="3358"/>
      <c r="D7" s="3359"/>
      <c r="E7" s="3345"/>
      <c r="F7" s="3052"/>
      <c r="G7" s="3052"/>
      <c r="H7" s="3052"/>
      <c r="I7" s="3052"/>
      <c r="J7" s="2931"/>
      <c r="K7" s="3462"/>
      <c r="L7" s="3460"/>
      <c r="M7" s="3460"/>
      <c r="N7" s="2931"/>
      <c r="O7" s="3461"/>
      <c r="P7" s="2931"/>
      <c r="Q7" s="2931"/>
      <c r="R7" s="2931"/>
    </row>
    <row r="8" spans="1:18">
      <c r="A8" s="3361" t="s">
        <v>433</v>
      </c>
      <c r="B8" s="3362" t="s">
        <v>434</v>
      </c>
      <c r="C8" s="3363"/>
      <c r="D8" s="3364" t="s">
        <v>435</v>
      </c>
      <c r="E8" s="3365" t="s">
        <v>332</v>
      </c>
      <c r="F8" s="3366"/>
      <c r="G8" s="3346"/>
      <c r="H8" s="3346"/>
      <c r="I8" s="3346"/>
      <c r="J8" s="2931"/>
      <c r="K8" s="3463"/>
      <c r="L8" s="3460"/>
      <c r="M8" s="3460"/>
      <c r="N8" s="2931"/>
      <c r="O8" s="3461"/>
      <c r="P8" s="2931"/>
      <c r="Q8" s="2931"/>
      <c r="R8" s="2931"/>
    </row>
    <row r="9" ht="13.5" spans="1:18">
      <c r="A9" s="3367" t="s">
        <v>436</v>
      </c>
      <c r="B9" s="3368" t="s">
        <v>437</v>
      </c>
      <c r="C9" s="3369"/>
      <c r="D9" s="3370"/>
      <c r="E9" s="3368" t="s">
        <v>124</v>
      </c>
      <c r="F9" s="3371"/>
      <c r="G9" s="3372"/>
      <c r="H9" s="3372"/>
      <c r="I9" s="3372"/>
      <c r="J9" s="2931"/>
      <c r="K9" s="3462"/>
      <c r="L9" s="3460"/>
      <c r="M9" s="3460"/>
      <c r="N9" s="2931"/>
      <c r="O9" s="3461"/>
      <c r="P9" s="2931"/>
      <c r="Q9" s="2931"/>
      <c r="R9" s="2931"/>
    </row>
    <row r="10" ht="13.5" spans="1:18">
      <c r="A10" s="3373" t="s">
        <v>438</v>
      </c>
      <c r="B10" s="3374" t="s">
        <v>439</v>
      </c>
      <c r="C10" s="3375"/>
      <c r="D10" s="3355"/>
      <c r="E10" s="3376" t="s">
        <v>440</v>
      </c>
      <c r="F10" s="3377"/>
      <c r="G10" s="3378"/>
      <c r="H10" s="3379"/>
      <c r="I10" s="3464"/>
      <c r="J10" s="2931"/>
      <c r="K10" s="3462"/>
      <c r="L10" s="3460"/>
      <c r="M10" s="3460"/>
      <c r="N10" s="2931"/>
      <c r="O10" s="3461"/>
      <c r="P10" s="2931"/>
      <c r="Q10" s="2931"/>
      <c r="R10" s="2931"/>
    </row>
    <row r="11" spans="1:18">
      <c r="A11" s="3380" t="s">
        <v>441</v>
      </c>
      <c r="B11" s="3381" t="s">
        <v>442</v>
      </c>
      <c r="C11" s="3382"/>
      <c r="D11" s="3383"/>
      <c r="E11" s="3384"/>
      <c r="F11" s="3384"/>
      <c r="G11" s="3384"/>
      <c r="H11" s="3384"/>
      <c r="I11" s="3384"/>
      <c r="J11" s="3465"/>
      <c r="K11" s="3466"/>
      <c r="L11" s="3460"/>
      <c r="M11" s="3460"/>
      <c r="N11" s="2931"/>
      <c r="O11" s="3461"/>
      <c r="P11" s="2931"/>
      <c r="Q11" s="2931"/>
      <c r="R11" s="2931"/>
    </row>
    <row r="12" spans="1:30">
      <c r="A12" s="3385" t="s">
        <v>443</v>
      </c>
      <c r="B12" s="2069" t="s">
        <v>444</v>
      </c>
      <c r="C12" s="3386" t="s">
        <v>445</v>
      </c>
      <c r="D12" s="3386" t="s">
        <v>446</v>
      </c>
      <c r="E12" s="3386" t="s">
        <v>447</v>
      </c>
      <c r="F12" s="3386" t="s">
        <v>448</v>
      </c>
      <c r="G12" s="3386" t="s">
        <v>449</v>
      </c>
      <c r="H12" s="3386" t="s">
        <v>450</v>
      </c>
      <c r="I12" s="3467" t="s">
        <v>280</v>
      </c>
      <c r="J12" s="3468"/>
      <c r="K12" s="3460"/>
      <c r="L12" s="3460"/>
      <c r="M12" s="2931"/>
      <c r="N12" s="3461"/>
      <c r="O12" s="2931"/>
      <c r="P12" s="2931"/>
      <c r="Q12" s="2931"/>
      <c r="AD12" s="2947"/>
    </row>
    <row r="13" spans="1:30">
      <c r="A13" s="3387" t="s">
        <v>451</v>
      </c>
      <c r="B13" s="3388" t="s">
        <v>452</v>
      </c>
      <c r="C13" s="3389"/>
      <c r="D13" s="3389"/>
      <c r="E13" s="3389"/>
      <c r="F13" s="3389"/>
      <c r="G13" s="3389"/>
      <c r="H13" s="3389"/>
      <c r="I13" s="3389"/>
      <c r="J13" s="3468"/>
      <c r="K13" s="3460"/>
      <c r="L13" s="3460"/>
      <c r="M13" s="2931"/>
      <c r="N13" s="3461"/>
      <c r="O13" s="2931"/>
      <c r="P13" s="2931"/>
      <c r="Q13" s="2931"/>
      <c r="AD13" s="2947"/>
    </row>
    <row r="14" spans="1:30">
      <c r="A14" s="2055"/>
      <c r="B14" s="3388" t="s">
        <v>453</v>
      </c>
      <c r="C14" s="3390">
        <v>70</v>
      </c>
      <c r="D14" s="3390"/>
      <c r="E14" s="3390"/>
      <c r="F14" s="3390"/>
      <c r="G14" s="3390"/>
      <c r="H14" s="3390"/>
      <c r="I14" s="3390"/>
      <c r="J14" s="3469"/>
      <c r="K14" s="3460"/>
      <c r="L14" s="3460"/>
      <c r="M14" s="2931"/>
      <c r="N14" s="3461"/>
      <c r="O14" s="2931"/>
      <c r="P14" s="2931"/>
      <c r="Q14" s="2931"/>
      <c r="AD14" s="2947"/>
    </row>
    <row r="15" spans="1:30">
      <c r="A15" s="2062"/>
      <c r="B15" s="3391" t="s">
        <v>454</v>
      </c>
      <c r="C15" s="3392">
        <f>IF(A13="出让",IF(C13="","",ROUNDDOWN(MIN((C13-$D$3)/365,C14),2)),C14)</f>
        <v>70</v>
      </c>
      <c r="D15" s="3392">
        <f>IF(A13="出让",IF(D13="","",ROUNDDOWN(MIN((D13-$D$3)/365,D14),2)),D14)</f>
        <v>0</v>
      </c>
      <c r="E15" s="3392">
        <f>IF(A13="出让",IF(E13="","",ROUNDDOWN(MIN((E13-$D$3)/365,E14),2)),E14)</f>
        <v>0</v>
      </c>
      <c r="F15" s="3392">
        <f>IF(A13="出让",IF(F13="","",ROUNDDOWN(MIN((F13-$D$3)/365,F14),2)),F14)</f>
        <v>0</v>
      </c>
      <c r="G15" s="3392">
        <f>IF(A13="出让",IF(G13="","",ROUNDDOWN(MIN((G13-$D$3)/365,G14),2)),G14)</f>
        <v>0</v>
      </c>
      <c r="H15" s="3392">
        <f>IF(A13="出让",IF(H13="","",ROUNDDOWN(MIN((H13-$D$3)/365,H14),2)),H14)</f>
        <v>0</v>
      </c>
      <c r="I15" s="3392">
        <f>IF(A13="出让",IF(I13="","",ROUNDDOWN(MIN((I13-$D$3)/365,I14),2)),I14)</f>
        <v>0</v>
      </c>
      <c r="J15" s="3470"/>
      <c r="K15" s="3471"/>
      <c r="L15" s="3471"/>
      <c r="M15" s="2932"/>
      <c r="N15" s="3471"/>
      <c r="O15" s="2932"/>
      <c r="P15" s="2931"/>
      <c r="Q15" s="2931"/>
      <c r="AD15" s="2947"/>
    </row>
    <row r="16" spans="1:18">
      <c r="A16" s="3376" t="s">
        <v>455</v>
      </c>
      <c r="B16" s="3393"/>
      <c r="C16" s="3394"/>
      <c r="D16" s="3395"/>
      <c r="E16" s="3396" t="s">
        <v>456</v>
      </c>
      <c r="F16" s="3397"/>
      <c r="G16" s="3398"/>
      <c r="H16" s="3398"/>
      <c r="I16" s="3472"/>
      <c r="J16" s="2931"/>
      <c r="K16" s="3473"/>
      <c r="L16" s="3471"/>
      <c r="M16" s="3471"/>
      <c r="N16" s="2932"/>
      <c r="O16" s="3471"/>
      <c r="P16" s="2932"/>
      <c r="Q16" s="2931"/>
      <c r="R16" s="2931"/>
    </row>
    <row r="17" spans="1:22">
      <c r="A17" s="2039" t="s">
        <v>457</v>
      </c>
      <c r="B17" s="2026" t="s">
        <v>458</v>
      </c>
      <c r="C17" s="1051">
        <f>'数据-汇总表'!E3</f>
        <v>69.7</v>
      </c>
      <c r="D17" s="2082" t="s">
        <v>459</v>
      </c>
      <c r="E17" s="3399" t="s">
        <v>460</v>
      </c>
      <c r="F17" s="3400"/>
      <c r="G17" s="3400"/>
      <c r="H17" s="3400"/>
      <c r="I17" s="3474"/>
      <c r="J17" s="2931"/>
      <c r="K17" s="3475"/>
      <c r="L17" s="3471"/>
      <c r="M17" s="3471"/>
      <c r="N17" s="2932"/>
      <c r="O17" s="3471"/>
      <c r="P17" s="2932"/>
      <c r="Q17" s="2931"/>
      <c r="R17" s="2931"/>
      <c r="S17" s="2931"/>
      <c r="T17" s="2931"/>
      <c r="U17" s="2931"/>
      <c r="V17" s="2931"/>
    </row>
    <row r="18" ht="24.75" spans="1:22">
      <c r="A18" s="3401" t="s">
        <v>461</v>
      </c>
      <c r="B18" s="2050" t="s">
        <v>462</v>
      </c>
      <c r="C18" s="3402">
        <f>'数据-汇总表'!D3</f>
        <v>0</v>
      </c>
      <c r="D18" s="2075" t="s">
        <v>459</v>
      </c>
      <c r="E18" s="3403" t="s">
        <v>463</v>
      </c>
      <c r="F18" s="3404"/>
      <c r="G18" s="3404"/>
      <c r="H18" s="3404"/>
      <c r="I18" s="3476"/>
      <c r="J18" s="2931"/>
      <c r="K18" s="3475"/>
      <c r="L18" s="3471"/>
      <c r="M18" s="3471"/>
      <c r="N18" s="2932"/>
      <c r="O18" s="3471"/>
      <c r="P18" s="2932"/>
      <c r="Q18" s="2931"/>
      <c r="R18" s="2931"/>
      <c r="S18" s="2931"/>
      <c r="T18" s="2931"/>
      <c r="U18" s="2931"/>
      <c r="V18" s="2931"/>
    </row>
    <row r="19" ht="37.5" spans="1:22">
      <c r="A19" s="2092" t="s">
        <v>464</v>
      </c>
      <c r="B19" s="2031" t="s">
        <v>465</v>
      </c>
      <c r="C19" s="3405"/>
      <c r="D19" s="3406" t="s">
        <v>466</v>
      </c>
      <c r="E19" s="3407"/>
      <c r="F19" s="3408" t="str">
        <f>IF(AND(C19="是",E19="否"),"是否提供他项权证或相关说明","")</f>
        <v/>
      </c>
      <c r="G19" s="3409"/>
      <c r="H19" s="3052"/>
      <c r="I19" s="3052"/>
      <c r="J19" s="2931"/>
      <c r="K19" s="3462"/>
      <c r="L19" s="3460"/>
      <c r="M19" s="3460"/>
      <c r="N19" s="2932"/>
      <c r="O19" s="3471"/>
      <c r="P19" s="2932"/>
      <c r="Q19" s="2931"/>
      <c r="R19" s="2931"/>
      <c r="S19" s="2931"/>
      <c r="T19" s="2931"/>
      <c r="U19" s="2931"/>
      <c r="V19" s="2931"/>
    </row>
    <row r="20" spans="1:28">
      <c r="A20" s="3410" t="s">
        <v>467</v>
      </c>
      <c r="B20" s="3411" t="s">
        <v>468</v>
      </c>
      <c r="C20" s="3412"/>
      <c r="D20" s="3413" t="s">
        <v>469</v>
      </c>
      <c r="E20" s="3414"/>
      <c r="F20" s="3415" t="s">
        <v>470</v>
      </c>
      <c r="G20" s="3052"/>
      <c r="H20" s="3052"/>
      <c r="I20" s="3052"/>
      <c r="J20" s="2931"/>
      <c r="K20" s="3258"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7"/>
      <c r="X20" s="2947"/>
      <c r="Y20" s="2947"/>
      <c r="Z20" s="2947"/>
      <c r="AA20" s="2947"/>
      <c r="AB20" s="2947"/>
    </row>
    <row r="21" ht="24.75" spans="1:28">
      <c r="A21" s="3410"/>
      <c r="B21" s="3416" t="s">
        <v>472</v>
      </c>
      <c r="C21" s="3417" t="s">
        <v>473</v>
      </c>
      <c r="D21" s="3418" t="s">
        <v>474</v>
      </c>
      <c r="E21" s="3419" t="s">
        <v>473</v>
      </c>
      <c r="F21" s="3420"/>
      <c r="G21" s="3052"/>
      <c r="H21" s="3052"/>
      <c r="I21" s="3052"/>
      <c r="J21" s="2931"/>
      <c r="K21" s="3258"/>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7"/>
      <c r="X21" s="2947"/>
      <c r="Y21" s="2947"/>
      <c r="Z21" s="2947"/>
      <c r="AA21" s="2947"/>
      <c r="AB21" s="2947"/>
    </row>
    <row r="22" ht="24.75" spans="1:28">
      <c r="A22" s="3410"/>
      <c r="B22" s="3421" t="s">
        <v>475</v>
      </c>
      <c r="C22" s="3417" t="s">
        <v>476</v>
      </c>
      <c r="D22" s="3346"/>
      <c r="E22" s="3346"/>
      <c r="F22" s="3346"/>
      <c r="G22" s="3052"/>
      <c r="H22" s="3052"/>
      <c r="I22" s="3052"/>
      <c r="J22" s="2931"/>
      <c r="K22" s="3258"/>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7"/>
      <c r="X22" s="2947"/>
      <c r="Y22" s="2947"/>
      <c r="Z22" s="2947"/>
      <c r="AA22" s="2947"/>
      <c r="AB22" s="2947"/>
    </row>
    <row r="23" spans="1:22">
      <c r="A23" s="3422" t="s">
        <v>477</v>
      </c>
      <c r="B23" s="2922" t="s">
        <v>478</v>
      </c>
      <c r="C23" s="3423"/>
      <c r="D23" s="3424" t="s">
        <v>478</v>
      </c>
      <c r="E23" s="3425"/>
      <c r="F23" s="3346"/>
      <c r="G23" s="3052"/>
      <c r="H23" s="3052"/>
      <c r="I23" s="3052"/>
      <c r="J23" s="2931"/>
      <c r="K23" s="3479"/>
      <c r="L23" s="2192"/>
      <c r="M23" s="3460"/>
      <c r="N23" s="2932"/>
      <c r="O23" s="3471"/>
      <c r="P23" s="2932"/>
      <c r="Q23" s="2931"/>
      <c r="R23" s="2931"/>
      <c r="S23" s="2931"/>
      <c r="T23" s="2931"/>
      <c r="U23" s="2931"/>
      <c r="V23" s="2931"/>
    </row>
    <row r="24" spans="1:22">
      <c r="A24" s="3422"/>
      <c r="B24" s="2922" t="s">
        <v>479</v>
      </c>
      <c r="C24" s="3426"/>
      <c r="D24" s="3422" t="s">
        <v>479</v>
      </c>
      <c r="E24" s="3427"/>
      <c r="F24" s="3346"/>
      <c r="G24" s="3052"/>
      <c r="H24" s="3052"/>
      <c r="I24" s="3052"/>
      <c r="J24" s="2931"/>
      <c r="K24" s="3479"/>
      <c r="L24" s="2192"/>
      <c r="M24" s="3460"/>
      <c r="N24" s="2932"/>
      <c r="O24" s="3471"/>
      <c r="P24" s="2932"/>
      <c r="Q24" s="2931"/>
      <c r="R24" s="2931"/>
      <c r="S24" s="2931"/>
      <c r="T24" s="2931"/>
      <c r="U24" s="2931"/>
      <c r="V24" s="2931"/>
    </row>
    <row r="25" spans="1:22">
      <c r="A25" s="3422"/>
      <c r="B25" s="2922" t="s">
        <v>480</v>
      </c>
      <c r="C25" s="3426"/>
      <c r="D25" s="3422" t="s">
        <v>480</v>
      </c>
      <c r="E25" s="3427"/>
      <c r="F25" s="3346"/>
      <c r="G25" s="3052"/>
      <c r="H25" s="3052"/>
      <c r="I25" s="3052"/>
      <c r="J25" s="2931"/>
      <c r="K25" s="3462"/>
      <c r="L25" s="3460"/>
      <c r="M25" s="3460"/>
      <c r="N25" s="2932"/>
      <c r="O25" s="3471"/>
      <c r="P25" s="2932"/>
      <c r="Q25" s="2931"/>
      <c r="R25" s="2931"/>
      <c r="S25" s="2931"/>
      <c r="T25" s="2931"/>
      <c r="U25" s="2931"/>
      <c r="V25" s="2931"/>
    </row>
    <row r="26" ht="13.5" spans="1:22">
      <c r="A26" s="3428"/>
      <c r="B26" s="3429" t="s">
        <v>481</v>
      </c>
      <c r="C26" s="3430"/>
      <c r="D26" s="3428" t="s">
        <v>481</v>
      </c>
      <c r="E26" s="3431"/>
      <c r="F26" s="3372"/>
      <c r="G26" s="3372"/>
      <c r="H26" s="3372"/>
      <c r="I26" s="3372"/>
      <c r="J26" s="2931"/>
      <c r="K26" s="3462"/>
      <c r="L26" s="3460"/>
      <c r="M26" s="3460"/>
      <c r="N26" s="2932"/>
      <c r="O26" s="3471"/>
      <c r="P26" s="2932"/>
      <c r="Q26" s="2931"/>
      <c r="R26" s="2931"/>
      <c r="S26" s="2931"/>
      <c r="T26" s="2931"/>
      <c r="U26" s="2931"/>
      <c r="V26" s="2931"/>
    </row>
    <row r="27" ht="13.5" spans="1:22">
      <c r="A27" s="2055" t="s">
        <v>482</v>
      </c>
      <c r="B27" s="2062" t="s">
        <v>483</v>
      </c>
      <c r="C27" s="3432"/>
      <c r="D27" s="3433"/>
      <c r="E27" s="3052"/>
      <c r="F27" s="3052"/>
      <c r="G27" s="3052"/>
      <c r="H27" s="3052"/>
      <c r="I27" s="3052"/>
      <c r="J27" s="2931"/>
      <c r="K27" s="3473"/>
      <c r="L27" s="3471"/>
      <c r="M27" s="3471"/>
      <c r="N27" s="2932"/>
      <c r="O27" s="3471"/>
      <c r="P27" s="2932"/>
      <c r="Q27" s="2931"/>
      <c r="R27" s="2931"/>
      <c r="S27" s="2931"/>
      <c r="T27" s="2931"/>
      <c r="U27" s="2931"/>
      <c r="V27" s="2931"/>
    </row>
    <row r="28" spans="1:22">
      <c r="A28" s="2055"/>
      <c r="B28" s="2026" t="s">
        <v>484</v>
      </c>
      <c r="C28" s="3434"/>
      <c r="D28" s="3435"/>
      <c r="E28" s="3052"/>
      <c r="F28" s="3052"/>
      <c r="G28" s="3052"/>
      <c r="H28" s="3052"/>
      <c r="I28" s="3052"/>
      <c r="J28" s="2931"/>
      <c r="K28" s="3462"/>
      <c r="L28" s="3460"/>
      <c r="M28" s="3460"/>
      <c r="N28" s="2931"/>
      <c r="O28" s="3461"/>
      <c r="P28" s="2931"/>
      <c r="Q28" s="2931"/>
      <c r="R28" s="2931"/>
      <c r="S28" s="2931"/>
      <c r="T28" s="2931"/>
      <c r="U28" s="2931"/>
      <c r="V28" s="2931"/>
    </row>
    <row r="29" spans="1:22">
      <c r="A29" s="2055"/>
      <c r="B29" s="2026" t="s">
        <v>485</v>
      </c>
      <c r="C29" s="3436"/>
      <c r="D29" s="3437"/>
      <c r="E29" s="3052"/>
      <c r="F29" s="3052"/>
      <c r="G29" s="3052"/>
      <c r="H29" s="3052"/>
      <c r="I29" s="3052"/>
      <c r="J29" s="2931"/>
      <c r="K29" s="3462"/>
      <c r="L29" s="3460"/>
      <c r="M29" s="3460"/>
      <c r="N29" s="2931"/>
      <c r="O29" s="3461"/>
      <c r="P29" s="2931"/>
      <c r="Q29" s="2931"/>
      <c r="R29" s="2931"/>
      <c r="S29" s="2931"/>
      <c r="T29" s="2931"/>
      <c r="U29" s="2931"/>
      <c r="V29" s="2931"/>
    </row>
    <row r="30" spans="1:22">
      <c r="A30" s="2062"/>
      <c r="B30" s="2026" t="s">
        <v>486</v>
      </c>
      <c r="C30" s="3438"/>
      <c r="D30" s="3439"/>
      <c r="E30" s="3052"/>
      <c r="F30" s="3052"/>
      <c r="G30" s="3052"/>
      <c r="H30" s="3052"/>
      <c r="I30" s="3052"/>
      <c r="J30" s="2931"/>
      <c r="K30" s="3462"/>
      <c r="L30" s="3460"/>
      <c r="M30" s="3460"/>
      <c r="N30" s="2931"/>
      <c r="O30" s="3461"/>
      <c r="P30" s="2931"/>
      <c r="Q30" s="2931"/>
      <c r="R30" s="2931"/>
      <c r="S30" s="2931"/>
      <c r="T30" s="2931"/>
      <c r="U30" s="2931"/>
      <c r="V30" s="2931"/>
    </row>
    <row r="31" spans="1:22">
      <c r="A31" s="3440" t="s">
        <v>487</v>
      </c>
      <c r="B31" s="3441"/>
      <c r="C31" s="2182" t="str">
        <f>IF(B31="现房","成新及维护状况正常否",IF(B31="在建","工程状态是否正常",IF(B31="土地","是否闲置","-")))</f>
        <v>-</v>
      </c>
      <c r="D31" s="2285"/>
      <c r="E31" s="3442"/>
      <c r="F31" s="3052"/>
      <c r="G31" s="3052"/>
      <c r="H31" s="3052"/>
      <c r="I31" s="3052"/>
      <c r="J31" s="2931"/>
      <c r="K31" s="3459"/>
      <c r="L31" s="3460"/>
      <c r="M31" s="3460"/>
      <c r="N31" s="2931"/>
      <c r="O31" s="3461"/>
      <c r="P31" s="2931"/>
      <c r="Q31" s="2931"/>
      <c r="R31" s="2931"/>
      <c r="S31" s="2931"/>
      <c r="T31" s="2931"/>
      <c r="U31" s="2931"/>
      <c r="V31" s="2931"/>
    </row>
    <row r="32" spans="1:22">
      <c r="A32" s="2631"/>
      <c r="B32" s="3441"/>
      <c r="C32" s="2182" t="str">
        <f>IF(B32="现房","成新及维护状况是否正常",IF(B32="在建","工程状态是否正常",IF(B32="土地","是否闲置","-")))</f>
        <v>-</v>
      </c>
      <c r="D32" s="2285"/>
      <c r="E32" s="3442"/>
      <c r="F32" s="3052"/>
      <c r="G32" s="3052"/>
      <c r="H32" s="3052"/>
      <c r="I32" s="3052"/>
      <c r="J32" s="2931"/>
      <c r="K32" s="3462"/>
      <c r="L32" s="3460"/>
      <c r="M32" s="3460"/>
      <c r="N32" s="2931"/>
      <c r="O32" s="3461"/>
      <c r="P32" s="2931"/>
      <c r="Q32" s="2931"/>
      <c r="R32" s="2931"/>
      <c r="S32" s="2931"/>
      <c r="T32" s="2931"/>
      <c r="U32" s="2931"/>
      <c r="V32" s="2931"/>
    </row>
    <row r="33" spans="1:22">
      <c r="A33" s="2631"/>
      <c r="B33" s="3443"/>
      <c r="C33" s="2630" t="str">
        <f>IF(B33="现房","成新及维护状况是否正常",IF(B33="在建","工程状态是否正常",IF(B33="土地","是否闲置","-")))</f>
        <v>-</v>
      </c>
      <c r="D33" s="2037"/>
      <c r="E33" s="3444"/>
      <c r="F33" s="3052"/>
      <c r="G33" s="3052"/>
      <c r="H33" s="3052"/>
      <c r="I33" s="3052"/>
      <c r="J33" s="2931"/>
      <c r="K33" s="3462"/>
      <c r="L33" s="3460"/>
      <c r="M33" s="3460"/>
      <c r="N33" s="2931"/>
      <c r="O33" s="3461"/>
      <c r="P33" s="2931"/>
      <c r="Q33" s="2931"/>
      <c r="R33" s="2931"/>
      <c r="S33" s="2931"/>
      <c r="T33" s="2931"/>
      <c r="U33" s="2931"/>
      <c r="V33" s="2931"/>
    </row>
    <row r="34" spans="1:22">
      <c r="A34" s="2026" t="s">
        <v>488</v>
      </c>
      <c r="B34" s="608"/>
      <c r="C34" s="608"/>
      <c r="D34" s="608"/>
      <c r="E34" s="608"/>
      <c r="F34" s="608"/>
      <c r="G34" s="608"/>
      <c r="H34" s="608"/>
      <c r="I34" s="3052"/>
      <c r="J34" s="2931"/>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1"/>
      <c r="V34" s="2931"/>
    </row>
    <row r="35" spans="1:22">
      <c r="A35" s="3445"/>
      <c r="B35" s="1109" t="s">
        <v>497</v>
      </c>
      <c r="C35" s="1109"/>
      <c r="D35" s="1109"/>
      <c r="E35" s="1109"/>
      <c r="F35" s="1109">
        <f>C10</f>
        <v>0</v>
      </c>
      <c r="G35" s="3052"/>
      <c r="H35" s="3052"/>
      <c r="I35" s="3052"/>
      <c r="J35" s="2931"/>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1"/>
      <c r="V35" s="2931"/>
    </row>
    <row r="36" spans="1:22">
      <c r="A36" s="3446"/>
      <c r="B36" s="1109" t="s">
        <v>446</v>
      </c>
      <c r="C36" s="1109" t="s">
        <v>447</v>
      </c>
      <c r="D36" s="1109" t="s">
        <v>445</v>
      </c>
      <c r="E36" s="1109" t="s">
        <v>450</v>
      </c>
      <c r="F36" s="3447" t="s">
        <v>280</v>
      </c>
      <c r="G36" s="3052"/>
      <c r="H36" s="3052"/>
      <c r="I36" s="3052"/>
      <c r="J36" s="2931"/>
      <c r="K36" s="3462"/>
      <c r="L36" s="3460"/>
      <c r="M36" s="3460"/>
      <c r="N36" s="2931"/>
      <c r="O36" s="3461"/>
      <c r="P36" s="2931"/>
      <c r="Q36" s="2931"/>
      <c r="R36" s="2931"/>
      <c r="S36" s="2931"/>
      <c r="T36" s="2931"/>
      <c r="U36" s="2931"/>
      <c r="V36" s="2931"/>
    </row>
    <row r="37" spans="1:22">
      <c r="A37" s="3448" t="s">
        <v>498</v>
      </c>
      <c r="B37" s="3449"/>
      <c r="C37" s="3449"/>
      <c r="D37" s="3449"/>
      <c r="E37" s="3449"/>
      <c r="F37" s="3449"/>
      <c r="G37" s="3052"/>
      <c r="H37" s="3052"/>
      <c r="I37" s="3052"/>
      <c r="J37" s="2931"/>
      <c r="K37" s="3462"/>
      <c r="L37" s="3460"/>
      <c r="M37" s="3460"/>
      <c r="N37" s="2931"/>
      <c r="O37" s="3461"/>
      <c r="P37" s="2931"/>
      <c r="Q37" s="2931"/>
      <c r="R37" s="2931"/>
      <c r="S37" s="2931"/>
      <c r="T37" s="2931"/>
      <c r="U37" s="2931"/>
      <c r="V37" s="2931"/>
    </row>
    <row r="38" ht="13.5" spans="1:22">
      <c r="A38" s="3450" t="s">
        <v>499</v>
      </c>
      <c r="B38" s="3451"/>
      <c r="C38" s="3451"/>
      <c r="D38" s="3451"/>
      <c r="E38" s="3451"/>
      <c r="F38" s="3451"/>
      <c r="G38" s="3372"/>
      <c r="H38" s="3372"/>
      <c r="I38" s="3372"/>
      <c r="J38" s="2931"/>
      <c r="K38" s="3462"/>
      <c r="L38" s="3460"/>
      <c r="M38" s="3460"/>
      <c r="N38" s="2931"/>
      <c r="O38" s="3461"/>
      <c r="P38" s="2931"/>
      <c r="Q38" s="2931"/>
      <c r="R38" s="2931"/>
      <c r="S38" s="2931"/>
      <c r="T38" s="2931"/>
      <c r="U38" s="2931"/>
      <c r="V38" s="2931"/>
    </row>
    <row r="39" s="3335" customFormat="1" ht="14.25" spans="1:30">
      <c r="A39" s="3452" t="s">
        <v>500</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6"/>
      <c r="J40" s="2932"/>
      <c r="K40" s="3459"/>
      <c r="L40" s="3471"/>
      <c r="M40" s="3471"/>
      <c r="N40" s="2932"/>
      <c r="O40" s="3471"/>
      <c r="P40" s="2931"/>
      <c r="Q40" s="2931"/>
      <c r="R40" s="2931"/>
      <c r="S40" s="2931"/>
      <c r="T40" s="2931"/>
      <c r="U40" s="2931"/>
      <c r="V40" s="2931"/>
    </row>
    <row r="41" spans="1:22">
      <c r="A41" s="3454" t="s">
        <v>501</v>
      </c>
      <c r="B41" s="2521"/>
      <c r="C41" s="2285"/>
      <c r="D41" s="3384"/>
      <c r="E41" s="3384"/>
      <c r="F41" s="3384"/>
      <c r="G41" s="3384"/>
      <c r="H41" s="3384"/>
      <c r="I41" s="3247"/>
      <c r="J41" s="2931"/>
      <c r="K41" s="3462"/>
      <c r="L41" s="3460"/>
      <c r="M41" s="3460"/>
      <c r="N41" s="2931"/>
      <c r="O41" s="3461"/>
      <c r="P41" s="2931"/>
      <c r="Q41" s="2931"/>
      <c r="R41" s="2931"/>
      <c r="S41" s="2931"/>
      <c r="T41" s="2931"/>
      <c r="U41" s="2931"/>
      <c r="V41" s="2931"/>
    </row>
    <row r="42" ht="24.75" spans="1:22">
      <c r="A42" s="2069" t="s">
        <v>502</v>
      </c>
      <c r="B42" s="1051" t="s">
        <v>503</v>
      </c>
      <c r="C42" s="1051" t="s">
        <v>504</v>
      </c>
      <c r="D42" s="1051" t="s">
        <v>505</v>
      </c>
      <c r="E42" s="1051" t="s">
        <v>506</v>
      </c>
      <c r="F42" s="1051" t="s">
        <v>507</v>
      </c>
      <c r="G42" s="1051" t="s">
        <v>508</v>
      </c>
      <c r="H42" s="1051" t="s">
        <v>509</v>
      </c>
      <c r="I42" s="1051" t="s">
        <v>510</v>
      </c>
      <c r="J42" s="3483" t="s">
        <v>511</v>
      </c>
      <c r="K42" s="3484" t="s">
        <v>512</v>
      </c>
      <c r="L42" s="3484" t="s">
        <v>513</v>
      </c>
      <c r="M42" s="3484" t="s">
        <v>514</v>
      </c>
      <c r="N42" s="3485" t="s">
        <v>515</v>
      </c>
      <c r="O42" s="3485" t="s">
        <v>516</v>
      </c>
      <c r="P42" s="3485" t="s">
        <v>517</v>
      </c>
      <c r="Q42" s="3490" t="s">
        <v>518</v>
      </c>
      <c r="R42" s="3490" t="s">
        <v>519</v>
      </c>
      <c r="S42" s="2931"/>
      <c r="T42" s="2931"/>
      <c r="U42" s="2931"/>
      <c r="V42" s="2931"/>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1"/>
      <c r="T43" s="2931"/>
      <c r="U43" s="2931"/>
      <c r="V43" s="2931"/>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1"/>
      <c r="T44" s="2931"/>
      <c r="U44" s="2931"/>
      <c r="V44" s="2931"/>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1"/>
      <c r="T45" s="2931"/>
      <c r="U45" s="2931"/>
      <c r="V45" s="2931"/>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1"/>
      <c r="T46" s="2931"/>
      <c r="U46" s="2931"/>
      <c r="V46" s="2931"/>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1"/>
      <c r="T47" s="2931"/>
      <c r="U47" s="2931"/>
      <c r="V47" s="2931"/>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1"/>
      <c r="T48" s="2931"/>
      <c r="U48" s="2931"/>
      <c r="V48" s="2931"/>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1"/>
      <c r="T49" s="2931"/>
      <c r="U49" s="2931"/>
      <c r="V49" s="2931"/>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1"/>
      <c r="T50" s="2931"/>
      <c r="U50" s="2931"/>
      <c r="V50" s="2931"/>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520</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521</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51" t="s">
        <v>462</v>
      </c>
      <c r="B2" s="1051" t="s">
        <v>458</v>
      </c>
      <c r="C2" s="1051" t="s">
        <v>522</v>
      </c>
      <c r="D2" s="3247"/>
      <c r="E2" s="2604"/>
      <c r="F2" s="2656"/>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523</v>
      </c>
      <c r="AZ2" s="3309" t="s">
        <v>524</v>
      </c>
      <c r="BA2" s="1051" t="s">
        <v>525</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2.75" spans="1:72">
      <c r="A3" s="3248"/>
      <c r="B3" s="3249">
        <f>IF(C3="否",G5-AT5,G5)</f>
        <v>69.7</v>
      </c>
      <c r="C3" s="3250" t="s">
        <v>526</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2.75" spans="1:72">
      <c r="A5" s="2182" t="s">
        <v>527</v>
      </c>
      <c r="B5" s="2517"/>
      <c r="C5" s="2517"/>
      <c r="D5" s="2670"/>
      <c r="E5" s="3254" t="s">
        <v>124</v>
      </c>
      <c r="F5" s="3254">
        <f>SUM(F13:F587)</f>
        <v>0</v>
      </c>
      <c r="G5" s="3254">
        <f>SUM(G13:G587)</f>
        <v>69.7</v>
      </c>
      <c r="H5" s="3254">
        <f t="shared" ref="H5:AT5" si="0">SUM(H13:H656)</f>
        <v>69.7</v>
      </c>
      <c r="I5" s="3254">
        <f t="shared" si="0"/>
        <v>69.7</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6"/>
      <c r="AV5" s="2182" t="s">
        <v>527</v>
      </c>
      <c r="AW5" s="2517"/>
      <c r="AX5" s="2517"/>
      <c r="AY5" s="3313" t="s">
        <v>124</v>
      </c>
      <c r="AZ5" s="3314">
        <f t="shared" ref="AZ5:BT5" si="1">SUM(AZ13:AZ656)</f>
        <v>69.7</v>
      </c>
      <c r="BA5" s="3314">
        <f t="shared" si="1"/>
        <v>69.7</v>
      </c>
      <c r="BB5" s="3314">
        <f t="shared" si="1"/>
        <v>69.7</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2.75" spans="1:72">
      <c r="A6" s="2182" t="s">
        <v>528</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182" t="s">
        <v>528</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4.75" spans="1:72">
      <c r="A7" s="3258" t="s">
        <v>529</v>
      </c>
      <c r="B7" s="3258" t="s">
        <v>530</v>
      </c>
      <c r="C7" s="3258" t="s">
        <v>503</v>
      </c>
      <c r="D7" s="3258" t="s">
        <v>531</v>
      </c>
      <c r="E7" s="3258" t="s">
        <v>528</v>
      </c>
      <c r="F7" s="3258" t="s">
        <v>532</v>
      </c>
      <c r="G7" s="2630" t="s">
        <v>533</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0"/>
      <c r="AU7" s="3259" t="s">
        <v>534</v>
      </c>
      <c r="AV7" s="3300" t="s">
        <v>529</v>
      </c>
      <c r="AW7" s="2656" t="s">
        <v>530</v>
      </c>
      <c r="AX7" s="3300" t="s">
        <v>503</v>
      </c>
      <c r="AY7" s="2517" t="s">
        <v>535</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50" customFormat="1" ht="24" spans="1:72">
      <c r="A8" s="3260"/>
      <c r="B8" s="3260"/>
      <c r="C8" s="3260"/>
      <c r="D8" s="3260"/>
      <c r="E8" s="3260"/>
      <c r="F8" s="3260"/>
      <c r="G8" s="3261" t="s">
        <v>536</v>
      </c>
      <c r="H8" s="3262" t="s">
        <v>537</v>
      </c>
      <c r="I8" s="3280"/>
      <c r="J8" s="1050"/>
      <c r="K8" s="1050"/>
      <c r="L8" s="1050"/>
      <c r="M8" s="1050"/>
      <c r="N8" s="1050"/>
      <c r="O8" s="1050"/>
      <c r="P8" s="1050"/>
      <c r="Q8" s="1050"/>
      <c r="R8" s="1050"/>
      <c r="S8" s="1050"/>
      <c r="T8" s="1050"/>
      <c r="U8" s="1050"/>
      <c r="V8" s="3287"/>
      <c r="W8" s="1050"/>
      <c r="X8" s="1050"/>
      <c r="Y8" s="1050"/>
      <c r="Z8" s="1050"/>
      <c r="AA8" s="3287"/>
      <c r="AB8" s="3289"/>
      <c r="AC8" s="2435" t="s">
        <v>538</v>
      </c>
      <c r="AD8" s="3290"/>
      <c r="AE8" s="3291"/>
      <c r="AF8" s="1050"/>
      <c r="AG8" s="1050"/>
      <c r="AH8" s="1050"/>
      <c r="AI8" s="1050"/>
      <c r="AJ8" s="1050"/>
      <c r="AK8" s="1050"/>
      <c r="AL8" s="1050"/>
      <c r="AM8" s="1050"/>
      <c r="AN8" s="1050"/>
      <c r="AO8" s="1050"/>
      <c r="AP8" s="1050"/>
      <c r="AQ8" s="1050"/>
      <c r="AR8" s="1050"/>
      <c r="AS8" s="1050"/>
      <c r="AT8" s="2018" t="s">
        <v>539</v>
      </c>
      <c r="AU8" s="3260" t="s">
        <v>540</v>
      </c>
      <c r="AV8" s="2018"/>
      <c r="AW8" s="2604"/>
      <c r="AX8" s="2018"/>
      <c r="AY8" s="2656"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50" customFormat="1" ht="12.75" spans="1:72">
      <c r="A9" s="3260"/>
      <c r="B9" s="3260"/>
      <c r="C9" s="3260"/>
      <c r="D9" s="3260"/>
      <c r="E9" s="3260"/>
      <c r="F9" s="3260"/>
      <c r="G9" s="2018"/>
      <c r="H9" s="3263" t="s">
        <v>541</v>
      </c>
      <c r="I9" s="3281" t="s">
        <v>542</v>
      </c>
      <c r="J9" s="2435"/>
      <c r="K9" s="3281"/>
      <c r="L9" s="2435"/>
      <c r="M9" s="3281"/>
      <c r="N9" s="2435"/>
      <c r="O9" s="3281"/>
      <c r="P9" s="2435"/>
      <c r="Q9" s="3281"/>
      <c r="R9" s="2435"/>
      <c r="S9" s="3281"/>
      <c r="T9" s="2435"/>
      <c r="U9" s="3281"/>
      <c r="V9" s="2435"/>
      <c r="W9" s="3281"/>
      <c r="X9" s="3288"/>
      <c r="Y9" s="3281"/>
      <c r="Z9" s="2435"/>
      <c r="AA9" s="3281"/>
      <c r="AB9" s="2435"/>
      <c r="AC9" s="3261"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1"/>
      <c r="AT9" s="3260"/>
      <c r="AU9" s="3260" t="s">
        <v>545</v>
      </c>
      <c r="AV9" s="2018"/>
      <c r="AW9" s="2604"/>
      <c r="AX9" s="2018"/>
      <c r="AY9" s="3264"/>
      <c r="AZ9" s="3264" t="s">
        <v>536</v>
      </c>
      <c r="BA9" s="3316" t="s">
        <v>546</v>
      </c>
      <c r="BB9" s="3317"/>
      <c r="BC9" s="2079"/>
      <c r="BD9" s="2079"/>
      <c r="BE9" s="2079"/>
      <c r="BF9" s="2079"/>
      <c r="BG9" s="2079"/>
      <c r="BH9" s="2079"/>
      <c r="BI9" s="2079"/>
      <c r="BJ9" s="2079"/>
      <c r="BK9" s="3322"/>
      <c r="BL9" s="2182" t="s">
        <v>547</v>
      </c>
      <c r="BM9" s="1050"/>
      <c r="BN9" s="3280"/>
      <c r="BO9" s="1050"/>
      <c r="BP9" s="1050"/>
      <c r="BQ9" s="1050"/>
      <c r="BR9" s="1050"/>
      <c r="BS9" s="1050"/>
      <c r="BT9" s="2067"/>
    </row>
    <row r="10" s="2950" customFormat="1" ht="12.75" spans="1:72">
      <c r="A10" s="3260"/>
      <c r="B10" s="3260"/>
      <c r="C10" s="3260"/>
      <c r="D10" s="3260"/>
      <c r="E10" s="3260"/>
      <c r="F10" s="3260"/>
      <c r="G10" s="2018"/>
      <c r="H10" s="3264"/>
      <c r="I10" s="3281" t="s">
        <v>412</v>
      </c>
      <c r="J10" s="2435"/>
      <c r="K10" s="3282"/>
      <c r="L10" s="2435"/>
      <c r="M10" s="3282"/>
      <c r="N10" s="2435"/>
      <c r="O10" s="3282"/>
      <c r="P10" s="2435"/>
      <c r="Q10" s="3282"/>
      <c r="R10" s="2435"/>
      <c r="S10" s="3282"/>
      <c r="T10" s="2435"/>
      <c r="U10" s="3282"/>
      <c r="V10" s="2435"/>
      <c r="W10" s="3282"/>
      <c r="X10" s="2435"/>
      <c r="Y10" s="3282"/>
      <c r="Z10" s="2435"/>
      <c r="AA10" s="3282"/>
      <c r="AB10" s="2435"/>
      <c r="AC10" s="2018"/>
      <c r="AD10" s="2182" t="s">
        <v>548</v>
      </c>
      <c r="AE10" s="3292"/>
      <c r="AF10" s="2182" t="s">
        <v>548</v>
      </c>
      <c r="AG10" s="3292"/>
      <c r="AH10" s="2182" t="s">
        <v>549</v>
      </c>
      <c r="AI10" s="3292"/>
      <c r="AJ10" s="2182" t="s">
        <v>549</v>
      </c>
      <c r="AK10" s="3292"/>
      <c r="AL10" s="2182" t="s">
        <v>550</v>
      </c>
      <c r="AM10" s="2032"/>
      <c r="AN10" s="2182" t="s">
        <v>550</v>
      </c>
      <c r="AO10" s="2032"/>
      <c r="AP10" s="2182" t="s">
        <v>551</v>
      </c>
      <c r="AQ10" s="2032"/>
      <c r="AR10" s="2182" t="s">
        <v>551</v>
      </c>
      <c r="AS10" s="2032"/>
      <c r="AT10" s="3260"/>
      <c r="AU10" s="3260"/>
      <c r="AV10" s="2018"/>
      <c r="AW10" s="2604"/>
      <c r="AX10" s="2018"/>
      <c r="AY10" s="3264"/>
      <c r="AZ10" s="3264"/>
      <c r="BA10" s="3265" t="s">
        <v>541</v>
      </c>
      <c r="BB10" s="3318"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6" t="str">
        <f>AR9</f>
        <v>地下</v>
      </c>
    </row>
    <row r="11" s="2950" customFormat="1" ht="12.75" spans="1:72">
      <c r="A11" s="3260"/>
      <c r="B11" s="3260"/>
      <c r="C11" s="3260"/>
      <c r="D11" s="3260"/>
      <c r="E11" s="3260"/>
      <c r="F11" s="3260"/>
      <c r="G11" s="2018"/>
      <c r="H11" s="3265"/>
      <c r="I11" s="3283" t="s">
        <v>552</v>
      </c>
      <c r="J11" s="3284"/>
      <c r="K11" s="3283"/>
      <c r="L11" s="3284"/>
      <c r="M11" s="3283"/>
      <c r="N11" s="3284"/>
      <c r="O11" s="3283"/>
      <c r="P11" s="3284"/>
      <c r="Q11" s="3283"/>
      <c r="R11" s="3284"/>
      <c r="S11" s="3283"/>
      <c r="T11" s="3284"/>
      <c r="U11" s="3283"/>
      <c r="V11" s="3284"/>
      <c r="W11" s="3283"/>
      <c r="X11" s="3284"/>
      <c r="Y11" s="3283"/>
      <c r="Z11" s="3284"/>
      <c r="AA11" s="3283"/>
      <c r="AB11" s="3284"/>
      <c r="AC11" s="2018"/>
      <c r="AD11" s="3293" t="s">
        <v>553</v>
      </c>
      <c r="AE11" s="1107"/>
      <c r="AF11" s="3293" t="s">
        <v>553</v>
      </c>
      <c r="AG11" s="1107"/>
      <c r="AH11" s="3293" t="s">
        <v>554</v>
      </c>
      <c r="AI11" s="3297"/>
      <c r="AJ11" s="3293" t="s">
        <v>554</v>
      </c>
      <c r="AK11" s="1107"/>
      <c r="AL11" s="1049"/>
      <c r="AM11" s="1107"/>
      <c r="AN11" s="1049"/>
      <c r="AO11" s="1107"/>
      <c r="AP11" s="1049"/>
      <c r="AQ11" s="1107"/>
      <c r="AR11" s="1049"/>
      <c r="AS11" s="1107"/>
      <c r="AT11" s="2604"/>
      <c r="AU11" s="3260"/>
      <c r="AV11" s="2018"/>
      <c r="AW11" s="2604"/>
      <c r="AX11" s="2018"/>
      <c r="AY11" s="3264"/>
      <c r="AZ11" s="3264"/>
      <c r="BA11" s="3264"/>
      <c r="BB11" s="3289" t="str">
        <f>I10</f>
        <v>住宅</v>
      </c>
      <c r="BC11" s="3289">
        <f>K10</f>
        <v>0</v>
      </c>
      <c r="BD11" s="3289">
        <f>M10</f>
        <v>0</v>
      </c>
      <c r="BE11" s="3289">
        <f>O10</f>
        <v>0</v>
      </c>
      <c r="BF11" s="3289">
        <f>Q10</f>
        <v>0</v>
      </c>
      <c r="BG11" s="3289">
        <f>S10</f>
        <v>0</v>
      </c>
      <c r="BH11" s="3289">
        <f>U10</f>
        <v>0</v>
      </c>
      <c r="BI11" s="3289">
        <f>W10</f>
        <v>0</v>
      </c>
      <c r="BJ11" s="3289">
        <f>Y10</f>
        <v>0</v>
      </c>
      <c r="BK11" s="3289">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7" t="str">
        <f>AR10</f>
        <v>未注明</v>
      </c>
    </row>
    <row r="12" s="3239" customFormat="1" ht="12.75" spans="1:72">
      <c r="A12" s="3266"/>
      <c r="B12" s="3266"/>
      <c r="C12" s="3266"/>
      <c r="D12" s="3266"/>
      <c r="E12" s="3266"/>
      <c r="F12" s="3266"/>
      <c r="G12" s="634"/>
      <c r="H12" s="3267"/>
      <c r="I12" s="267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6" t="s">
        <v>556</v>
      </c>
      <c r="W12" s="1051" t="s">
        <v>555</v>
      </c>
      <c r="X12" s="1051" t="s">
        <v>556</v>
      </c>
      <c r="Y12" s="1051" t="s">
        <v>555</v>
      </c>
      <c r="Z12" s="1051" t="s">
        <v>556</v>
      </c>
      <c r="AA12" s="1051" t="s">
        <v>555</v>
      </c>
      <c r="AB12" s="1051" t="s">
        <v>556</v>
      </c>
      <c r="AC12" s="3294"/>
      <c r="AD12" s="267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6" t="s">
        <v>556</v>
      </c>
      <c r="AT12" s="3302"/>
      <c r="AU12" s="3266"/>
      <c r="AV12" s="3303"/>
      <c r="AW12" s="2656"/>
      <c r="AX12" s="3303"/>
      <c r="AY12" s="3319"/>
      <c r="AZ12" s="3264"/>
      <c r="BA12" s="3265"/>
      <c r="BB12" s="1048" t="str">
        <f>I11</f>
        <v>普通住宅</v>
      </c>
      <c r="BC12" s="3320">
        <f>K11</f>
        <v>0</v>
      </c>
      <c r="BD12" s="3320">
        <f>M11</f>
        <v>0</v>
      </c>
      <c r="BE12" s="3289">
        <f>O11</f>
        <v>0</v>
      </c>
      <c r="BF12" s="3289">
        <f>Q11</f>
        <v>0</v>
      </c>
      <c r="BG12" s="3289">
        <f>S11</f>
        <v>0</v>
      </c>
      <c r="BH12" s="3289">
        <f>U11</f>
        <v>0</v>
      </c>
      <c r="BI12" s="3289">
        <f>W11</f>
        <v>0</v>
      </c>
      <c r="BJ12" s="3289">
        <f>Y11</f>
        <v>0</v>
      </c>
      <c r="BK12" s="3289">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7">
        <f>AR11</f>
        <v>0</v>
      </c>
    </row>
    <row r="13" s="3239" customFormat="1" ht="12.75" spans="1:72">
      <c r="A13" s="3268"/>
      <c r="B13" s="3268"/>
      <c r="C13" s="3268">
        <v>602</v>
      </c>
      <c r="D13" s="3269" t="s">
        <v>557</v>
      </c>
      <c r="E13" s="3254">
        <f>IF($C$3="是",ROUND($A$3*G13/$B$3,2),ROUND($A$3*(G13-AT13)/$B$3,2))</f>
        <v>0</v>
      </c>
      <c r="F13" s="3270"/>
      <c r="G13" s="3271">
        <f>H13+AC13+AT13</f>
        <v>69.7</v>
      </c>
      <c r="H13" s="3257">
        <f>SUMIF(I$12:AB$12,"总值",I13:AB13)</f>
        <v>69.7</v>
      </c>
      <c r="I13" s="3285">
        <v>69.7</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51">
        <f t="shared" ref="AV13:AX17" si="6">A13</f>
        <v>0</v>
      </c>
      <c r="AW13" s="1051">
        <f t="shared" si="6"/>
        <v>0</v>
      </c>
      <c r="AX13" s="1051">
        <f t="shared" si="6"/>
        <v>602</v>
      </c>
      <c r="AY13" s="2670">
        <f>ROUND($AY$6*AZ13/$AZ$5,2)</f>
        <v>0</v>
      </c>
      <c r="AZ13" s="3254">
        <f>BA13+BL13</f>
        <v>69.7</v>
      </c>
      <c r="BA13" s="3254">
        <f>SUM(BB13:BK13)</f>
        <v>69.7</v>
      </c>
      <c r="BB13" s="3254">
        <f>IF($D13="是",I13-J13,0)</f>
        <v>69.7</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7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51">
        <f t="shared" si="6"/>
        <v>0</v>
      </c>
      <c r="AW14" s="1051">
        <f t="shared" si="6"/>
        <v>0</v>
      </c>
      <c r="AX14" s="1051">
        <f t="shared" si="6"/>
        <v>0</v>
      </c>
      <c r="AY14" s="2670">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7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51">
        <f t="shared" si="6"/>
        <v>0</v>
      </c>
      <c r="AW15" s="1051">
        <f t="shared" si="6"/>
        <v>0</v>
      </c>
      <c r="AX15" s="1051">
        <f t="shared" si="6"/>
        <v>0</v>
      </c>
      <c r="AY15" s="2670">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7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51">
        <f t="shared" si="6"/>
        <v>0</v>
      </c>
      <c r="AW16" s="1051">
        <f t="shared" si="6"/>
        <v>0</v>
      </c>
      <c r="AX16" s="1051">
        <f t="shared" si="6"/>
        <v>0</v>
      </c>
      <c r="AY16" s="2670">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7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51">
        <f t="shared" si="6"/>
        <v>0</v>
      </c>
      <c r="AW17" s="1051">
        <f t="shared" si="6"/>
        <v>0</v>
      </c>
      <c r="AX17" s="1051">
        <f t="shared" si="6"/>
        <v>0</v>
      </c>
      <c r="AY17" s="2670">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61">
        <f t="shared" ref="AV18:AV112" si="11">A18</f>
        <v>0</v>
      </c>
      <c r="AW18" s="1361">
        <f t="shared" ref="AW18:AW112" si="12">B18</f>
        <v>0</v>
      </c>
      <c r="AX18" s="1361">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61">
        <f t="shared" si="11"/>
        <v>0</v>
      </c>
      <c r="AW19" s="1361">
        <f t="shared" si="12"/>
        <v>0</v>
      </c>
      <c r="AX19" s="1361">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61">
        <f t="shared" si="11"/>
        <v>0</v>
      </c>
      <c r="AW20" s="1361">
        <f t="shared" si="12"/>
        <v>0</v>
      </c>
      <c r="AX20" s="1361">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61">
        <f t="shared" si="11"/>
        <v>0</v>
      </c>
      <c r="AW21" s="1361">
        <f t="shared" si="12"/>
        <v>0</v>
      </c>
      <c r="AX21" s="1361">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61">
        <f t="shared" si="11"/>
        <v>0</v>
      </c>
      <c r="AW22" s="1361">
        <f t="shared" si="12"/>
        <v>0</v>
      </c>
      <c r="AX22" s="1361">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61">
        <f t="shared" si="11"/>
        <v>0</v>
      </c>
      <c r="AW23" s="1361">
        <f t="shared" si="12"/>
        <v>0</v>
      </c>
      <c r="AX23" s="1361">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61">
        <f t="shared" si="11"/>
        <v>0</v>
      </c>
      <c r="AW24" s="1361">
        <f t="shared" si="12"/>
        <v>0</v>
      </c>
      <c r="AX24" s="1361">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61">
        <f t="shared" si="11"/>
        <v>0</v>
      </c>
      <c r="AW25" s="1361">
        <f t="shared" si="12"/>
        <v>0</v>
      </c>
      <c r="AX25" s="1361">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61">
        <f t="shared" si="11"/>
        <v>0</v>
      </c>
      <c r="AW26" s="1361">
        <f t="shared" si="12"/>
        <v>0</v>
      </c>
      <c r="AX26" s="1361">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61">
        <f t="shared" si="11"/>
        <v>0</v>
      </c>
      <c r="AW27" s="1361">
        <f t="shared" si="12"/>
        <v>0</v>
      </c>
      <c r="AX27" s="1361">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61">
        <f t="shared" si="11"/>
        <v>0</v>
      </c>
      <c r="AW28" s="1361">
        <f t="shared" si="12"/>
        <v>0</v>
      </c>
      <c r="AX28" s="1361">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61">
        <f t="shared" si="11"/>
        <v>0</v>
      </c>
      <c r="AW29" s="1361">
        <f t="shared" si="12"/>
        <v>0</v>
      </c>
      <c r="AX29" s="1361">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61">
        <f t="shared" si="11"/>
        <v>0</v>
      </c>
      <c r="AW30" s="1361">
        <f t="shared" si="12"/>
        <v>0</v>
      </c>
      <c r="AX30" s="1361">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61">
        <f t="shared" si="11"/>
        <v>0</v>
      </c>
      <c r="AW31" s="1361">
        <f t="shared" si="12"/>
        <v>0</v>
      </c>
      <c r="AX31" s="1361">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61">
        <f t="shared" si="11"/>
        <v>0</v>
      </c>
      <c r="AW32" s="1361">
        <f t="shared" si="12"/>
        <v>0</v>
      </c>
      <c r="AX32" s="1361">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61">
        <f t="shared" si="11"/>
        <v>0</v>
      </c>
      <c r="AW33" s="1361">
        <f t="shared" si="12"/>
        <v>0</v>
      </c>
      <c r="AX33" s="1361">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61">
        <f t="shared" si="11"/>
        <v>0</v>
      </c>
      <c r="AW34" s="1361">
        <f t="shared" si="12"/>
        <v>0</v>
      </c>
      <c r="AX34" s="1361">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61">
        <f t="shared" si="11"/>
        <v>0</v>
      </c>
      <c r="AW35" s="1361">
        <f t="shared" si="12"/>
        <v>0</v>
      </c>
      <c r="AX35" s="1361">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61">
        <f t="shared" si="11"/>
        <v>0</v>
      </c>
      <c r="AW36" s="1361">
        <f t="shared" si="12"/>
        <v>0</v>
      </c>
      <c r="AX36" s="1361">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61">
        <f t="shared" si="11"/>
        <v>0</v>
      </c>
      <c r="AW37" s="1361">
        <f t="shared" si="12"/>
        <v>0</v>
      </c>
      <c r="AX37" s="1361">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61">
        <f t="shared" si="11"/>
        <v>0</v>
      </c>
      <c r="AW38" s="1361">
        <f t="shared" si="12"/>
        <v>0</v>
      </c>
      <c r="AX38" s="1361">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61">
        <f t="shared" si="11"/>
        <v>0</v>
      </c>
      <c r="AW39" s="1361">
        <f t="shared" si="12"/>
        <v>0</v>
      </c>
      <c r="AX39" s="1361">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61">
        <f t="shared" si="11"/>
        <v>0</v>
      </c>
      <c r="AW40" s="1361">
        <f t="shared" si="12"/>
        <v>0</v>
      </c>
      <c r="AX40" s="1361">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61">
        <f t="shared" si="11"/>
        <v>0</v>
      </c>
      <c r="AW41" s="1361">
        <f t="shared" si="12"/>
        <v>0</v>
      </c>
      <c r="AX41" s="1361">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61">
        <f t="shared" si="11"/>
        <v>0</v>
      </c>
      <c r="AW42" s="1361">
        <f t="shared" si="12"/>
        <v>0</v>
      </c>
      <c r="AX42" s="1361">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61">
        <f t="shared" si="11"/>
        <v>0</v>
      </c>
      <c r="AW43" s="1361">
        <f t="shared" si="12"/>
        <v>0</v>
      </c>
      <c r="AX43" s="1361">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61">
        <f t="shared" si="11"/>
        <v>0</v>
      </c>
      <c r="AW44" s="1361">
        <f t="shared" si="12"/>
        <v>0</v>
      </c>
      <c r="AX44" s="1361">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61">
        <f t="shared" si="11"/>
        <v>0</v>
      </c>
      <c r="AW45" s="1361">
        <f t="shared" si="12"/>
        <v>0</v>
      </c>
      <c r="AX45" s="1361">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61">
        <f t="shared" si="11"/>
        <v>0</v>
      </c>
      <c r="AW46" s="1361">
        <f t="shared" si="12"/>
        <v>0</v>
      </c>
      <c r="AX46" s="1361">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61">
        <f t="shared" si="11"/>
        <v>0</v>
      </c>
      <c r="AW47" s="1361">
        <f t="shared" si="12"/>
        <v>0</v>
      </c>
      <c r="AX47" s="1361">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61">
        <f t="shared" si="11"/>
        <v>0</v>
      </c>
      <c r="AW48" s="1361">
        <f t="shared" si="12"/>
        <v>0</v>
      </c>
      <c r="AX48" s="1361">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61">
        <f t="shared" si="11"/>
        <v>0</v>
      </c>
      <c r="AW49" s="1361">
        <f t="shared" si="12"/>
        <v>0</v>
      </c>
      <c r="AX49" s="1361">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61">
        <f t="shared" si="11"/>
        <v>0</v>
      </c>
      <c r="AW50" s="1361">
        <f t="shared" si="12"/>
        <v>0</v>
      </c>
      <c r="AX50" s="1361">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61">
        <f t="shared" si="11"/>
        <v>0</v>
      </c>
      <c r="AW51" s="1361">
        <f t="shared" si="12"/>
        <v>0</v>
      </c>
      <c r="AX51" s="1361">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61">
        <f t="shared" si="11"/>
        <v>0</v>
      </c>
      <c r="AW52" s="1361">
        <f t="shared" si="12"/>
        <v>0</v>
      </c>
      <c r="AX52" s="1361">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61">
        <f t="shared" si="11"/>
        <v>0</v>
      </c>
      <c r="AW53" s="1361">
        <f t="shared" si="12"/>
        <v>0</v>
      </c>
      <c r="AX53" s="1361">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61">
        <f t="shared" si="11"/>
        <v>0</v>
      </c>
      <c r="AW54" s="1361">
        <f t="shared" si="12"/>
        <v>0</v>
      </c>
      <c r="AX54" s="1361">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61">
        <f t="shared" si="11"/>
        <v>0</v>
      </c>
      <c r="AW55" s="1361">
        <f t="shared" si="12"/>
        <v>0</v>
      </c>
      <c r="AX55" s="1361">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61">
        <f t="shared" si="11"/>
        <v>0</v>
      </c>
      <c r="AW56" s="1361">
        <f t="shared" si="12"/>
        <v>0</v>
      </c>
      <c r="AX56" s="1361">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61">
        <f t="shared" si="11"/>
        <v>0</v>
      </c>
      <c r="AW57" s="1361">
        <f t="shared" si="12"/>
        <v>0</v>
      </c>
      <c r="AX57" s="1361">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61">
        <f t="shared" si="11"/>
        <v>0</v>
      </c>
      <c r="AW58" s="1361">
        <f t="shared" si="12"/>
        <v>0</v>
      </c>
      <c r="AX58" s="1361">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61">
        <f t="shared" si="11"/>
        <v>0</v>
      </c>
      <c r="AW59" s="1361">
        <f t="shared" si="12"/>
        <v>0</v>
      </c>
      <c r="AX59" s="1361">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61">
        <f t="shared" si="11"/>
        <v>0</v>
      </c>
      <c r="AW60" s="1361">
        <f t="shared" si="12"/>
        <v>0</v>
      </c>
      <c r="AX60" s="1361">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61">
        <f t="shared" si="11"/>
        <v>0</v>
      </c>
      <c r="AW61" s="1361">
        <f t="shared" si="12"/>
        <v>0</v>
      </c>
      <c r="AX61" s="1361">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61">
        <f t="shared" si="11"/>
        <v>0</v>
      </c>
      <c r="AW62" s="1361">
        <f t="shared" si="12"/>
        <v>0</v>
      </c>
      <c r="AX62" s="1361">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61">
        <f t="shared" si="11"/>
        <v>0</v>
      </c>
      <c r="AW63" s="1361">
        <f t="shared" si="12"/>
        <v>0</v>
      </c>
      <c r="AX63" s="1361">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61">
        <f t="shared" si="11"/>
        <v>0</v>
      </c>
      <c r="AW64" s="1361">
        <f t="shared" si="12"/>
        <v>0</v>
      </c>
      <c r="AX64" s="1361">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61">
        <f t="shared" si="11"/>
        <v>0</v>
      </c>
      <c r="AW65" s="1361">
        <f t="shared" si="12"/>
        <v>0</v>
      </c>
      <c r="AX65" s="1361">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61">
        <f t="shared" si="11"/>
        <v>0</v>
      </c>
      <c r="AW66" s="1361">
        <f t="shared" si="12"/>
        <v>0</v>
      </c>
      <c r="AX66" s="1361">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61">
        <f t="shared" si="11"/>
        <v>0</v>
      </c>
      <c r="AW67" s="1361">
        <f t="shared" si="12"/>
        <v>0</v>
      </c>
      <c r="AX67" s="1361">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61">
        <f t="shared" si="11"/>
        <v>0</v>
      </c>
      <c r="AW68" s="1361">
        <f t="shared" si="12"/>
        <v>0</v>
      </c>
      <c r="AX68" s="1361">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61">
        <f t="shared" si="11"/>
        <v>0</v>
      </c>
      <c r="AW69" s="1361">
        <f t="shared" si="12"/>
        <v>0</v>
      </c>
      <c r="AX69" s="1361">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61">
        <f t="shared" si="11"/>
        <v>0</v>
      </c>
      <c r="AW70" s="1361">
        <f t="shared" si="12"/>
        <v>0</v>
      </c>
      <c r="AX70" s="1361">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61">
        <f t="shared" si="11"/>
        <v>0</v>
      </c>
      <c r="AW71" s="1361">
        <f t="shared" si="12"/>
        <v>0</v>
      </c>
      <c r="AX71" s="1361">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61">
        <f t="shared" si="11"/>
        <v>0</v>
      </c>
      <c r="AW72" s="1361">
        <f t="shared" si="12"/>
        <v>0</v>
      </c>
      <c r="AX72" s="1361">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61">
        <f t="shared" si="11"/>
        <v>0</v>
      </c>
      <c r="AW73" s="1361">
        <f t="shared" si="12"/>
        <v>0</v>
      </c>
      <c r="AX73" s="1361">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61">
        <f t="shared" si="11"/>
        <v>0</v>
      </c>
      <c r="AW74" s="1361">
        <f t="shared" si="12"/>
        <v>0</v>
      </c>
      <c r="AX74" s="1361">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61">
        <f t="shared" si="11"/>
        <v>0</v>
      </c>
      <c r="AW75" s="1361">
        <f t="shared" si="12"/>
        <v>0</v>
      </c>
      <c r="AX75" s="1361">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61">
        <f t="shared" si="11"/>
        <v>0</v>
      </c>
      <c r="AW76" s="1361">
        <f t="shared" si="12"/>
        <v>0</v>
      </c>
      <c r="AX76" s="1361">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61">
        <f t="shared" si="11"/>
        <v>0</v>
      </c>
      <c r="AW77" s="1361">
        <f t="shared" si="12"/>
        <v>0</v>
      </c>
      <c r="AX77" s="1361">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61">
        <f t="shared" si="11"/>
        <v>0</v>
      </c>
      <c r="AW78" s="1361">
        <f t="shared" si="12"/>
        <v>0</v>
      </c>
      <c r="AX78" s="1361">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61">
        <f t="shared" si="11"/>
        <v>0</v>
      </c>
      <c r="AW79" s="1361">
        <f t="shared" si="12"/>
        <v>0</v>
      </c>
      <c r="AX79" s="1361">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61">
        <f t="shared" si="11"/>
        <v>0</v>
      </c>
      <c r="AW80" s="1361">
        <f t="shared" si="12"/>
        <v>0</v>
      </c>
      <c r="AX80" s="1361">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61">
        <f t="shared" si="11"/>
        <v>0</v>
      </c>
      <c r="AW81" s="1361">
        <f t="shared" si="12"/>
        <v>0</v>
      </c>
      <c r="AX81" s="1361">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61">
        <f t="shared" si="11"/>
        <v>0</v>
      </c>
      <c r="AW82" s="1361">
        <f t="shared" si="12"/>
        <v>0</v>
      </c>
      <c r="AX82" s="1361">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61">
        <f t="shared" si="11"/>
        <v>0</v>
      </c>
      <c r="AW83" s="1361">
        <f t="shared" si="12"/>
        <v>0</v>
      </c>
      <c r="AX83" s="1361">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61">
        <f t="shared" si="11"/>
        <v>0</v>
      </c>
      <c r="AW84" s="1361">
        <f t="shared" si="12"/>
        <v>0</v>
      </c>
      <c r="AX84" s="1361">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61">
        <f t="shared" si="11"/>
        <v>0</v>
      </c>
      <c r="AW85" s="1361">
        <f t="shared" si="12"/>
        <v>0</v>
      </c>
      <c r="AX85" s="1361">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61">
        <f t="shared" si="11"/>
        <v>0</v>
      </c>
      <c r="AW86" s="1361">
        <f t="shared" si="12"/>
        <v>0</v>
      </c>
      <c r="AX86" s="1361">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61">
        <f t="shared" si="11"/>
        <v>0</v>
      </c>
      <c r="AW87" s="1361">
        <f t="shared" si="12"/>
        <v>0</v>
      </c>
      <c r="AX87" s="1361">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61">
        <f t="shared" si="11"/>
        <v>0</v>
      </c>
      <c r="AW88" s="1361">
        <f t="shared" si="12"/>
        <v>0</v>
      </c>
      <c r="AX88" s="1361">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61">
        <f t="shared" si="11"/>
        <v>0</v>
      </c>
      <c r="AW89" s="1361">
        <f t="shared" si="12"/>
        <v>0</v>
      </c>
      <c r="AX89" s="1361">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61">
        <f t="shared" si="11"/>
        <v>0</v>
      </c>
      <c r="AW90" s="1361">
        <f t="shared" si="12"/>
        <v>0</v>
      </c>
      <c r="AX90" s="1361">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61">
        <f t="shared" si="11"/>
        <v>0</v>
      </c>
      <c r="AW91" s="1361">
        <f t="shared" si="12"/>
        <v>0</v>
      </c>
      <c r="AX91" s="1361">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61">
        <f t="shared" si="11"/>
        <v>0</v>
      </c>
      <c r="AW92" s="1361">
        <f t="shared" si="12"/>
        <v>0</v>
      </c>
      <c r="AX92" s="1361">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61">
        <f t="shared" si="11"/>
        <v>0</v>
      </c>
      <c r="AW93" s="1361">
        <f t="shared" si="12"/>
        <v>0</v>
      </c>
      <c r="AX93" s="1361">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61">
        <f t="shared" si="11"/>
        <v>0</v>
      </c>
      <c r="AW94" s="1361">
        <f t="shared" si="12"/>
        <v>0</v>
      </c>
      <c r="AX94" s="1361">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61">
        <f t="shared" si="11"/>
        <v>0</v>
      </c>
      <c r="AW95" s="1361">
        <f t="shared" si="12"/>
        <v>0</v>
      </c>
      <c r="AX95" s="1361">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61">
        <f t="shared" si="11"/>
        <v>0</v>
      </c>
      <c r="AW96" s="1361">
        <f t="shared" si="12"/>
        <v>0</v>
      </c>
      <c r="AX96" s="1361">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61">
        <f t="shared" si="11"/>
        <v>0</v>
      </c>
      <c r="AW97" s="1361">
        <f t="shared" si="12"/>
        <v>0</v>
      </c>
      <c r="AX97" s="1361">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61">
        <f t="shared" si="11"/>
        <v>0</v>
      </c>
      <c r="AW98" s="1361">
        <f t="shared" si="12"/>
        <v>0</v>
      </c>
      <c r="AX98" s="1361">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61">
        <f t="shared" si="11"/>
        <v>0</v>
      </c>
      <c r="AW99" s="1361">
        <f t="shared" si="12"/>
        <v>0</v>
      </c>
      <c r="AX99" s="1361">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61">
        <f t="shared" si="11"/>
        <v>0</v>
      </c>
      <c r="AW100" s="1361">
        <f t="shared" si="12"/>
        <v>0</v>
      </c>
      <c r="AX100" s="1361">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61">
        <f t="shared" si="11"/>
        <v>0</v>
      </c>
      <c r="AW101" s="1361">
        <f t="shared" si="12"/>
        <v>0</v>
      </c>
      <c r="AX101" s="1361">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61">
        <f t="shared" si="11"/>
        <v>0</v>
      </c>
      <c r="AW102" s="1361">
        <f t="shared" si="12"/>
        <v>0</v>
      </c>
      <c r="AX102" s="1361">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61">
        <f t="shared" si="11"/>
        <v>0</v>
      </c>
      <c r="AW103" s="1361">
        <f t="shared" si="12"/>
        <v>0</v>
      </c>
      <c r="AX103" s="1361">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61">
        <f t="shared" si="11"/>
        <v>0</v>
      </c>
      <c r="AW104" s="1361">
        <f t="shared" si="12"/>
        <v>0</v>
      </c>
      <c r="AX104" s="1361">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61">
        <f t="shared" si="11"/>
        <v>0</v>
      </c>
      <c r="AW105" s="1361">
        <f t="shared" si="12"/>
        <v>0</v>
      </c>
      <c r="AX105" s="1361">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61">
        <f t="shared" si="11"/>
        <v>0</v>
      </c>
      <c r="AW106" s="1361">
        <f t="shared" si="12"/>
        <v>0</v>
      </c>
      <c r="AX106" s="1361">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61">
        <f t="shared" si="11"/>
        <v>0</v>
      </c>
      <c r="AW107" s="1361">
        <f t="shared" si="12"/>
        <v>0</v>
      </c>
      <c r="AX107" s="1361">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61">
        <f t="shared" si="11"/>
        <v>0</v>
      </c>
      <c r="AW108" s="1361">
        <f t="shared" si="12"/>
        <v>0</v>
      </c>
      <c r="AX108" s="1361">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61">
        <f t="shared" si="11"/>
        <v>0</v>
      </c>
      <c r="AW109" s="1361">
        <f t="shared" si="12"/>
        <v>0</v>
      </c>
      <c r="AX109" s="1361">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61">
        <f t="shared" si="11"/>
        <v>0</v>
      </c>
      <c r="AW110" s="1361">
        <f t="shared" si="12"/>
        <v>0</v>
      </c>
      <c r="AX110" s="1361">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61">
        <f t="shared" si="11"/>
        <v>0</v>
      </c>
      <c r="AW111" s="1361">
        <f t="shared" si="12"/>
        <v>0</v>
      </c>
      <c r="AX111" s="1361">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61">
        <f t="shared" si="11"/>
        <v>0</v>
      </c>
      <c r="AW112" s="1361">
        <f t="shared" si="12"/>
        <v>0</v>
      </c>
      <c r="AX112" s="1361">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61">
        <f t="shared" ref="AV113:AV144" si="62">A113</f>
        <v>0</v>
      </c>
      <c r="AW113" s="1361">
        <f t="shared" ref="AW113:AW144" si="63">B113</f>
        <v>0</v>
      </c>
      <c r="AX113" s="1361">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61">
        <f t="shared" si="62"/>
        <v>0</v>
      </c>
      <c r="AW114" s="1361">
        <f t="shared" si="63"/>
        <v>0</v>
      </c>
      <c r="AX114" s="1361">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61">
        <f t="shared" si="62"/>
        <v>0</v>
      </c>
      <c r="AW115" s="1361">
        <f t="shared" si="63"/>
        <v>0</v>
      </c>
      <c r="AX115" s="1361">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61">
        <f t="shared" si="62"/>
        <v>0</v>
      </c>
      <c r="AW116" s="1361">
        <f t="shared" si="63"/>
        <v>0</v>
      </c>
      <c r="AX116" s="1361">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61">
        <f t="shared" si="62"/>
        <v>0</v>
      </c>
      <c r="AW117" s="1361">
        <f t="shared" si="63"/>
        <v>0</v>
      </c>
      <c r="AX117" s="1361">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61">
        <f t="shared" si="62"/>
        <v>0</v>
      </c>
      <c r="AW118" s="1361">
        <f t="shared" si="63"/>
        <v>0</v>
      </c>
      <c r="AX118" s="1361">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61">
        <f t="shared" si="62"/>
        <v>0</v>
      </c>
      <c r="AW119" s="1361">
        <f t="shared" si="63"/>
        <v>0</v>
      </c>
      <c r="AX119" s="1361">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61">
        <f t="shared" si="62"/>
        <v>0</v>
      </c>
      <c r="AW120" s="1361">
        <f t="shared" si="63"/>
        <v>0</v>
      </c>
      <c r="AX120" s="1361">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61">
        <f t="shared" si="62"/>
        <v>0</v>
      </c>
      <c r="AW121" s="1361">
        <f t="shared" si="63"/>
        <v>0</v>
      </c>
      <c r="AX121" s="1361">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61">
        <f t="shared" si="62"/>
        <v>0</v>
      </c>
      <c r="AW122" s="1361">
        <f t="shared" si="63"/>
        <v>0</v>
      </c>
      <c r="AX122" s="1361">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61">
        <f t="shared" si="62"/>
        <v>0</v>
      </c>
      <c r="AW123" s="1361">
        <f t="shared" si="63"/>
        <v>0</v>
      </c>
      <c r="AX123" s="1361">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61">
        <f t="shared" si="62"/>
        <v>0</v>
      </c>
      <c r="AW124" s="1361">
        <f t="shared" si="63"/>
        <v>0</v>
      </c>
      <c r="AX124" s="1361">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61">
        <f t="shared" si="62"/>
        <v>0</v>
      </c>
      <c r="AW125" s="1361">
        <f t="shared" si="63"/>
        <v>0</v>
      </c>
      <c r="AX125" s="1361">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61">
        <f t="shared" si="62"/>
        <v>0</v>
      </c>
      <c r="AW126" s="1361">
        <f t="shared" si="63"/>
        <v>0</v>
      </c>
      <c r="AX126" s="1361">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61">
        <f t="shared" si="62"/>
        <v>0</v>
      </c>
      <c r="AW127" s="1361">
        <f t="shared" si="63"/>
        <v>0</v>
      </c>
      <c r="AX127" s="1361">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61">
        <f t="shared" si="62"/>
        <v>0</v>
      </c>
      <c r="AW128" s="1361">
        <f t="shared" si="63"/>
        <v>0</v>
      </c>
      <c r="AX128" s="1361">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61">
        <f t="shared" si="62"/>
        <v>0</v>
      </c>
      <c r="AW129" s="1361">
        <f t="shared" si="63"/>
        <v>0</v>
      </c>
      <c r="AX129" s="1361">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61">
        <f t="shared" si="62"/>
        <v>0</v>
      </c>
      <c r="AW130" s="1361">
        <f t="shared" si="63"/>
        <v>0</v>
      </c>
      <c r="AX130" s="1361">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61">
        <f t="shared" si="62"/>
        <v>0</v>
      </c>
      <c r="AW131" s="1361">
        <f t="shared" si="63"/>
        <v>0</v>
      </c>
      <c r="AX131" s="1361">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61">
        <f t="shared" si="62"/>
        <v>0</v>
      </c>
      <c r="AW132" s="1361">
        <f t="shared" si="63"/>
        <v>0</v>
      </c>
      <c r="AX132" s="1361">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61">
        <f t="shared" si="62"/>
        <v>0</v>
      </c>
      <c r="AW133" s="1361">
        <f t="shared" si="63"/>
        <v>0</v>
      </c>
      <c r="AX133" s="1361">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61">
        <f t="shared" si="62"/>
        <v>0</v>
      </c>
      <c r="AW134" s="1361">
        <f t="shared" si="63"/>
        <v>0</v>
      </c>
      <c r="AX134" s="1361">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61">
        <f t="shared" si="62"/>
        <v>0</v>
      </c>
      <c r="AW135" s="1361">
        <f t="shared" si="63"/>
        <v>0</v>
      </c>
      <c r="AX135" s="1361">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61">
        <f t="shared" si="62"/>
        <v>0</v>
      </c>
      <c r="AW136" s="1361">
        <f t="shared" si="63"/>
        <v>0</v>
      </c>
      <c r="AX136" s="1361">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61">
        <f t="shared" si="62"/>
        <v>0</v>
      </c>
      <c r="AW137" s="1361">
        <f t="shared" si="63"/>
        <v>0</v>
      </c>
      <c r="AX137" s="1361">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61">
        <f t="shared" si="62"/>
        <v>0</v>
      </c>
      <c r="AW138" s="1361">
        <f t="shared" si="63"/>
        <v>0</v>
      </c>
      <c r="AX138" s="1361">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61">
        <f t="shared" si="62"/>
        <v>0</v>
      </c>
      <c r="AW139" s="1361">
        <f t="shared" si="63"/>
        <v>0</v>
      </c>
      <c r="AX139" s="1361">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61">
        <f t="shared" si="62"/>
        <v>0</v>
      </c>
      <c r="AW140" s="1361">
        <f t="shared" si="63"/>
        <v>0</v>
      </c>
      <c r="AX140" s="1361">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61">
        <f t="shared" si="62"/>
        <v>0</v>
      </c>
      <c r="AW141" s="1361">
        <f t="shared" si="63"/>
        <v>0</v>
      </c>
      <c r="AX141" s="1361">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61">
        <f t="shared" si="62"/>
        <v>0</v>
      </c>
      <c r="AW142" s="1361">
        <f t="shared" si="63"/>
        <v>0</v>
      </c>
      <c r="AX142" s="1361">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61">
        <f t="shared" si="62"/>
        <v>0</v>
      </c>
      <c r="AW143" s="1361">
        <f t="shared" si="63"/>
        <v>0</v>
      </c>
      <c r="AX143" s="1361">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61">
        <f t="shared" si="62"/>
        <v>0</v>
      </c>
      <c r="AW144" s="1361">
        <f t="shared" si="63"/>
        <v>0</v>
      </c>
      <c r="AX144" s="1361">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61">
        <f t="shared" ref="AV145:AV176" si="91">A145</f>
        <v>0</v>
      </c>
      <c r="AW145" s="1361">
        <f t="shared" ref="AW145:AW176" si="92">B145</f>
        <v>0</v>
      </c>
      <c r="AX145" s="1361">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61">
        <f t="shared" si="91"/>
        <v>0</v>
      </c>
      <c r="AW146" s="1361">
        <f t="shared" si="92"/>
        <v>0</v>
      </c>
      <c r="AX146" s="1361">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61">
        <f t="shared" si="91"/>
        <v>0</v>
      </c>
      <c r="AW147" s="1361">
        <f t="shared" si="92"/>
        <v>0</v>
      </c>
      <c r="AX147" s="1361">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61">
        <f t="shared" si="91"/>
        <v>0</v>
      </c>
      <c r="AW148" s="1361">
        <f t="shared" si="92"/>
        <v>0</v>
      </c>
      <c r="AX148" s="1361">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61">
        <f t="shared" si="91"/>
        <v>0</v>
      </c>
      <c r="AW149" s="1361">
        <f t="shared" si="92"/>
        <v>0</v>
      </c>
      <c r="AX149" s="1361">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61">
        <f t="shared" si="91"/>
        <v>0</v>
      </c>
      <c r="AW150" s="1361">
        <f t="shared" si="92"/>
        <v>0</v>
      </c>
      <c r="AX150" s="1361">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61">
        <f t="shared" si="91"/>
        <v>0</v>
      </c>
      <c r="AW151" s="1361">
        <f t="shared" si="92"/>
        <v>0</v>
      </c>
      <c r="AX151" s="1361">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61">
        <f t="shared" si="91"/>
        <v>0</v>
      </c>
      <c r="AW152" s="1361">
        <f t="shared" si="92"/>
        <v>0</v>
      </c>
      <c r="AX152" s="1361">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61">
        <f t="shared" si="91"/>
        <v>0</v>
      </c>
      <c r="AW153" s="1361">
        <f t="shared" si="92"/>
        <v>0</v>
      </c>
      <c r="AX153" s="1361">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61">
        <f t="shared" si="91"/>
        <v>0</v>
      </c>
      <c r="AW154" s="1361">
        <f t="shared" si="92"/>
        <v>0</v>
      </c>
      <c r="AX154" s="1361">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61">
        <f t="shared" si="91"/>
        <v>0</v>
      </c>
      <c r="AW155" s="1361">
        <f t="shared" si="92"/>
        <v>0</v>
      </c>
      <c r="AX155" s="1361">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61">
        <f t="shared" si="91"/>
        <v>0</v>
      </c>
      <c r="AW156" s="1361">
        <f t="shared" si="92"/>
        <v>0</v>
      </c>
      <c r="AX156" s="1361">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61">
        <f t="shared" si="91"/>
        <v>0</v>
      </c>
      <c r="AW157" s="1361">
        <f t="shared" si="92"/>
        <v>0</v>
      </c>
      <c r="AX157" s="1361">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61">
        <f t="shared" si="91"/>
        <v>0</v>
      </c>
      <c r="AW158" s="1361">
        <f t="shared" si="92"/>
        <v>0</v>
      </c>
      <c r="AX158" s="1361">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61">
        <f t="shared" si="91"/>
        <v>0</v>
      </c>
      <c r="AW159" s="1361">
        <f t="shared" si="92"/>
        <v>0</v>
      </c>
      <c r="AX159" s="1361">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61">
        <f t="shared" si="91"/>
        <v>0</v>
      </c>
      <c r="AW160" s="1361">
        <f t="shared" si="92"/>
        <v>0</v>
      </c>
      <c r="AX160" s="1361">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61">
        <f t="shared" si="91"/>
        <v>0</v>
      </c>
      <c r="AW161" s="1361">
        <f t="shared" si="92"/>
        <v>0</v>
      </c>
      <c r="AX161" s="1361">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61">
        <f t="shared" si="91"/>
        <v>0</v>
      </c>
      <c r="AW162" s="1361">
        <f t="shared" si="92"/>
        <v>0</v>
      </c>
      <c r="AX162" s="1361">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61">
        <f t="shared" si="91"/>
        <v>0</v>
      </c>
      <c r="AW163" s="1361">
        <f t="shared" si="92"/>
        <v>0</v>
      </c>
      <c r="AX163" s="1361">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61">
        <f t="shared" si="91"/>
        <v>0</v>
      </c>
      <c r="AW164" s="1361">
        <f t="shared" si="92"/>
        <v>0</v>
      </c>
      <c r="AX164" s="1361">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61">
        <f t="shared" si="91"/>
        <v>0</v>
      </c>
      <c r="AW165" s="1361">
        <f t="shared" si="92"/>
        <v>0</v>
      </c>
      <c r="AX165" s="1361">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61">
        <f t="shared" si="91"/>
        <v>0</v>
      </c>
      <c r="AW166" s="1361">
        <f t="shared" si="92"/>
        <v>0</v>
      </c>
      <c r="AX166" s="1361">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61">
        <f t="shared" si="91"/>
        <v>0</v>
      </c>
      <c r="AW167" s="1361">
        <f t="shared" si="92"/>
        <v>0</v>
      </c>
      <c r="AX167" s="1361">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61">
        <f t="shared" si="91"/>
        <v>0</v>
      </c>
      <c r="AW168" s="1361">
        <f t="shared" si="92"/>
        <v>0</v>
      </c>
      <c r="AX168" s="1361">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61">
        <f t="shared" si="91"/>
        <v>0</v>
      </c>
      <c r="AW169" s="1361">
        <f t="shared" si="92"/>
        <v>0</v>
      </c>
      <c r="AX169" s="1361">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61">
        <f t="shared" si="91"/>
        <v>0</v>
      </c>
      <c r="AW170" s="1361">
        <f t="shared" si="92"/>
        <v>0</v>
      </c>
      <c r="AX170" s="1361">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61">
        <f t="shared" si="91"/>
        <v>0</v>
      </c>
      <c r="AW171" s="1361">
        <f t="shared" si="92"/>
        <v>0</v>
      </c>
      <c r="AX171" s="1361">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61">
        <f t="shared" si="91"/>
        <v>0</v>
      </c>
      <c r="AW172" s="1361">
        <f t="shared" si="92"/>
        <v>0</v>
      </c>
      <c r="AX172" s="1361">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61">
        <f t="shared" si="91"/>
        <v>0</v>
      </c>
      <c r="AW173" s="1361">
        <f t="shared" si="92"/>
        <v>0</v>
      </c>
      <c r="AX173" s="1361">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61">
        <f t="shared" si="91"/>
        <v>0</v>
      </c>
      <c r="AW174" s="1361">
        <f t="shared" si="92"/>
        <v>0</v>
      </c>
      <c r="AX174" s="1361">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61">
        <f t="shared" si="91"/>
        <v>0</v>
      </c>
      <c r="AW175" s="1361">
        <f t="shared" si="92"/>
        <v>0</v>
      </c>
      <c r="AX175" s="1361">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61">
        <f t="shared" si="91"/>
        <v>0</v>
      </c>
      <c r="AW176" s="1361">
        <f t="shared" si="92"/>
        <v>0</v>
      </c>
      <c r="AX176" s="1361">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61">
        <f t="shared" ref="AV177:AV207" si="120">A177</f>
        <v>0</v>
      </c>
      <c r="AW177" s="1361">
        <f t="shared" ref="AW177:AW207" si="121">B177</f>
        <v>0</v>
      </c>
      <c r="AX177" s="1361">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61">
        <f t="shared" si="120"/>
        <v>0</v>
      </c>
      <c r="AW178" s="1361">
        <f t="shared" si="121"/>
        <v>0</v>
      </c>
      <c r="AX178" s="1361">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61">
        <f t="shared" si="120"/>
        <v>0</v>
      </c>
      <c r="AW179" s="1361">
        <f t="shared" si="121"/>
        <v>0</v>
      </c>
      <c r="AX179" s="1361">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61">
        <f t="shared" si="120"/>
        <v>0</v>
      </c>
      <c r="AW180" s="1361">
        <f t="shared" si="121"/>
        <v>0</v>
      </c>
      <c r="AX180" s="1361">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61">
        <f t="shared" si="120"/>
        <v>0</v>
      </c>
      <c r="AW181" s="1361">
        <f t="shared" si="121"/>
        <v>0</v>
      </c>
      <c r="AX181" s="1361">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61">
        <f t="shared" si="120"/>
        <v>0</v>
      </c>
      <c r="AW182" s="1361">
        <f t="shared" si="121"/>
        <v>0</v>
      </c>
      <c r="AX182" s="1361">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61">
        <f t="shared" si="120"/>
        <v>0</v>
      </c>
      <c r="AW183" s="1361">
        <f t="shared" si="121"/>
        <v>0</v>
      </c>
      <c r="AX183" s="1361">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61">
        <f t="shared" si="120"/>
        <v>0</v>
      </c>
      <c r="AW184" s="1361">
        <f t="shared" si="121"/>
        <v>0</v>
      </c>
      <c r="AX184" s="1361">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61">
        <f t="shared" si="120"/>
        <v>0</v>
      </c>
      <c r="AW185" s="1361">
        <f t="shared" si="121"/>
        <v>0</v>
      </c>
      <c r="AX185" s="1361">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61">
        <f t="shared" si="120"/>
        <v>0</v>
      </c>
      <c r="AW186" s="1361">
        <f t="shared" si="121"/>
        <v>0</v>
      </c>
      <c r="AX186" s="1361">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61">
        <f t="shared" si="120"/>
        <v>0</v>
      </c>
      <c r="AW187" s="1361">
        <f t="shared" si="121"/>
        <v>0</v>
      </c>
      <c r="AX187" s="1361">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61">
        <f t="shared" si="120"/>
        <v>0</v>
      </c>
      <c r="AW188" s="1361">
        <f t="shared" si="121"/>
        <v>0</v>
      </c>
      <c r="AX188" s="1361">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61">
        <f t="shared" si="120"/>
        <v>0</v>
      </c>
      <c r="AW189" s="1361">
        <f t="shared" si="121"/>
        <v>0</v>
      </c>
      <c r="AX189" s="1361">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61">
        <f t="shared" si="120"/>
        <v>0</v>
      </c>
      <c r="AW190" s="1361">
        <f t="shared" si="121"/>
        <v>0</v>
      </c>
      <c r="AX190" s="1361">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61">
        <f t="shared" si="120"/>
        <v>0</v>
      </c>
      <c r="AW191" s="1361">
        <f t="shared" si="121"/>
        <v>0</v>
      </c>
      <c r="AX191" s="1361">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61">
        <f t="shared" si="120"/>
        <v>0</v>
      </c>
      <c r="AW192" s="1361">
        <f t="shared" si="121"/>
        <v>0</v>
      </c>
      <c r="AX192" s="1361">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61">
        <f t="shared" si="120"/>
        <v>0</v>
      </c>
      <c r="AW193" s="1361">
        <f t="shared" si="121"/>
        <v>0</v>
      </c>
      <c r="AX193" s="1361">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61">
        <f t="shared" si="120"/>
        <v>0</v>
      </c>
      <c r="AW194" s="1361">
        <f t="shared" si="121"/>
        <v>0</v>
      </c>
      <c r="AX194" s="1361">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61">
        <f t="shared" si="120"/>
        <v>0</v>
      </c>
      <c r="AW195" s="1361">
        <f t="shared" si="121"/>
        <v>0</v>
      </c>
      <c r="AX195" s="1361">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61">
        <f t="shared" si="120"/>
        <v>0</v>
      </c>
      <c r="AW196" s="1361">
        <f t="shared" si="121"/>
        <v>0</v>
      </c>
      <c r="AX196" s="1361">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61">
        <f t="shared" si="120"/>
        <v>0</v>
      </c>
      <c r="AW197" s="1361">
        <f t="shared" si="121"/>
        <v>0</v>
      </c>
      <c r="AX197" s="1361">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61">
        <f t="shared" si="120"/>
        <v>0</v>
      </c>
      <c r="AW198" s="1361">
        <f t="shared" si="121"/>
        <v>0</v>
      </c>
      <c r="AX198" s="1361">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61">
        <f t="shared" si="120"/>
        <v>0</v>
      </c>
      <c r="AW199" s="1361">
        <f t="shared" si="121"/>
        <v>0</v>
      </c>
      <c r="AX199" s="1361">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61">
        <f t="shared" si="120"/>
        <v>0</v>
      </c>
      <c r="AW200" s="1361">
        <f t="shared" si="121"/>
        <v>0</v>
      </c>
      <c r="AX200" s="1361">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61">
        <f t="shared" si="120"/>
        <v>0</v>
      </c>
      <c r="AW201" s="1361">
        <f t="shared" si="121"/>
        <v>0</v>
      </c>
      <c r="AX201" s="1361">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61">
        <f t="shared" si="120"/>
        <v>0</v>
      </c>
      <c r="AW202" s="1361">
        <f t="shared" si="121"/>
        <v>0</v>
      </c>
      <c r="AX202" s="1361">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61">
        <f t="shared" si="120"/>
        <v>0</v>
      </c>
      <c r="AW203" s="1361">
        <f t="shared" si="121"/>
        <v>0</v>
      </c>
      <c r="AX203" s="1361">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61">
        <f t="shared" si="120"/>
        <v>0</v>
      </c>
      <c r="AW204" s="1361">
        <f t="shared" si="121"/>
        <v>0</v>
      </c>
      <c r="AX204" s="1361">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61">
        <f t="shared" si="120"/>
        <v>0</v>
      </c>
      <c r="AW205" s="1361">
        <f t="shared" si="121"/>
        <v>0</v>
      </c>
      <c r="AX205" s="1361">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61">
        <f t="shared" si="120"/>
        <v>0</v>
      </c>
      <c r="AW206" s="1361">
        <f t="shared" si="121"/>
        <v>0</v>
      </c>
      <c r="AX206" s="1361">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61">
        <f t="shared" si="120"/>
        <v>0</v>
      </c>
      <c r="AW207" s="1361">
        <f t="shared" si="121"/>
        <v>0</v>
      </c>
      <c r="AX207" s="1361">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61">
        <f t="shared" ref="AV208:AV302" si="127">A208</f>
        <v>0</v>
      </c>
      <c r="AW208" s="1361">
        <f t="shared" ref="AW208:AW302" si="128">B208</f>
        <v>0</v>
      </c>
      <c r="AX208" s="1361">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61">
        <f t="shared" si="127"/>
        <v>0</v>
      </c>
      <c r="AW209" s="1361">
        <f t="shared" si="128"/>
        <v>0</v>
      </c>
      <c r="AX209" s="1361">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61">
        <f t="shared" si="127"/>
        <v>0</v>
      </c>
      <c r="AW210" s="1361">
        <f t="shared" si="128"/>
        <v>0</v>
      </c>
      <c r="AX210" s="1361">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61">
        <f t="shared" si="127"/>
        <v>0</v>
      </c>
      <c r="AW211" s="1361">
        <f t="shared" si="128"/>
        <v>0</v>
      </c>
      <c r="AX211" s="1361">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61">
        <f t="shared" si="127"/>
        <v>0</v>
      </c>
      <c r="AW212" s="1361">
        <f t="shared" si="128"/>
        <v>0</v>
      </c>
      <c r="AX212" s="1361">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61">
        <f t="shared" si="127"/>
        <v>0</v>
      </c>
      <c r="AW213" s="1361">
        <f t="shared" si="128"/>
        <v>0</v>
      </c>
      <c r="AX213" s="1361">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61">
        <f t="shared" si="127"/>
        <v>0</v>
      </c>
      <c r="AW214" s="1361">
        <f t="shared" si="128"/>
        <v>0</v>
      </c>
      <c r="AX214" s="1361">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61">
        <f t="shared" si="127"/>
        <v>0</v>
      </c>
      <c r="AW215" s="1361">
        <f t="shared" si="128"/>
        <v>0</v>
      </c>
      <c r="AX215" s="1361">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61">
        <f t="shared" si="127"/>
        <v>0</v>
      </c>
      <c r="AW216" s="1361">
        <f t="shared" si="128"/>
        <v>0</v>
      </c>
      <c r="AX216" s="1361">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61">
        <f t="shared" si="127"/>
        <v>0</v>
      </c>
      <c r="AW217" s="1361">
        <f t="shared" si="128"/>
        <v>0</v>
      </c>
      <c r="AX217" s="1361">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61">
        <f t="shared" si="127"/>
        <v>0</v>
      </c>
      <c r="AW218" s="1361">
        <f t="shared" si="128"/>
        <v>0</v>
      </c>
      <c r="AX218" s="1361">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61">
        <f t="shared" si="127"/>
        <v>0</v>
      </c>
      <c r="AW219" s="1361">
        <f t="shared" si="128"/>
        <v>0</v>
      </c>
      <c r="AX219" s="1361">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61">
        <f t="shared" si="127"/>
        <v>0</v>
      </c>
      <c r="AW220" s="1361">
        <f t="shared" si="128"/>
        <v>0</v>
      </c>
      <c r="AX220" s="1361">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61">
        <f t="shared" si="127"/>
        <v>0</v>
      </c>
      <c r="AW221" s="1361">
        <f t="shared" si="128"/>
        <v>0</v>
      </c>
      <c r="AX221" s="1361">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61">
        <f t="shared" si="127"/>
        <v>0</v>
      </c>
      <c r="AW222" s="1361">
        <f t="shared" si="128"/>
        <v>0</v>
      </c>
      <c r="AX222" s="1361">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61">
        <f t="shared" si="127"/>
        <v>0</v>
      </c>
      <c r="AW223" s="1361">
        <f t="shared" si="128"/>
        <v>0</v>
      </c>
      <c r="AX223" s="1361">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61">
        <f t="shared" si="127"/>
        <v>0</v>
      </c>
      <c r="AW224" s="1361">
        <f t="shared" si="128"/>
        <v>0</v>
      </c>
      <c r="AX224" s="1361">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61">
        <f t="shared" si="127"/>
        <v>0</v>
      </c>
      <c r="AW225" s="1361">
        <f t="shared" si="128"/>
        <v>0</v>
      </c>
      <c r="AX225" s="1361">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61">
        <f t="shared" si="127"/>
        <v>0</v>
      </c>
      <c r="AW226" s="1361">
        <f t="shared" si="128"/>
        <v>0</v>
      </c>
      <c r="AX226" s="1361">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61">
        <f t="shared" si="127"/>
        <v>0</v>
      </c>
      <c r="AW227" s="1361">
        <f t="shared" si="128"/>
        <v>0</v>
      </c>
      <c r="AX227" s="1361">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61">
        <f t="shared" si="127"/>
        <v>0</v>
      </c>
      <c r="AW228" s="1361">
        <f t="shared" si="128"/>
        <v>0</v>
      </c>
      <c r="AX228" s="1361">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61">
        <f t="shared" si="127"/>
        <v>0</v>
      </c>
      <c r="AW229" s="1361">
        <f t="shared" si="128"/>
        <v>0</v>
      </c>
      <c r="AX229" s="1361">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61">
        <f t="shared" si="127"/>
        <v>0</v>
      </c>
      <c r="AW230" s="1361">
        <f t="shared" si="128"/>
        <v>0</v>
      </c>
      <c r="AX230" s="1361">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61">
        <f t="shared" si="127"/>
        <v>0</v>
      </c>
      <c r="AW231" s="1361">
        <f t="shared" si="128"/>
        <v>0</v>
      </c>
      <c r="AX231" s="1361">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61">
        <f t="shared" si="127"/>
        <v>0</v>
      </c>
      <c r="AW232" s="1361">
        <f t="shared" si="128"/>
        <v>0</v>
      </c>
      <c r="AX232" s="1361">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61">
        <f t="shared" si="127"/>
        <v>0</v>
      </c>
      <c r="AW233" s="1361">
        <f t="shared" si="128"/>
        <v>0</v>
      </c>
      <c r="AX233" s="1361">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61">
        <f t="shared" si="127"/>
        <v>0</v>
      </c>
      <c r="AW234" s="1361">
        <f t="shared" si="128"/>
        <v>0</v>
      </c>
      <c r="AX234" s="1361">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61">
        <f t="shared" si="127"/>
        <v>0</v>
      </c>
      <c r="AW235" s="1361">
        <f t="shared" si="128"/>
        <v>0</v>
      </c>
      <c r="AX235" s="1361">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61">
        <f t="shared" si="127"/>
        <v>0</v>
      </c>
      <c r="AW236" s="1361">
        <f t="shared" si="128"/>
        <v>0</v>
      </c>
      <c r="AX236" s="1361">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61">
        <f t="shared" si="127"/>
        <v>0</v>
      </c>
      <c r="AW237" s="1361">
        <f t="shared" si="128"/>
        <v>0</v>
      </c>
      <c r="AX237" s="1361">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61">
        <f t="shared" si="127"/>
        <v>0</v>
      </c>
      <c r="AW238" s="1361">
        <f t="shared" si="128"/>
        <v>0</v>
      </c>
      <c r="AX238" s="1361">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61">
        <f t="shared" si="127"/>
        <v>0</v>
      </c>
      <c r="AW239" s="1361">
        <f t="shared" si="128"/>
        <v>0</v>
      </c>
      <c r="AX239" s="1361">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61">
        <f t="shared" si="127"/>
        <v>0</v>
      </c>
      <c r="AW240" s="1361">
        <f t="shared" si="128"/>
        <v>0</v>
      </c>
      <c r="AX240" s="1361">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61">
        <f t="shared" si="127"/>
        <v>0</v>
      </c>
      <c r="AW241" s="1361">
        <f t="shared" si="128"/>
        <v>0</v>
      </c>
      <c r="AX241" s="1361">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61">
        <f t="shared" si="127"/>
        <v>0</v>
      </c>
      <c r="AW242" s="1361">
        <f t="shared" si="128"/>
        <v>0</v>
      </c>
      <c r="AX242" s="1361">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61">
        <f t="shared" si="127"/>
        <v>0</v>
      </c>
      <c r="AW243" s="1361">
        <f t="shared" si="128"/>
        <v>0</v>
      </c>
      <c r="AX243" s="1361">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61">
        <f t="shared" si="127"/>
        <v>0</v>
      </c>
      <c r="AW244" s="1361">
        <f t="shared" si="128"/>
        <v>0</v>
      </c>
      <c r="AX244" s="1361">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61">
        <f t="shared" si="127"/>
        <v>0</v>
      </c>
      <c r="AW245" s="1361">
        <f t="shared" si="128"/>
        <v>0</v>
      </c>
      <c r="AX245" s="1361">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61">
        <f t="shared" si="127"/>
        <v>0</v>
      </c>
      <c r="AW246" s="1361">
        <f t="shared" si="128"/>
        <v>0</v>
      </c>
      <c r="AX246" s="1361">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61">
        <f t="shared" si="127"/>
        <v>0</v>
      </c>
      <c r="AW247" s="1361">
        <f t="shared" si="128"/>
        <v>0</v>
      </c>
      <c r="AX247" s="1361">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61">
        <f t="shared" si="127"/>
        <v>0</v>
      </c>
      <c r="AW248" s="1361">
        <f t="shared" si="128"/>
        <v>0</v>
      </c>
      <c r="AX248" s="1361">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61">
        <f t="shared" si="127"/>
        <v>0</v>
      </c>
      <c r="AW249" s="1361">
        <f t="shared" si="128"/>
        <v>0</v>
      </c>
      <c r="AX249" s="1361">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61">
        <f t="shared" si="127"/>
        <v>0</v>
      </c>
      <c r="AW250" s="1361">
        <f t="shared" si="128"/>
        <v>0</v>
      </c>
      <c r="AX250" s="1361">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61">
        <f t="shared" si="127"/>
        <v>0</v>
      </c>
      <c r="AW251" s="1361">
        <f t="shared" si="128"/>
        <v>0</v>
      </c>
      <c r="AX251" s="1361">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61">
        <f t="shared" si="127"/>
        <v>0</v>
      </c>
      <c r="AW252" s="1361">
        <f t="shared" si="128"/>
        <v>0</v>
      </c>
      <c r="AX252" s="1361">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61">
        <f t="shared" si="127"/>
        <v>0</v>
      </c>
      <c r="AW253" s="1361">
        <f t="shared" si="128"/>
        <v>0</v>
      </c>
      <c r="AX253" s="1361">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61">
        <f t="shared" si="127"/>
        <v>0</v>
      </c>
      <c r="AW254" s="1361">
        <f t="shared" si="128"/>
        <v>0</v>
      </c>
      <c r="AX254" s="1361">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61">
        <f t="shared" si="127"/>
        <v>0</v>
      </c>
      <c r="AW255" s="1361">
        <f t="shared" si="128"/>
        <v>0</v>
      </c>
      <c r="AX255" s="1361">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61">
        <f t="shared" si="127"/>
        <v>0</v>
      </c>
      <c r="AW256" s="1361">
        <f t="shared" si="128"/>
        <v>0</v>
      </c>
      <c r="AX256" s="1361">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61">
        <f t="shared" si="127"/>
        <v>0</v>
      </c>
      <c r="AW257" s="1361">
        <f t="shared" si="128"/>
        <v>0</v>
      </c>
      <c r="AX257" s="1361">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61">
        <f t="shared" si="127"/>
        <v>0</v>
      </c>
      <c r="AW258" s="1361">
        <f t="shared" si="128"/>
        <v>0</v>
      </c>
      <c r="AX258" s="1361">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61">
        <f t="shared" si="127"/>
        <v>0</v>
      </c>
      <c r="AW259" s="1361">
        <f t="shared" si="128"/>
        <v>0</v>
      </c>
      <c r="AX259" s="1361">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61">
        <f t="shared" si="127"/>
        <v>0</v>
      </c>
      <c r="AW260" s="1361">
        <f t="shared" si="128"/>
        <v>0</v>
      </c>
      <c r="AX260" s="1361">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61">
        <f t="shared" si="127"/>
        <v>0</v>
      </c>
      <c r="AW261" s="1361">
        <f t="shared" si="128"/>
        <v>0</v>
      </c>
      <c r="AX261" s="1361">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61">
        <f t="shared" si="127"/>
        <v>0</v>
      </c>
      <c r="AW262" s="1361">
        <f t="shared" si="128"/>
        <v>0</v>
      </c>
      <c r="AX262" s="1361">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61">
        <f t="shared" si="127"/>
        <v>0</v>
      </c>
      <c r="AW263" s="1361">
        <f t="shared" si="128"/>
        <v>0</v>
      </c>
      <c r="AX263" s="1361">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61">
        <f t="shared" si="127"/>
        <v>0</v>
      </c>
      <c r="AW264" s="1361">
        <f t="shared" si="128"/>
        <v>0</v>
      </c>
      <c r="AX264" s="1361">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61">
        <f t="shared" si="127"/>
        <v>0</v>
      </c>
      <c r="AW265" s="1361">
        <f t="shared" si="128"/>
        <v>0</v>
      </c>
      <c r="AX265" s="1361">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61">
        <f t="shared" si="127"/>
        <v>0</v>
      </c>
      <c r="AW266" s="1361">
        <f t="shared" si="128"/>
        <v>0</v>
      </c>
      <c r="AX266" s="1361">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61">
        <f t="shared" si="127"/>
        <v>0</v>
      </c>
      <c r="AW267" s="1361">
        <f t="shared" si="128"/>
        <v>0</v>
      </c>
      <c r="AX267" s="1361">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61">
        <f t="shared" si="127"/>
        <v>0</v>
      </c>
      <c r="AW268" s="1361">
        <f t="shared" si="128"/>
        <v>0</v>
      </c>
      <c r="AX268" s="1361">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61">
        <f t="shared" si="127"/>
        <v>0</v>
      </c>
      <c r="AW269" s="1361">
        <f t="shared" si="128"/>
        <v>0</v>
      </c>
      <c r="AX269" s="1361">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61">
        <f t="shared" si="127"/>
        <v>0</v>
      </c>
      <c r="AW270" s="1361">
        <f t="shared" si="128"/>
        <v>0</v>
      </c>
      <c r="AX270" s="1361">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61">
        <f t="shared" si="127"/>
        <v>0</v>
      </c>
      <c r="AW271" s="1361">
        <f t="shared" si="128"/>
        <v>0</v>
      </c>
      <c r="AX271" s="1361">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61">
        <f t="shared" si="127"/>
        <v>0</v>
      </c>
      <c r="AW272" s="1361">
        <f t="shared" si="128"/>
        <v>0</v>
      </c>
      <c r="AX272" s="1361">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61">
        <f t="shared" si="127"/>
        <v>0</v>
      </c>
      <c r="AW273" s="1361">
        <f t="shared" si="128"/>
        <v>0</v>
      </c>
      <c r="AX273" s="1361">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61">
        <f t="shared" si="127"/>
        <v>0</v>
      </c>
      <c r="AW274" s="1361">
        <f t="shared" si="128"/>
        <v>0</v>
      </c>
      <c r="AX274" s="1361">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61">
        <f t="shared" si="127"/>
        <v>0</v>
      </c>
      <c r="AW275" s="1361">
        <f t="shared" si="128"/>
        <v>0</v>
      </c>
      <c r="AX275" s="1361">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61">
        <f t="shared" si="127"/>
        <v>0</v>
      </c>
      <c r="AW276" s="1361">
        <f t="shared" si="128"/>
        <v>0</v>
      </c>
      <c r="AX276" s="1361">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61">
        <f t="shared" si="127"/>
        <v>0</v>
      </c>
      <c r="AW277" s="1361">
        <f t="shared" si="128"/>
        <v>0</v>
      </c>
      <c r="AX277" s="1361">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61">
        <f t="shared" si="127"/>
        <v>0</v>
      </c>
      <c r="AW278" s="1361">
        <f t="shared" si="128"/>
        <v>0</v>
      </c>
      <c r="AX278" s="1361">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61">
        <f t="shared" si="127"/>
        <v>0</v>
      </c>
      <c r="AW279" s="1361">
        <f t="shared" si="128"/>
        <v>0</v>
      </c>
      <c r="AX279" s="1361">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61">
        <f t="shared" si="127"/>
        <v>0</v>
      </c>
      <c r="AW280" s="1361">
        <f t="shared" si="128"/>
        <v>0</v>
      </c>
      <c r="AX280" s="1361">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61">
        <f t="shared" si="127"/>
        <v>0</v>
      </c>
      <c r="AW281" s="1361">
        <f t="shared" si="128"/>
        <v>0</v>
      </c>
      <c r="AX281" s="1361">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61">
        <f t="shared" si="127"/>
        <v>0</v>
      </c>
      <c r="AW282" s="1361">
        <f t="shared" si="128"/>
        <v>0</v>
      </c>
      <c r="AX282" s="1361">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61">
        <f t="shared" si="127"/>
        <v>0</v>
      </c>
      <c r="AW283" s="1361">
        <f t="shared" si="128"/>
        <v>0</v>
      </c>
      <c r="AX283" s="1361">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61">
        <f t="shared" si="127"/>
        <v>0</v>
      </c>
      <c r="AW284" s="1361">
        <f t="shared" si="128"/>
        <v>0</v>
      </c>
      <c r="AX284" s="1361">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61">
        <f t="shared" si="127"/>
        <v>0</v>
      </c>
      <c r="AW285" s="1361">
        <f t="shared" si="128"/>
        <v>0</v>
      </c>
      <c r="AX285" s="1361">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61">
        <f t="shared" si="127"/>
        <v>0</v>
      </c>
      <c r="AW286" s="1361">
        <f t="shared" si="128"/>
        <v>0</v>
      </c>
      <c r="AX286" s="1361">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61">
        <f t="shared" si="127"/>
        <v>0</v>
      </c>
      <c r="AW287" s="1361">
        <f t="shared" si="128"/>
        <v>0</v>
      </c>
      <c r="AX287" s="1361">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61">
        <f t="shared" si="127"/>
        <v>0</v>
      </c>
      <c r="AW288" s="1361">
        <f t="shared" si="128"/>
        <v>0</v>
      </c>
      <c r="AX288" s="1361">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61">
        <f t="shared" si="127"/>
        <v>0</v>
      </c>
      <c r="AW289" s="1361">
        <f t="shared" si="128"/>
        <v>0</v>
      </c>
      <c r="AX289" s="1361">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61">
        <f t="shared" si="127"/>
        <v>0</v>
      </c>
      <c r="AW290" s="1361">
        <f t="shared" si="128"/>
        <v>0</v>
      </c>
      <c r="AX290" s="1361">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61">
        <f t="shared" si="127"/>
        <v>0</v>
      </c>
      <c r="AW291" s="1361">
        <f t="shared" si="128"/>
        <v>0</v>
      </c>
      <c r="AX291" s="1361">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61">
        <f t="shared" si="127"/>
        <v>0</v>
      </c>
      <c r="AW292" s="1361">
        <f t="shared" si="128"/>
        <v>0</v>
      </c>
      <c r="AX292" s="1361">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61">
        <f t="shared" si="127"/>
        <v>0</v>
      </c>
      <c r="AW293" s="1361">
        <f t="shared" si="128"/>
        <v>0</v>
      </c>
      <c r="AX293" s="1361">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61">
        <f t="shared" si="127"/>
        <v>0</v>
      </c>
      <c r="AW294" s="1361">
        <f t="shared" si="128"/>
        <v>0</v>
      </c>
      <c r="AX294" s="1361">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61">
        <f t="shared" si="127"/>
        <v>0</v>
      </c>
      <c r="AW295" s="1361">
        <f t="shared" si="128"/>
        <v>0</v>
      </c>
      <c r="AX295" s="1361">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61">
        <f t="shared" si="127"/>
        <v>0</v>
      </c>
      <c r="AW296" s="1361">
        <f t="shared" si="128"/>
        <v>0</v>
      </c>
      <c r="AX296" s="1361">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61">
        <f t="shared" si="127"/>
        <v>0</v>
      </c>
      <c r="AW297" s="1361">
        <f t="shared" si="128"/>
        <v>0</v>
      </c>
      <c r="AX297" s="1361">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61">
        <f t="shared" si="127"/>
        <v>0</v>
      </c>
      <c r="AW298" s="1361">
        <f t="shared" si="128"/>
        <v>0</v>
      </c>
      <c r="AX298" s="1361">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61">
        <f t="shared" si="127"/>
        <v>0</v>
      </c>
      <c r="AW299" s="1361">
        <f t="shared" si="128"/>
        <v>0</v>
      </c>
      <c r="AX299" s="1361">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61">
        <f t="shared" si="127"/>
        <v>0</v>
      </c>
      <c r="AW300" s="1361">
        <f t="shared" si="128"/>
        <v>0</v>
      </c>
      <c r="AX300" s="1361">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61">
        <f t="shared" si="127"/>
        <v>0</v>
      </c>
      <c r="AW301" s="1361">
        <f t="shared" si="128"/>
        <v>0</v>
      </c>
      <c r="AX301" s="1361">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61">
        <f t="shared" si="127"/>
        <v>0</v>
      </c>
      <c r="AW302" s="1361">
        <f t="shared" si="128"/>
        <v>0</v>
      </c>
      <c r="AX302" s="1361">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61">
        <f t="shared" ref="AV303:AV334" si="178">A303</f>
        <v>0</v>
      </c>
      <c r="AW303" s="1361">
        <f t="shared" ref="AW303:AW334" si="179">B303</f>
        <v>0</v>
      </c>
      <c r="AX303" s="1361">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61">
        <f t="shared" si="178"/>
        <v>0</v>
      </c>
      <c r="AW304" s="1361">
        <f t="shared" si="179"/>
        <v>0</v>
      </c>
      <c r="AX304" s="1361">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61">
        <f t="shared" si="178"/>
        <v>0</v>
      </c>
      <c r="AW305" s="1361">
        <f t="shared" si="179"/>
        <v>0</v>
      </c>
      <c r="AX305" s="1361">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61">
        <f t="shared" si="178"/>
        <v>0</v>
      </c>
      <c r="AW306" s="1361">
        <f t="shared" si="179"/>
        <v>0</v>
      </c>
      <c r="AX306" s="1361">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61">
        <f t="shared" si="178"/>
        <v>0</v>
      </c>
      <c r="AW307" s="1361">
        <f t="shared" si="179"/>
        <v>0</v>
      </c>
      <c r="AX307" s="1361">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61">
        <f t="shared" si="178"/>
        <v>0</v>
      </c>
      <c r="AW308" s="1361">
        <f t="shared" si="179"/>
        <v>0</v>
      </c>
      <c r="AX308" s="1361">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61">
        <f t="shared" si="178"/>
        <v>0</v>
      </c>
      <c r="AW309" s="1361">
        <f t="shared" si="179"/>
        <v>0</v>
      </c>
      <c r="AX309" s="1361">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61">
        <f t="shared" si="178"/>
        <v>0</v>
      </c>
      <c r="AW310" s="1361">
        <f t="shared" si="179"/>
        <v>0</v>
      </c>
      <c r="AX310" s="1361">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61">
        <f t="shared" si="178"/>
        <v>0</v>
      </c>
      <c r="AW311" s="1361">
        <f t="shared" si="179"/>
        <v>0</v>
      </c>
      <c r="AX311" s="1361">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61">
        <f t="shared" si="178"/>
        <v>0</v>
      </c>
      <c r="AW312" s="1361">
        <f t="shared" si="179"/>
        <v>0</v>
      </c>
      <c r="AX312" s="1361">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61">
        <f t="shared" si="178"/>
        <v>0</v>
      </c>
      <c r="AW313" s="1361">
        <f t="shared" si="179"/>
        <v>0</v>
      </c>
      <c r="AX313" s="1361">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61">
        <f t="shared" si="178"/>
        <v>0</v>
      </c>
      <c r="AW314" s="1361">
        <f t="shared" si="179"/>
        <v>0</v>
      </c>
      <c r="AX314" s="1361">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61">
        <f t="shared" si="178"/>
        <v>0</v>
      </c>
      <c r="AW315" s="1361">
        <f t="shared" si="179"/>
        <v>0</v>
      </c>
      <c r="AX315" s="1361">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61">
        <f t="shared" si="178"/>
        <v>0</v>
      </c>
      <c r="AW316" s="1361">
        <f t="shared" si="179"/>
        <v>0</v>
      </c>
      <c r="AX316" s="1361">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61">
        <f t="shared" si="178"/>
        <v>0</v>
      </c>
      <c r="AW317" s="1361">
        <f t="shared" si="179"/>
        <v>0</v>
      </c>
      <c r="AX317" s="1361">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61">
        <f t="shared" si="178"/>
        <v>0</v>
      </c>
      <c r="AW318" s="1361">
        <f t="shared" si="179"/>
        <v>0</v>
      </c>
      <c r="AX318" s="1361">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61">
        <f t="shared" si="178"/>
        <v>0</v>
      </c>
      <c r="AW319" s="1361">
        <f t="shared" si="179"/>
        <v>0</v>
      </c>
      <c r="AX319" s="1361">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61">
        <f t="shared" si="178"/>
        <v>0</v>
      </c>
      <c r="AW320" s="1361">
        <f t="shared" si="179"/>
        <v>0</v>
      </c>
      <c r="AX320" s="1361">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61">
        <f t="shared" si="178"/>
        <v>0</v>
      </c>
      <c r="AW321" s="1361">
        <f t="shared" si="179"/>
        <v>0</v>
      </c>
      <c r="AX321" s="1361">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61">
        <f t="shared" si="178"/>
        <v>0</v>
      </c>
      <c r="AW322" s="1361">
        <f t="shared" si="179"/>
        <v>0</v>
      </c>
      <c r="AX322" s="1361">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61">
        <f t="shared" si="178"/>
        <v>0</v>
      </c>
      <c r="AW323" s="1361">
        <f t="shared" si="179"/>
        <v>0</v>
      </c>
      <c r="AX323" s="1361">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61">
        <f t="shared" si="178"/>
        <v>0</v>
      </c>
      <c r="AW324" s="1361">
        <f t="shared" si="179"/>
        <v>0</v>
      </c>
      <c r="AX324" s="1361">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61">
        <f t="shared" si="178"/>
        <v>0</v>
      </c>
      <c r="AW325" s="1361">
        <f t="shared" si="179"/>
        <v>0</v>
      </c>
      <c r="AX325" s="1361">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61">
        <f t="shared" si="178"/>
        <v>0</v>
      </c>
      <c r="AW326" s="1361">
        <f t="shared" si="179"/>
        <v>0</v>
      </c>
      <c r="AX326" s="1361">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61">
        <f t="shared" si="178"/>
        <v>0</v>
      </c>
      <c r="AW327" s="1361">
        <f t="shared" si="179"/>
        <v>0</v>
      </c>
      <c r="AX327" s="1361">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61">
        <f t="shared" si="178"/>
        <v>0</v>
      </c>
      <c r="AW328" s="1361">
        <f t="shared" si="179"/>
        <v>0</v>
      </c>
      <c r="AX328" s="1361">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61">
        <f t="shared" si="178"/>
        <v>0</v>
      </c>
      <c r="AW329" s="1361">
        <f t="shared" si="179"/>
        <v>0</v>
      </c>
      <c r="AX329" s="1361">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61">
        <f t="shared" si="178"/>
        <v>0</v>
      </c>
      <c r="AW330" s="1361">
        <f t="shared" si="179"/>
        <v>0</v>
      </c>
      <c r="AX330" s="1361">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61">
        <f t="shared" si="178"/>
        <v>0</v>
      </c>
      <c r="AW331" s="1361">
        <f t="shared" si="179"/>
        <v>0</v>
      </c>
      <c r="AX331" s="1361">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61">
        <f t="shared" si="178"/>
        <v>0</v>
      </c>
      <c r="AW332" s="1361">
        <f t="shared" si="179"/>
        <v>0</v>
      </c>
      <c r="AX332" s="1361">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61">
        <f t="shared" si="178"/>
        <v>0</v>
      </c>
      <c r="AW333" s="1361">
        <f t="shared" si="179"/>
        <v>0</v>
      </c>
      <c r="AX333" s="1361">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61">
        <f t="shared" si="178"/>
        <v>0</v>
      </c>
      <c r="AW334" s="1361">
        <f t="shared" si="179"/>
        <v>0</v>
      </c>
      <c r="AX334" s="1361">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61">
        <f t="shared" ref="AV335:AV366" si="207">A335</f>
        <v>0</v>
      </c>
      <c r="AW335" s="1361">
        <f t="shared" ref="AW335:AW366" si="208">B335</f>
        <v>0</v>
      </c>
      <c r="AX335" s="1361">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61">
        <f t="shared" si="207"/>
        <v>0</v>
      </c>
      <c r="AW336" s="1361">
        <f t="shared" si="208"/>
        <v>0</v>
      </c>
      <c r="AX336" s="1361">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61">
        <f t="shared" si="207"/>
        <v>0</v>
      </c>
      <c r="AW337" s="1361">
        <f t="shared" si="208"/>
        <v>0</v>
      </c>
      <c r="AX337" s="1361">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61">
        <f t="shared" si="207"/>
        <v>0</v>
      </c>
      <c r="AW338" s="1361">
        <f t="shared" si="208"/>
        <v>0</v>
      </c>
      <c r="AX338" s="1361">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61">
        <f t="shared" si="207"/>
        <v>0</v>
      </c>
      <c r="AW339" s="1361">
        <f t="shared" si="208"/>
        <v>0</v>
      </c>
      <c r="AX339" s="1361">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61">
        <f t="shared" si="207"/>
        <v>0</v>
      </c>
      <c r="AW340" s="1361">
        <f t="shared" si="208"/>
        <v>0</v>
      </c>
      <c r="AX340" s="1361">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61">
        <f t="shared" si="207"/>
        <v>0</v>
      </c>
      <c r="AW341" s="1361">
        <f t="shared" si="208"/>
        <v>0</v>
      </c>
      <c r="AX341" s="1361">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61">
        <f t="shared" si="207"/>
        <v>0</v>
      </c>
      <c r="AW342" s="1361">
        <f t="shared" si="208"/>
        <v>0</v>
      </c>
      <c r="AX342" s="1361">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61">
        <f t="shared" si="207"/>
        <v>0</v>
      </c>
      <c r="AW343" s="1361">
        <f t="shared" si="208"/>
        <v>0</v>
      </c>
      <c r="AX343" s="1361">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61">
        <f t="shared" si="207"/>
        <v>0</v>
      </c>
      <c r="AW344" s="1361">
        <f t="shared" si="208"/>
        <v>0</v>
      </c>
      <c r="AX344" s="1361">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61">
        <f t="shared" si="207"/>
        <v>0</v>
      </c>
      <c r="AW345" s="1361">
        <f t="shared" si="208"/>
        <v>0</v>
      </c>
      <c r="AX345" s="1361">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61">
        <f t="shared" si="207"/>
        <v>0</v>
      </c>
      <c r="AW346" s="1361">
        <f t="shared" si="208"/>
        <v>0</v>
      </c>
      <c r="AX346" s="1361">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61">
        <f t="shared" si="207"/>
        <v>0</v>
      </c>
      <c r="AW347" s="1361">
        <f t="shared" si="208"/>
        <v>0</v>
      </c>
      <c r="AX347" s="1361">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61">
        <f t="shared" si="207"/>
        <v>0</v>
      </c>
      <c r="AW348" s="1361">
        <f t="shared" si="208"/>
        <v>0</v>
      </c>
      <c r="AX348" s="1361">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61">
        <f t="shared" si="207"/>
        <v>0</v>
      </c>
      <c r="AW349" s="1361">
        <f t="shared" si="208"/>
        <v>0</v>
      </c>
      <c r="AX349" s="1361">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61">
        <f t="shared" si="207"/>
        <v>0</v>
      </c>
      <c r="AW350" s="1361">
        <f t="shared" si="208"/>
        <v>0</v>
      </c>
      <c r="AX350" s="1361">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61">
        <f t="shared" si="207"/>
        <v>0</v>
      </c>
      <c r="AW351" s="1361">
        <f t="shared" si="208"/>
        <v>0</v>
      </c>
      <c r="AX351" s="1361">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61">
        <f t="shared" si="207"/>
        <v>0</v>
      </c>
      <c r="AW352" s="1361">
        <f t="shared" si="208"/>
        <v>0</v>
      </c>
      <c r="AX352" s="1361">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61">
        <f t="shared" si="207"/>
        <v>0</v>
      </c>
      <c r="AW353" s="1361">
        <f t="shared" si="208"/>
        <v>0</v>
      </c>
      <c r="AX353" s="1361">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61">
        <f t="shared" si="207"/>
        <v>0</v>
      </c>
      <c r="AW354" s="1361">
        <f t="shared" si="208"/>
        <v>0</v>
      </c>
      <c r="AX354" s="1361">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61">
        <f t="shared" si="207"/>
        <v>0</v>
      </c>
      <c r="AW355" s="1361">
        <f t="shared" si="208"/>
        <v>0</v>
      </c>
      <c r="AX355" s="1361">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61">
        <f t="shared" si="207"/>
        <v>0</v>
      </c>
      <c r="AW356" s="1361">
        <f t="shared" si="208"/>
        <v>0</v>
      </c>
      <c r="AX356" s="1361">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61">
        <f t="shared" si="207"/>
        <v>0</v>
      </c>
      <c r="AW357" s="1361">
        <f t="shared" si="208"/>
        <v>0</v>
      </c>
      <c r="AX357" s="1361">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61">
        <f t="shared" si="207"/>
        <v>0</v>
      </c>
      <c r="AW358" s="1361">
        <f t="shared" si="208"/>
        <v>0</v>
      </c>
      <c r="AX358" s="1361">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61">
        <f t="shared" si="207"/>
        <v>0</v>
      </c>
      <c r="AW359" s="1361">
        <f t="shared" si="208"/>
        <v>0</v>
      </c>
      <c r="AX359" s="1361">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61">
        <f t="shared" si="207"/>
        <v>0</v>
      </c>
      <c r="AW360" s="1361">
        <f t="shared" si="208"/>
        <v>0</v>
      </c>
      <c r="AX360" s="1361">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61">
        <f t="shared" si="207"/>
        <v>0</v>
      </c>
      <c r="AW361" s="1361">
        <f t="shared" si="208"/>
        <v>0</v>
      </c>
      <c r="AX361" s="1361">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61">
        <f t="shared" si="207"/>
        <v>0</v>
      </c>
      <c r="AW362" s="1361">
        <f t="shared" si="208"/>
        <v>0</v>
      </c>
      <c r="AX362" s="1361">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61">
        <f t="shared" si="207"/>
        <v>0</v>
      </c>
      <c r="AW363" s="1361">
        <f t="shared" si="208"/>
        <v>0</v>
      </c>
      <c r="AX363" s="1361">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61">
        <f t="shared" si="207"/>
        <v>0</v>
      </c>
      <c r="AW364" s="1361">
        <f t="shared" si="208"/>
        <v>0</v>
      </c>
      <c r="AX364" s="1361">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61">
        <f t="shared" si="207"/>
        <v>0</v>
      </c>
      <c r="AW365" s="1361">
        <f t="shared" si="208"/>
        <v>0</v>
      </c>
      <c r="AX365" s="1361">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61">
        <f t="shared" si="207"/>
        <v>0</v>
      </c>
      <c r="AW366" s="1361">
        <f t="shared" si="208"/>
        <v>0</v>
      </c>
      <c r="AX366" s="1361">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61">
        <f t="shared" ref="AV367:AV397" si="236">A367</f>
        <v>0</v>
      </c>
      <c r="AW367" s="1361">
        <f t="shared" ref="AW367:AW397" si="237">B367</f>
        <v>0</v>
      </c>
      <c r="AX367" s="1361">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61">
        <f t="shared" si="236"/>
        <v>0</v>
      </c>
      <c r="AW368" s="1361">
        <f t="shared" si="237"/>
        <v>0</v>
      </c>
      <c r="AX368" s="1361">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61">
        <f t="shared" si="236"/>
        <v>0</v>
      </c>
      <c r="AW369" s="1361">
        <f t="shared" si="237"/>
        <v>0</v>
      </c>
      <c r="AX369" s="1361">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61">
        <f t="shared" si="236"/>
        <v>0</v>
      </c>
      <c r="AW370" s="1361">
        <f t="shared" si="237"/>
        <v>0</v>
      </c>
      <c r="AX370" s="1361">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61">
        <f t="shared" si="236"/>
        <v>0</v>
      </c>
      <c r="AW371" s="1361">
        <f t="shared" si="237"/>
        <v>0</v>
      </c>
      <c r="AX371" s="1361">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61">
        <f t="shared" si="236"/>
        <v>0</v>
      </c>
      <c r="AW372" s="1361">
        <f t="shared" si="237"/>
        <v>0</v>
      </c>
      <c r="AX372" s="1361">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61">
        <f t="shared" si="236"/>
        <v>0</v>
      </c>
      <c r="AW373" s="1361">
        <f t="shared" si="237"/>
        <v>0</v>
      </c>
      <c r="AX373" s="1361">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61">
        <f t="shared" si="236"/>
        <v>0</v>
      </c>
      <c r="AW374" s="1361">
        <f t="shared" si="237"/>
        <v>0</v>
      </c>
      <c r="AX374" s="1361">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61">
        <f t="shared" si="236"/>
        <v>0</v>
      </c>
      <c r="AW375" s="1361">
        <f t="shared" si="237"/>
        <v>0</v>
      </c>
      <c r="AX375" s="1361">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61">
        <f t="shared" si="236"/>
        <v>0</v>
      </c>
      <c r="AW376" s="1361">
        <f t="shared" si="237"/>
        <v>0</v>
      </c>
      <c r="AX376" s="1361">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61">
        <f t="shared" si="236"/>
        <v>0</v>
      </c>
      <c r="AW377" s="1361">
        <f t="shared" si="237"/>
        <v>0</v>
      </c>
      <c r="AX377" s="1361">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61">
        <f t="shared" si="236"/>
        <v>0</v>
      </c>
      <c r="AW378" s="1361">
        <f t="shared" si="237"/>
        <v>0</v>
      </c>
      <c r="AX378" s="1361">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61">
        <f t="shared" si="236"/>
        <v>0</v>
      </c>
      <c r="AW379" s="1361">
        <f t="shared" si="237"/>
        <v>0</v>
      </c>
      <c r="AX379" s="1361">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61">
        <f t="shared" si="236"/>
        <v>0</v>
      </c>
      <c r="AW380" s="1361">
        <f t="shared" si="237"/>
        <v>0</v>
      </c>
      <c r="AX380" s="1361">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61">
        <f t="shared" si="236"/>
        <v>0</v>
      </c>
      <c r="AW381" s="1361">
        <f t="shared" si="237"/>
        <v>0</v>
      </c>
      <c r="AX381" s="1361">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61">
        <f t="shared" si="236"/>
        <v>0</v>
      </c>
      <c r="AW382" s="1361">
        <f t="shared" si="237"/>
        <v>0</v>
      </c>
      <c r="AX382" s="1361">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61">
        <f t="shared" si="236"/>
        <v>0</v>
      </c>
      <c r="AW383" s="1361">
        <f t="shared" si="237"/>
        <v>0</v>
      </c>
      <c r="AX383" s="1361">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61">
        <f t="shared" si="236"/>
        <v>0</v>
      </c>
      <c r="AW384" s="1361">
        <f t="shared" si="237"/>
        <v>0</v>
      </c>
      <c r="AX384" s="1361">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61">
        <f t="shared" si="236"/>
        <v>0</v>
      </c>
      <c r="AW385" s="1361">
        <f t="shared" si="237"/>
        <v>0</v>
      </c>
      <c r="AX385" s="1361">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61">
        <f t="shared" si="236"/>
        <v>0</v>
      </c>
      <c r="AW386" s="1361">
        <f t="shared" si="237"/>
        <v>0</v>
      </c>
      <c r="AX386" s="1361">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61">
        <f t="shared" si="236"/>
        <v>0</v>
      </c>
      <c r="AW387" s="1361">
        <f t="shared" si="237"/>
        <v>0</v>
      </c>
      <c r="AX387" s="1361">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61">
        <f t="shared" si="236"/>
        <v>0</v>
      </c>
      <c r="AW388" s="1361">
        <f t="shared" si="237"/>
        <v>0</v>
      </c>
      <c r="AX388" s="1361">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61">
        <f t="shared" si="236"/>
        <v>0</v>
      </c>
      <c r="AW389" s="1361">
        <f t="shared" si="237"/>
        <v>0</v>
      </c>
      <c r="AX389" s="1361">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61">
        <f t="shared" si="236"/>
        <v>0</v>
      </c>
      <c r="AW390" s="1361">
        <f t="shared" si="237"/>
        <v>0</v>
      </c>
      <c r="AX390" s="1361">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61">
        <f t="shared" si="236"/>
        <v>0</v>
      </c>
      <c r="AW391" s="1361">
        <f t="shared" si="237"/>
        <v>0</v>
      </c>
      <c r="AX391" s="1361">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61">
        <f t="shared" si="236"/>
        <v>0</v>
      </c>
      <c r="AW392" s="1361">
        <f t="shared" si="237"/>
        <v>0</v>
      </c>
      <c r="AX392" s="1361">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61">
        <f t="shared" si="236"/>
        <v>0</v>
      </c>
      <c r="AW393" s="1361">
        <f t="shared" si="237"/>
        <v>0</v>
      </c>
      <c r="AX393" s="1361">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61">
        <f t="shared" si="236"/>
        <v>0</v>
      </c>
      <c r="AW394" s="1361">
        <f t="shared" si="237"/>
        <v>0</v>
      </c>
      <c r="AX394" s="1361">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61">
        <f t="shared" si="236"/>
        <v>0</v>
      </c>
      <c r="AW395" s="1361">
        <f t="shared" si="237"/>
        <v>0</v>
      </c>
      <c r="AX395" s="1361">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61">
        <f t="shared" si="236"/>
        <v>0</v>
      </c>
      <c r="AW396" s="1361">
        <f t="shared" si="237"/>
        <v>0</v>
      </c>
      <c r="AX396" s="1361">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61">
        <f t="shared" si="236"/>
        <v>0</v>
      </c>
      <c r="AW397" s="1361">
        <f t="shared" si="237"/>
        <v>0</v>
      </c>
      <c r="AX397" s="1361">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61">
        <f t="shared" ref="AV398:AV492" si="243">A398</f>
        <v>0</v>
      </c>
      <c r="AW398" s="1361">
        <f t="shared" ref="AW398:AW492" si="244">B398</f>
        <v>0</v>
      </c>
      <c r="AX398" s="1361">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61">
        <f t="shared" si="243"/>
        <v>0</v>
      </c>
      <c r="AW399" s="1361">
        <f t="shared" si="244"/>
        <v>0</v>
      </c>
      <c r="AX399" s="1361">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61">
        <f t="shared" si="243"/>
        <v>0</v>
      </c>
      <c r="AW400" s="1361">
        <f t="shared" si="244"/>
        <v>0</v>
      </c>
      <c r="AX400" s="1361">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61">
        <f t="shared" si="243"/>
        <v>0</v>
      </c>
      <c r="AW401" s="1361">
        <f t="shared" si="244"/>
        <v>0</v>
      </c>
      <c r="AX401" s="1361">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61">
        <f t="shared" si="243"/>
        <v>0</v>
      </c>
      <c r="AW402" s="1361">
        <f t="shared" si="244"/>
        <v>0</v>
      </c>
      <c r="AX402" s="1361">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61">
        <f t="shared" si="243"/>
        <v>0</v>
      </c>
      <c r="AW403" s="1361">
        <f t="shared" si="244"/>
        <v>0</v>
      </c>
      <c r="AX403" s="1361">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61">
        <f t="shared" si="243"/>
        <v>0</v>
      </c>
      <c r="AW404" s="1361">
        <f t="shared" si="244"/>
        <v>0</v>
      </c>
      <c r="AX404" s="1361">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61">
        <f t="shared" si="243"/>
        <v>0</v>
      </c>
      <c r="AW405" s="1361">
        <f t="shared" si="244"/>
        <v>0</v>
      </c>
      <c r="AX405" s="1361">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61">
        <f t="shared" si="243"/>
        <v>0</v>
      </c>
      <c r="AW406" s="1361">
        <f t="shared" si="244"/>
        <v>0</v>
      </c>
      <c r="AX406" s="1361">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61">
        <f t="shared" si="243"/>
        <v>0</v>
      </c>
      <c r="AW407" s="1361">
        <f t="shared" si="244"/>
        <v>0</v>
      </c>
      <c r="AX407" s="1361">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61">
        <f t="shared" si="243"/>
        <v>0</v>
      </c>
      <c r="AW408" s="1361">
        <f t="shared" si="244"/>
        <v>0</v>
      </c>
      <c r="AX408" s="1361">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61">
        <f t="shared" si="243"/>
        <v>0</v>
      </c>
      <c r="AW409" s="1361">
        <f t="shared" si="244"/>
        <v>0</v>
      </c>
      <c r="AX409" s="1361">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61">
        <f t="shared" si="243"/>
        <v>0</v>
      </c>
      <c r="AW410" s="1361">
        <f t="shared" si="244"/>
        <v>0</v>
      </c>
      <c r="AX410" s="1361">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61">
        <f t="shared" si="243"/>
        <v>0</v>
      </c>
      <c r="AW411" s="1361">
        <f t="shared" si="244"/>
        <v>0</v>
      </c>
      <c r="AX411" s="1361">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61">
        <f t="shared" si="243"/>
        <v>0</v>
      </c>
      <c r="AW412" s="1361">
        <f t="shared" si="244"/>
        <v>0</v>
      </c>
      <c r="AX412" s="1361">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61">
        <f t="shared" si="243"/>
        <v>0</v>
      </c>
      <c r="AW413" s="1361">
        <f t="shared" si="244"/>
        <v>0</v>
      </c>
      <c r="AX413" s="1361">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61">
        <f t="shared" si="243"/>
        <v>0</v>
      </c>
      <c r="AW414" s="1361">
        <f t="shared" si="244"/>
        <v>0</v>
      </c>
      <c r="AX414" s="1361">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61">
        <f t="shared" si="243"/>
        <v>0</v>
      </c>
      <c r="AW415" s="1361">
        <f t="shared" si="244"/>
        <v>0</v>
      </c>
      <c r="AX415" s="1361">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61">
        <f t="shared" si="243"/>
        <v>0</v>
      </c>
      <c r="AW416" s="1361">
        <f t="shared" si="244"/>
        <v>0</v>
      </c>
      <c r="AX416" s="1361">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61">
        <f t="shared" si="243"/>
        <v>0</v>
      </c>
      <c r="AW417" s="1361">
        <f t="shared" si="244"/>
        <v>0</v>
      </c>
      <c r="AX417" s="1361">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61">
        <f t="shared" si="243"/>
        <v>0</v>
      </c>
      <c r="AW418" s="1361">
        <f t="shared" si="244"/>
        <v>0</v>
      </c>
      <c r="AX418" s="1361">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61">
        <f t="shared" si="243"/>
        <v>0</v>
      </c>
      <c r="AW419" s="1361">
        <f t="shared" si="244"/>
        <v>0</v>
      </c>
      <c r="AX419" s="1361">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61">
        <f t="shared" si="243"/>
        <v>0</v>
      </c>
      <c r="AW420" s="1361">
        <f t="shared" si="244"/>
        <v>0</v>
      </c>
      <c r="AX420" s="1361">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61">
        <f t="shared" si="243"/>
        <v>0</v>
      </c>
      <c r="AW421" s="1361">
        <f t="shared" si="244"/>
        <v>0</v>
      </c>
      <c r="AX421" s="1361">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61">
        <f t="shared" si="243"/>
        <v>0</v>
      </c>
      <c r="AW422" s="1361">
        <f t="shared" si="244"/>
        <v>0</v>
      </c>
      <c r="AX422" s="1361">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61">
        <f t="shared" si="243"/>
        <v>0</v>
      </c>
      <c r="AW423" s="1361">
        <f t="shared" si="244"/>
        <v>0</v>
      </c>
      <c r="AX423" s="1361">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61">
        <f t="shared" si="243"/>
        <v>0</v>
      </c>
      <c r="AW424" s="1361">
        <f t="shared" si="244"/>
        <v>0</v>
      </c>
      <c r="AX424" s="1361">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61">
        <f t="shared" si="243"/>
        <v>0</v>
      </c>
      <c r="AW425" s="1361">
        <f t="shared" si="244"/>
        <v>0</v>
      </c>
      <c r="AX425" s="1361">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61">
        <f t="shared" si="243"/>
        <v>0</v>
      </c>
      <c r="AW426" s="1361">
        <f t="shared" si="244"/>
        <v>0</v>
      </c>
      <c r="AX426" s="1361">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61">
        <f t="shared" si="243"/>
        <v>0</v>
      </c>
      <c r="AW427" s="1361">
        <f t="shared" si="244"/>
        <v>0</v>
      </c>
      <c r="AX427" s="1361">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61">
        <f t="shared" si="243"/>
        <v>0</v>
      </c>
      <c r="AW428" s="1361">
        <f t="shared" si="244"/>
        <v>0</v>
      </c>
      <c r="AX428" s="1361">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61">
        <f t="shared" si="243"/>
        <v>0</v>
      </c>
      <c r="AW429" s="1361">
        <f t="shared" si="244"/>
        <v>0</v>
      </c>
      <c r="AX429" s="1361">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61">
        <f t="shared" si="243"/>
        <v>0</v>
      </c>
      <c r="AW430" s="1361">
        <f t="shared" si="244"/>
        <v>0</v>
      </c>
      <c r="AX430" s="1361">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61">
        <f t="shared" si="243"/>
        <v>0</v>
      </c>
      <c r="AW431" s="1361">
        <f t="shared" si="244"/>
        <v>0</v>
      </c>
      <c r="AX431" s="1361">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61">
        <f t="shared" si="243"/>
        <v>0</v>
      </c>
      <c r="AW432" s="1361">
        <f t="shared" si="244"/>
        <v>0</v>
      </c>
      <c r="AX432" s="1361">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61">
        <f t="shared" si="243"/>
        <v>0</v>
      </c>
      <c r="AW433" s="1361">
        <f t="shared" si="244"/>
        <v>0</v>
      </c>
      <c r="AX433" s="1361">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61">
        <f t="shared" si="243"/>
        <v>0</v>
      </c>
      <c r="AW434" s="1361">
        <f t="shared" si="244"/>
        <v>0</v>
      </c>
      <c r="AX434" s="1361">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61">
        <f t="shared" si="243"/>
        <v>0</v>
      </c>
      <c r="AW435" s="1361">
        <f t="shared" si="244"/>
        <v>0</v>
      </c>
      <c r="AX435" s="1361">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61">
        <f t="shared" si="243"/>
        <v>0</v>
      </c>
      <c r="AW436" s="1361">
        <f t="shared" si="244"/>
        <v>0</v>
      </c>
      <c r="AX436" s="1361">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61">
        <f t="shared" si="243"/>
        <v>0</v>
      </c>
      <c r="AW437" s="1361">
        <f t="shared" si="244"/>
        <v>0</v>
      </c>
      <c r="AX437" s="1361">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61">
        <f t="shared" si="243"/>
        <v>0</v>
      </c>
      <c r="AW438" s="1361">
        <f t="shared" si="244"/>
        <v>0</v>
      </c>
      <c r="AX438" s="1361">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61">
        <f t="shared" si="243"/>
        <v>0</v>
      </c>
      <c r="AW439" s="1361">
        <f t="shared" si="244"/>
        <v>0</v>
      </c>
      <c r="AX439" s="1361">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61">
        <f t="shared" si="243"/>
        <v>0</v>
      </c>
      <c r="AW440" s="1361">
        <f t="shared" si="244"/>
        <v>0</v>
      </c>
      <c r="AX440" s="1361">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61">
        <f t="shared" si="243"/>
        <v>0</v>
      </c>
      <c r="AW441" s="1361">
        <f t="shared" si="244"/>
        <v>0</v>
      </c>
      <c r="AX441" s="1361">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61">
        <f t="shared" si="243"/>
        <v>0</v>
      </c>
      <c r="AW442" s="1361">
        <f t="shared" si="244"/>
        <v>0</v>
      </c>
      <c r="AX442" s="1361">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61">
        <f t="shared" si="243"/>
        <v>0</v>
      </c>
      <c r="AW443" s="1361">
        <f t="shared" si="244"/>
        <v>0</v>
      </c>
      <c r="AX443" s="1361">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61">
        <f t="shared" si="243"/>
        <v>0</v>
      </c>
      <c r="AW444" s="1361">
        <f t="shared" si="244"/>
        <v>0</v>
      </c>
      <c r="AX444" s="1361">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61">
        <f t="shared" si="243"/>
        <v>0</v>
      </c>
      <c r="AW445" s="1361">
        <f t="shared" si="244"/>
        <v>0</v>
      </c>
      <c r="AX445" s="1361">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61">
        <f t="shared" si="243"/>
        <v>0</v>
      </c>
      <c r="AW446" s="1361">
        <f t="shared" si="244"/>
        <v>0</v>
      </c>
      <c r="AX446" s="1361">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61">
        <f t="shared" si="243"/>
        <v>0</v>
      </c>
      <c r="AW447" s="1361">
        <f t="shared" si="244"/>
        <v>0</v>
      </c>
      <c r="AX447" s="1361">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61">
        <f t="shared" si="243"/>
        <v>0</v>
      </c>
      <c r="AW448" s="1361">
        <f t="shared" si="244"/>
        <v>0</v>
      </c>
      <c r="AX448" s="1361">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61">
        <f t="shared" si="243"/>
        <v>0</v>
      </c>
      <c r="AW449" s="1361">
        <f t="shared" si="244"/>
        <v>0</v>
      </c>
      <c r="AX449" s="1361">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61">
        <f t="shared" si="243"/>
        <v>0</v>
      </c>
      <c r="AW450" s="1361">
        <f t="shared" si="244"/>
        <v>0</v>
      </c>
      <c r="AX450" s="1361">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61">
        <f t="shared" si="243"/>
        <v>0</v>
      </c>
      <c r="AW451" s="1361">
        <f t="shared" si="244"/>
        <v>0</v>
      </c>
      <c r="AX451" s="1361">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61">
        <f t="shared" si="243"/>
        <v>0</v>
      </c>
      <c r="AW452" s="1361">
        <f t="shared" si="244"/>
        <v>0</v>
      </c>
      <c r="AX452" s="1361">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61">
        <f t="shared" si="243"/>
        <v>0</v>
      </c>
      <c r="AW453" s="1361">
        <f t="shared" si="244"/>
        <v>0</v>
      </c>
      <c r="AX453" s="1361">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61">
        <f t="shared" si="243"/>
        <v>0</v>
      </c>
      <c r="AW454" s="1361">
        <f t="shared" si="244"/>
        <v>0</v>
      </c>
      <c r="AX454" s="1361">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61">
        <f t="shared" si="243"/>
        <v>0</v>
      </c>
      <c r="AW455" s="1361">
        <f t="shared" si="244"/>
        <v>0</v>
      </c>
      <c r="AX455" s="1361">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61">
        <f t="shared" si="243"/>
        <v>0</v>
      </c>
      <c r="AW456" s="1361">
        <f t="shared" si="244"/>
        <v>0</v>
      </c>
      <c r="AX456" s="1361">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61">
        <f t="shared" si="243"/>
        <v>0</v>
      </c>
      <c r="AW457" s="1361">
        <f t="shared" si="244"/>
        <v>0</v>
      </c>
      <c r="AX457" s="1361">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61">
        <f t="shared" si="243"/>
        <v>0</v>
      </c>
      <c r="AW458" s="1361">
        <f t="shared" si="244"/>
        <v>0</v>
      </c>
      <c r="AX458" s="1361">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61">
        <f t="shared" si="243"/>
        <v>0</v>
      </c>
      <c r="AW459" s="1361">
        <f t="shared" si="244"/>
        <v>0</v>
      </c>
      <c r="AX459" s="1361">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61">
        <f t="shared" si="243"/>
        <v>0</v>
      </c>
      <c r="AW460" s="1361">
        <f t="shared" si="244"/>
        <v>0</v>
      </c>
      <c r="AX460" s="1361">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61">
        <f t="shared" si="243"/>
        <v>0</v>
      </c>
      <c r="AW461" s="1361">
        <f t="shared" si="244"/>
        <v>0</v>
      </c>
      <c r="AX461" s="1361">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61">
        <f t="shared" si="243"/>
        <v>0</v>
      </c>
      <c r="AW462" s="1361">
        <f t="shared" si="244"/>
        <v>0</v>
      </c>
      <c r="AX462" s="1361">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61">
        <f t="shared" si="243"/>
        <v>0</v>
      </c>
      <c r="AW463" s="1361">
        <f t="shared" si="244"/>
        <v>0</v>
      </c>
      <c r="AX463" s="1361">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61">
        <f t="shared" si="243"/>
        <v>0</v>
      </c>
      <c r="AW464" s="1361">
        <f t="shared" si="244"/>
        <v>0</v>
      </c>
      <c r="AX464" s="1361">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61">
        <f t="shared" si="243"/>
        <v>0</v>
      </c>
      <c r="AW465" s="1361">
        <f t="shared" si="244"/>
        <v>0</v>
      </c>
      <c r="AX465" s="1361">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61">
        <f t="shared" si="243"/>
        <v>0</v>
      </c>
      <c r="AW466" s="1361">
        <f t="shared" si="244"/>
        <v>0</v>
      </c>
      <c r="AX466" s="1361">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61">
        <f t="shared" si="243"/>
        <v>0</v>
      </c>
      <c r="AW467" s="1361">
        <f t="shared" si="244"/>
        <v>0</v>
      </c>
      <c r="AX467" s="1361">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61">
        <f t="shared" si="243"/>
        <v>0</v>
      </c>
      <c r="AW468" s="1361">
        <f t="shared" si="244"/>
        <v>0</v>
      </c>
      <c r="AX468" s="1361">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61">
        <f t="shared" si="243"/>
        <v>0</v>
      </c>
      <c r="AW469" s="1361">
        <f t="shared" si="244"/>
        <v>0</v>
      </c>
      <c r="AX469" s="1361">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61">
        <f t="shared" si="243"/>
        <v>0</v>
      </c>
      <c r="AW470" s="1361">
        <f t="shared" si="244"/>
        <v>0</v>
      </c>
      <c r="AX470" s="1361">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61">
        <f t="shared" si="243"/>
        <v>0</v>
      </c>
      <c r="AW471" s="1361">
        <f t="shared" si="244"/>
        <v>0</v>
      </c>
      <c r="AX471" s="1361">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61">
        <f t="shared" si="243"/>
        <v>0</v>
      </c>
      <c r="AW472" s="1361">
        <f t="shared" si="244"/>
        <v>0</v>
      </c>
      <c r="AX472" s="1361">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61">
        <f t="shared" si="243"/>
        <v>0</v>
      </c>
      <c r="AW473" s="1361">
        <f t="shared" si="244"/>
        <v>0</v>
      </c>
      <c r="AX473" s="1361">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61">
        <f t="shared" si="243"/>
        <v>0</v>
      </c>
      <c r="AW474" s="1361">
        <f t="shared" si="244"/>
        <v>0</v>
      </c>
      <c r="AX474" s="1361">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61">
        <f t="shared" si="243"/>
        <v>0</v>
      </c>
      <c r="AW475" s="1361">
        <f t="shared" si="244"/>
        <v>0</v>
      </c>
      <c r="AX475" s="1361">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61">
        <f t="shared" si="243"/>
        <v>0</v>
      </c>
      <c r="AW476" s="1361">
        <f t="shared" si="244"/>
        <v>0</v>
      </c>
      <c r="AX476" s="1361">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61">
        <f t="shared" si="243"/>
        <v>0</v>
      </c>
      <c r="AW477" s="1361">
        <f t="shared" si="244"/>
        <v>0</v>
      </c>
      <c r="AX477" s="1361">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61">
        <f t="shared" si="243"/>
        <v>0</v>
      </c>
      <c r="AW478" s="1361">
        <f t="shared" si="244"/>
        <v>0</v>
      </c>
      <c r="AX478" s="1361">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61">
        <f t="shared" si="243"/>
        <v>0</v>
      </c>
      <c r="AW479" s="1361">
        <f t="shared" si="244"/>
        <v>0</v>
      </c>
      <c r="AX479" s="1361">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61">
        <f t="shared" si="243"/>
        <v>0</v>
      </c>
      <c r="AW480" s="1361">
        <f t="shared" si="244"/>
        <v>0</v>
      </c>
      <c r="AX480" s="1361">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61">
        <f t="shared" si="243"/>
        <v>0</v>
      </c>
      <c r="AW481" s="1361">
        <f t="shared" si="244"/>
        <v>0</v>
      </c>
      <c r="AX481" s="1361">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61">
        <f t="shared" si="243"/>
        <v>0</v>
      </c>
      <c r="AW482" s="1361">
        <f t="shared" si="244"/>
        <v>0</v>
      </c>
      <c r="AX482" s="1361">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61">
        <f t="shared" si="243"/>
        <v>0</v>
      </c>
      <c r="AW483" s="1361">
        <f t="shared" si="244"/>
        <v>0</v>
      </c>
      <c r="AX483" s="1361">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61">
        <f t="shared" si="243"/>
        <v>0</v>
      </c>
      <c r="AW484" s="1361">
        <f t="shared" si="244"/>
        <v>0</v>
      </c>
      <c r="AX484" s="1361">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61">
        <f t="shared" si="243"/>
        <v>0</v>
      </c>
      <c r="AW485" s="1361">
        <f t="shared" si="244"/>
        <v>0</v>
      </c>
      <c r="AX485" s="1361">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61">
        <f t="shared" si="243"/>
        <v>0</v>
      </c>
      <c r="AW486" s="1361">
        <f t="shared" si="244"/>
        <v>0</v>
      </c>
      <c r="AX486" s="1361">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61">
        <f t="shared" si="243"/>
        <v>0</v>
      </c>
      <c r="AW487" s="1361">
        <f t="shared" si="244"/>
        <v>0</v>
      </c>
      <c r="AX487" s="1361">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61">
        <f t="shared" si="243"/>
        <v>0</v>
      </c>
      <c r="AW488" s="1361">
        <f t="shared" si="244"/>
        <v>0</v>
      </c>
      <c r="AX488" s="1361">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61">
        <f t="shared" si="243"/>
        <v>0</v>
      </c>
      <c r="AW489" s="1361">
        <f t="shared" si="244"/>
        <v>0</v>
      </c>
      <c r="AX489" s="1361">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61">
        <f t="shared" si="243"/>
        <v>0</v>
      </c>
      <c r="AW490" s="1361">
        <f t="shared" si="244"/>
        <v>0</v>
      </c>
      <c r="AX490" s="1361">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61">
        <f t="shared" si="243"/>
        <v>0</v>
      </c>
      <c r="AW491" s="1361">
        <f t="shared" si="244"/>
        <v>0</v>
      </c>
      <c r="AX491" s="1361">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61">
        <f t="shared" si="243"/>
        <v>0</v>
      </c>
      <c r="AW492" s="1361">
        <f t="shared" si="244"/>
        <v>0</v>
      </c>
      <c r="AX492" s="1361">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61">
        <f t="shared" ref="AV493:AV520" si="294">A493</f>
        <v>0</v>
      </c>
      <c r="AW493" s="1361">
        <f t="shared" ref="AW493:AW520" si="295">B493</f>
        <v>0</v>
      </c>
      <c r="AX493" s="1361">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61">
        <f t="shared" si="294"/>
        <v>0</v>
      </c>
      <c r="AW494" s="1361">
        <f t="shared" si="295"/>
        <v>0</v>
      </c>
      <c r="AX494" s="1361">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61">
        <f t="shared" si="294"/>
        <v>0</v>
      </c>
      <c r="AW495" s="1361">
        <f t="shared" si="295"/>
        <v>0</v>
      </c>
      <c r="AX495" s="1361">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61">
        <f t="shared" si="294"/>
        <v>0</v>
      </c>
      <c r="AW496" s="1361">
        <f t="shared" si="295"/>
        <v>0</v>
      </c>
      <c r="AX496" s="1361">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61">
        <f t="shared" si="294"/>
        <v>0</v>
      </c>
      <c r="AW497" s="1361">
        <f t="shared" si="295"/>
        <v>0</v>
      </c>
      <c r="AX497" s="1361">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61">
        <f t="shared" si="294"/>
        <v>0</v>
      </c>
      <c r="AW498" s="1361">
        <f t="shared" si="295"/>
        <v>0</v>
      </c>
      <c r="AX498" s="1361">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61">
        <f t="shared" si="294"/>
        <v>0</v>
      </c>
      <c r="AW499" s="1361">
        <f t="shared" si="295"/>
        <v>0</v>
      </c>
      <c r="AX499" s="1361">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61">
        <f t="shared" si="294"/>
        <v>0</v>
      </c>
      <c r="AW500" s="1361">
        <f t="shared" si="295"/>
        <v>0</v>
      </c>
      <c r="AX500" s="1361">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61">
        <f t="shared" si="294"/>
        <v>0</v>
      </c>
      <c r="AW501" s="1361">
        <f t="shared" si="295"/>
        <v>0</v>
      </c>
      <c r="AX501" s="1361">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61">
        <f t="shared" si="294"/>
        <v>0</v>
      </c>
      <c r="AW502" s="1361">
        <f t="shared" si="295"/>
        <v>0</v>
      </c>
      <c r="AX502" s="1361">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61">
        <f t="shared" si="294"/>
        <v>0</v>
      </c>
      <c r="AW503" s="1361">
        <f t="shared" si="295"/>
        <v>0</v>
      </c>
      <c r="AX503" s="1361">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61">
        <f t="shared" si="294"/>
        <v>0</v>
      </c>
      <c r="AW504" s="1361">
        <f t="shared" si="295"/>
        <v>0</v>
      </c>
      <c r="AX504" s="1361">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61">
        <f t="shared" si="294"/>
        <v>0</v>
      </c>
      <c r="AW505" s="1361">
        <f t="shared" si="295"/>
        <v>0</v>
      </c>
      <c r="AX505" s="1361">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61">
        <f t="shared" si="294"/>
        <v>0</v>
      </c>
      <c r="AW506" s="1361">
        <f t="shared" si="295"/>
        <v>0</v>
      </c>
      <c r="AX506" s="1361">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61">
        <f t="shared" si="294"/>
        <v>0</v>
      </c>
      <c r="AW507" s="1361">
        <f t="shared" si="295"/>
        <v>0</v>
      </c>
      <c r="AX507" s="1361">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61">
        <f t="shared" si="294"/>
        <v>0</v>
      </c>
      <c r="AW508" s="1361">
        <f t="shared" si="295"/>
        <v>0</v>
      </c>
      <c r="AX508" s="1361">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61">
        <f t="shared" si="294"/>
        <v>0</v>
      </c>
      <c r="AW509" s="1361">
        <f t="shared" si="295"/>
        <v>0</v>
      </c>
      <c r="AX509" s="1361">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61">
        <f t="shared" si="294"/>
        <v>0</v>
      </c>
      <c r="AW510" s="1361">
        <f t="shared" si="295"/>
        <v>0</v>
      </c>
      <c r="AX510" s="1361">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61">
        <f t="shared" si="294"/>
        <v>0</v>
      </c>
      <c r="AW511" s="1361">
        <f t="shared" si="295"/>
        <v>0</v>
      </c>
      <c r="AX511" s="1361">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61">
        <f t="shared" si="294"/>
        <v>0</v>
      </c>
      <c r="AW512" s="1361">
        <f t="shared" si="295"/>
        <v>0</v>
      </c>
      <c r="AX512" s="1361">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61">
        <f t="shared" si="294"/>
        <v>0</v>
      </c>
      <c r="AW513" s="1361">
        <f t="shared" si="295"/>
        <v>0</v>
      </c>
      <c r="AX513" s="1361">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61">
        <f t="shared" si="294"/>
        <v>0</v>
      </c>
      <c r="AW514" s="1361">
        <f t="shared" si="295"/>
        <v>0</v>
      </c>
      <c r="AX514" s="1361">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61">
        <f t="shared" si="294"/>
        <v>0</v>
      </c>
      <c r="AW515" s="1361">
        <f t="shared" si="295"/>
        <v>0</v>
      </c>
      <c r="AX515" s="1361">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61">
        <f t="shared" si="294"/>
        <v>0</v>
      </c>
      <c r="AW516" s="1361">
        <f t="shared" si="295"/>
        <v>0</v>
      </c>
      <c r="AX516" s="1361">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61">
        <f t="shared" si="294"/>
        <v>0</v>
      </c>
      <c r="AW517" s="1361">
        <f t="shared" si="295"/>
        <v>0</v>
      </c>
      <c r="AX517" s="1361">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61">
        <f t="shared" si="294"/>
        <v>0</v>
      </c>
      <c r="AW518" s="1361">
        <f t="shared" si="295"/>
        <v>0</v>
      </c>
      <c r="AX518" s="1361">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61">
        <f t="shared" si="294"/>
        <v>0</v>
      </c>
      <c r="AW519" s="1361">
        <f t="shared" si="295"/>
        <v>0</v>
      </c>
      <c r="AX519" s="1361">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61">
        <f t="shared" si="294"/>
        <v>0</v>
      </c>
      <c r="AW520" s="1361">
        <f t="shared" si="295"/>
        <v>0</v>
      </c>
      <c r="AX520" s="1361">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61">
        <f t="shared" ref="AV521:AV552" si="298">A521</f>
        <v>0</v>
      </c>
      <c r="AW521" s="1361">
        <f t="shared" ref="AW521:AW552" si="299">B521</f>
        <v>0</v>
      </c>
      <c r="AX521" s="1361">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61">
        <f t="shared" si="298"/>
        <v>0</v>
      </c>
      <c r="AW522" s="1361">
        <f t="shared" si="299"/>
        <v>0</v>
      </c>
      <c r="AX522" s="1361">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61">
        <f t="shared" si="298"/>
        <v>0</v>
      </c>
      <c r="AW523" s="1361">
        <f t="shared" si="299"/>
        <v>0</v>
      </c>
      <c r="AX523" s="1361">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61">
        <f t="shared" si="298"/>
        <v>0</v>
      </c>
      <c r="AW524" s="1361">
        <f t="shared" si="299"/>
        <v>0</v>
      </c>
      <c r="AX524" s="1361">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61">
        <f t="shared" si="298"/>
        <v>0</v>
      </c>
      <c r="AW525" s="1361">
        <f t="shared" si="299"/>
        <v>0</v>
      </c>
      <c r="AX525" s="1361">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61">
        <f t="shared" si="298"/>
        <v>0</v>
      </c>
      <c r="AW526" s="1361">
        <f t="shared" si="299"/>
        <v>0</v>
      </c>
      <c r="AX526" s="1361">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61">
        <f t="shared" si="298"/>
        <v>0</v>
      </c>
      <c r="AW527" s="1361">
        <f t="shared" si="299"/>
        <v>0</v>
      </c>
      <c r="AX527" s="1361">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61">
        <f t="shared" si="298"/>
        <v>0</v>
      </c>
      <c r="AW528" s="1361">
        <f t="shared" si="299"/>
        <v>0</v>
      </c>
      <c r="AX528" s="1361">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61">
        <f t="shared" si="298"/>
        <v>0</v>
      </c>
      <c r="AW529" s="1361">
        <f t="shared" si="299"/>
        <v>0</v>
      </c>
      <c r="AX529" s="1361">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61">
        <f t="shared" si="298"/>
        <v>0</v>
      </c>
      <c r="AW530" s="1361">
        <f t="shared" si="299"/>
        <v>0</v>
      </c>
      <c r="AX530" s="1361">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61">
        <f t="shared" si="298"/>
        <v>0</v>
      </c>
      <c r="AW531" s="1361">
        <f t="shared" si="299"/>
        <v>0</v>
      </c>
      <c r="AX531" s="1361">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61">
        <f t="shared" si="298"/>
        <v>0</v>
      </c>
      <c r="AW532" s="1361">
        <f t="shared" si="299"/>
        <v>0</v>
      </c>
      <c r="AX532" s="1361">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61">
        <f t="shared" si="298"/>
        <v>0</v>
      </c>
      <c r="AW533" s="1361">
        <f t="shared" si="299"/>
        <v>0</v>
      </c>
      <c r="AX533" s="1361">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61">
        <f t="shared" si="298"/>
        <v>0</v>
      </c>
      <c r="AW534" s="1361">
        <f t="shared" si="299"/>
        <v>0</v>
      </c>
      <c r="AX534" s="1361">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61">
        <f t="shared" si="298"/>
        <v>0</v>
      </c>
      <c r="AW535" s="1361">
        <f t="shared" si="299"/>
        <v>0</v>
      </c>
      <c r="AX535" s="1361">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61">
        <f t="shared" si="298"/>
        <v>0</v>
      </c>
      <c r="AW536" s="1361">
        <f t="shared" si="299"/>
        <v>0</v>
      </c>
      <c r="AX536" s="1361">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61">
        <f t="shared" si="298"/>
        <v>0</v>
      </c>
      <c r="AW537" s="1361">
        <f t="shared" si="299"/>
        <v>0</v>
      </c>
      <c r="AX537" s="1361">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61">
        <f t="shared" si="298"/>
        <v>0</v>
      </c>
      <c r="AW538" s="1361">
        <f t="shared" si="299"/>
        <v>0</v>
      </c>
      <c r="AX538" s="1361">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61">
        <f t="shared" si="298"/>
        <v>0</v>
      </c>
      <c r="AW539" s="1361">
        <f t="shared" si="299"/>
        <v>0</v>
      </c>
      <c r="AX539" s="1361">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61">
        <f t="shared" si="298"/>
        <v>0</v>
      </c>
      <c r="AW540" s="1361">
        <f t="shared" si="299"/>
        <v>0</v>
      </c>
      <c r="AX540" s="1361">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61">
        <f t="shared" si="298"/>
        <v>0</v>
      </c>
      <c r="AW541" s="1361">
        <f t="shared" si="299"/>
        <v>0</v>
      </c>
      <c r="AX541" s="1361">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61">
        <f t="shared" si="298"/>
        <v>0</v>
      </c>
      <c r="AW542" s="1361">
        <f t="shared" si="299"/>
        <v>0</v>
      </c>
      <c r="AX542" s="1361">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61">
        <f t="shared" si="298"/>
        <v>0</v>
      </c>
      <c r="AW543" s="1361">
        <f t="shared" si="299"/>
        <v>0</v>
      </c>
      <c r="AX543" s="1361">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61">
        <f t="shared" si="298"/>
        <v>0</v>
      </c>
      <c r="AW544" s="1361">
        <f t="shared" si="299"/>
        <v>0</v>
      </c>
      <c r="AX544" s="1361">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61">
        <f t="shared" si="298"/>
        <v>0</v>
      </c>
      <c r="AW545" s="1361">
        <f t="shared" si="299"/>
        <v>0</v>
      </c>
      <c r="AX545" s="1361">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61">
        <f t="shared" si="298"/>
        <v>0</v>
      </c>
      <c r="AW546" s="1361">
        <f t="shared" si="299"/>
        <v>0</v>
      </c>
      <c r="AX546" s="1361">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61">
        <f t="shared" si="298"/>
        <v>0</v>
      </c>
      <c r="AW547" s="1361">
        <f t="shared" si="299"/>
        <v>0</v>
      </c>
      <c r="AX547" s="1361">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61">
        <f t="shared" si="298"/>
        <v>0</v>
      </c>
      <c r="AW548" s="1361">
        <f t="shared" si="299"/>
        <v>0</v>
      </c>
      <c r="AX548" s="1361">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61">
        <f t="shared" si="298"/>
        <v>0</v>
      </c>
      <c r="AW549" s="1361">
        <f t="shared" si="299"/>
        <v>0</v>
      </c>
      <c r="AX549" s="1361">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61">
        <f t="shared" si="298"/>
        <v>0</v>
      </c>
      <c r="AW550" s="1361">
        <f t="shared" si="299"/>
        <v>0</v>
      </c>
      <c r="AX550" s="1361">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61">
        <f t="shared" si="298"/>
        <v>0</v>
      </c>
      <c r="AW551" s="1361">
        <f t="shared" si="299"/>
        <v>0</v>
      </c>
      <c r="AX551" s="1361">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61">
        <f t="shared" si="298"/>
        <v>0</v>
      </c>
      <c r="AW552" s="1361">
        <f t="shared" si="299"/>
        <v>0</v>
      </c>
      <c r="AX552" s="1361">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61">
        <f t="shared" ref="AV553:AV587" si="330">A553</f>
        <v>0</v>
      </c>
      <c r="AW553" s="1361">
        <f t="shared" ref="AW553:AW587" si="331">B553</f>
        <v>0</v>
      </c>
      <c r="AX553" s="1361">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61">
        <f t="shared" si="330"/>
        <v>0</v>
      </c>
      <c r="AW554" s="1361">
        <f t="shared" si="331"/>
        <v>0</v>
      </c>
      <c r="AX554" s="1361">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61">
        <f t="shared" si="330"/>
        <v>0</v>
      </c>
      <c r="AW555" s="1361">
        <f t="shared" si="331"/>
        <v>0</v>
      </c>
      <c r="AX555" s="1361">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61">
        <f t="shared" si="330"/>
        <v>0</v>
      </c>
      <c r="AW556" s="1361">
        <f t="shared" si="331"/>
        <v>0</v>
      </c>
      <c r="AX556" s="1361">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61">
        <f t="shared" si="330"/>
        <v>0</v>
      </c>
      <c r="AW557" s="1361">
        <f t="shared" si="331"/>
        <v>0</v>
      </c>
      <c r="AX557" s="1361">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61">
        <f t="shared" si="330"/>
        <v>0</v>
      </c>
      <c r="AW558" s="1361">
        <f t="shared" si="331"/>
        <v>0</v>
      </c>
      <c r="AX558" s="1361">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61">
        <f t="shared" si="330"/>
        <v>0</v>
      </c>
      <c r="AW559" s="1361">
        <f t="shared" si="331"/>
        <v>0</v>
      </c>
      <c r="AX559" s="1361">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61">
        <f t="shared" si="330"/>
        <v>0</v>
      </c>
      <c r="AW560" s="1361">
        <f t="shared" si="331"/>
        <v>0</v>
      </c>
      <c r="AX560" s="1361">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61">
        <f t="shared" si="330"/>
        <v>0</v>
      </c>
      <c r="AW561" s="1361">
        <f t="shared" si="331"/>
        <v>0</v>
      </c>
      <c r="AX561" s="1361">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61">
        <f t="shared" si="330"/>
        <v>0</v>
      </c>
      <c r="AW562" s="1361">
        <f t="shared" si="331"/>
        <v>0</v>
      </c>
      <c r="AX562" s="1361">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61">
        <f t="shared" si="330"/>
        <v>0</v>
      </c>
      <c r="AW563" s="1361">
        <f t="shared" si="331"/>
        <v>0</v>
      </c>
      <c r="AX563" s="1361">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61">
        <f t="shared" si="330"/>
        <v>0</v>
      </c>
      <c r="AW564" s="1361">
        <f t="shared" si="331"/>
        <v>0</v>
      </c>
      <c r="AX564" s="1361">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61">
        <f t="shared" si="330"/>
        <v>0</v>
      </c>
      <c r="AW565" s="1361">
        <f t="shared" si="331"/>
        <v>0</v>
      </c>
      <c r="AX565" s="1361">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61">
        <f t="shared" si="330"/>
        <v>0</v>
      </c>
      <c r="AW566" s="1361">
        <f t="shared" si="331"/>
        <v>0</v>
      </c>
      <c r="AX566" s="1361">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61">
        <f t="shared" si="330"/>
        <v>0</v>
      </c>
      <c r="AW567" s="1361">
        <f t="shared" si="331"/>
        <v>0</v>
      </c>
      <c r="AX567" s="1361">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61">
        <f t="shared" si="330"/>
        <v>0</v>
      </c>
      <c r="AW568" s="1361">
        <f t="shared" si="331"/>
        <v>0</v>
      </c>
      <c r="AX568" s="1361">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61">
        <f t="shared" si="330"/>
        <v>0</v>
      </c>
      <c r="AW569" s="1361">
        <f t="shared" si="331"/>
        <v>0</v>
      </c>
      <c r="AX569" s="1361">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61">
        <f t="shared" si="330"/>
        <v>0</v>
      </c>
      <c r="AW570" s="1361">
        <f t="shared" si="331"/>
        <v>0</v>
      </c>
      <c r="AX570" s="1361">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61">
        <f t="shared" si="330"/>
        <v>0</v>
      </c>
      <c r="AW571" s="1361">
        <f t="shared" si="331"/>
        <v>0</v>
      </c>
      <c r="AX571" s="1361">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61">
        <f t="shared" si="330"/>
        <v>0</v>
      </c>
      <c r="AW572" s="1361">
        <f t="shared" si="331"/>
        <v>0</v>
      </c>
      <c r="AX572" s="1361">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61">
        <f t="shared" si="330"/>
        <v>0</v>
      </c>
      <c r="AW573" s="1361">
        <f t="shared" si="331"/>
        <v>0</v>
      </c>
      <c r="AX573" s="1361">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61">
        <f t="shared" si="330"/>
        <v>0</v>
      </c>
      <c r="AW574" s="1361">
        <f t="shared" si="331"/>
        <v>0</v>
      </c>
      <c r="AX574" s="1361">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61">
        <f t="shared" si="330"/>
        <v>0</v>
      </c>
      <c r="AW575" s="1361">
        <f t="shared" si="331"/>
        <v>0</v>
      </c>
      <c r="AX575" s="1361">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61">
        <f t="shared" si="330"/>
        <v>0</v>
      </c>
      <c r="AW576" s="1361">
        <f t="shared" si="331"/>
        <v>0</v>
      </c>
      <c r="AX576" s="1361">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61">
        <f t="shared" si="330"/>
        <v>0</v>
      </c>
      <c r="AW577" s="1361">
        <f t="shared" si="331"/>
        <v>0</v>
      </c>
      <c r="AX577" s="1361">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61">
        <f t="shared" si="330"/>
        <v>0</v>
      </c>
      <c r="AW578" s="1361">
        <f t="shared" si="331"/>
        <v>0</v>
      </c>
      <c r="AX578" s="1361">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61">
        <f t="shared" si="330"/>
        <v>0</v>
      </c>
      <c r="AW579" s="1361">
        <f t="shared" si="331"/>
        <v>0</v>
      </c>
      <c r="AX579" s="1361">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61">
        <f t="shared" si="330"/>
        <v>0</v>
      </c>
      <c r="AW580" s="1361">
        <f t="shared" si="331"/>
        <v>0</v>
      </c>
      <c r="AX580" s="1361">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61">
        <f t="shared" si="330"/>
        <v>0</v>
      </c>
      <c r="AW581" s="1361">
        <f t="shared" si="331"/>
        <v>0</v>
      </c>
      <c r="AX581" s="1361">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61">
        <f t="shared" si="330"/>
        <v>0</v>
      </c>
      <c r="AW582" s="1361">
        <f t="shared" si="331"/>
        <v>0</v>
      </c>
      <c r="AX582" s="1361">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61">
        <f t="shared" si="330"/>
        <v>0</v>
      </c>
      <c r="AW583" s="1361">
        <f t="shared" si="331"/>
        <v>0</v>
      </c>
      <c r="AX583" s="1361">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61">
        <f t="shared" si="330"/>
        <v>0</v>
      </c>
      <c r="AW584" s="1361">
        <f t="shared" si="331"/>
        <v>0</v>
      </c>
      <c r="AX584" s="1361">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61">
        <f t="shared" si="330"/>
        <v>0</v>
      </c>
      <c r="AW585" s="1361">
        <f t="shared" si="331"/>
        <v>0</v>
      </c>
      <c r="AX585" s="1361">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61">
        <f t="shared" si="330"/>
        <v>0</v>
      </c>
      <c r="AW586" s="1361">
        <f t="shared" si="331"/>
        <v>0</v>
      </c>
      <c r="AX586" s="1361">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61">
        <f t="shared" si="330"/>
        <v>0</v>
      </c>
      <c r="AW587" s="1361">
        <f t="shared" si="331"/>
        <v>0</v>
      </c>
      <c r="AX587" s="1361">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4" t="s">
        <v>558</v>
      </c>
      <c r="B1" s="2590"/>
      <c r="C1" s="2590"/>
      <c r="D1" s="2590"/>
      <c r="E1" s="2590"/>
      <c r="F1" s="2590"/>
      <c r="G1" s="2590"/>
      <c r="H1" s="2590"/>
      <c r="I1" s="2590"/>
      <c r="J1" s="2590"/>
      <c r="K1" s="2590"/>
      <c r="L1" s="2590"/>
      <c r="M1" s="2590"/>
      <c r="N1" s="2590"/>
      <c r="O1" s="2590"/>
      <c r="P1" s="2590"/>
    </row>
    <row r="2" spans="1:16">
      <c r="A2" s="2420" t="s">
        <v>559</v>
      </c>
      <c r="B2" s="2420"/>
      <c r="C2" s="2420"/>
      <c r="D2" s="2420" t="s">
        <v>560</v>
      </c>
      <c r="E2" s="3146" t="s">
        <v>561</v>
      </c>
      <c r="F2" s="3147"/>
      <c r="G2" s="3148"/>
      <c r="H2" s="3149"/>
      <c r="I2" s="2770" t="s">
        <v>562</v>
      </c>
      <c r="J2" s="3147"/>
      <c r="K2" s="3147"/>
      <c r="L2" s="3147"/>
      <c r="M2" s="3147"/>
      <c r="N2" s="1492"/>
      <c r="O2" s="3147"/>
      <c r="P2" s="3147"/>
    </row>
    <row r="3" ht="15.75" spans="1:16">
      <c r="A3" s="3150" t="s">
        <v>563</v>
      </c>
      <c r="B3" s="3150"/>
      <c r="C3" s="3150"/>
      <c r="D3" s="3151">
        <f>'数据-基础表'!AY6</f>
        <v>0</v>
      </c>
      <c r="E3" s="3151">
        <f>'数据-基础表'!AZ5</f>
        <v>69.7</v>
      </c>
      <c r="F3" s="3147"/>
      <c r="G3" s="3152"/>
      <c r="H3" s="2538" t="s">
        <v>564</v>
      </c>
      <c r="I3" s="3215" t="e">
        <f>ROUND('数据-基础表'!B3/'数据-基础表'!A3,2)</f>
        <v>#DIV/0!</v>
      </c>
      <c r="J3" s="3147"/>
      <c r="K3" s="3147"/>
      <c r="L3" s="3147"/>
      <c r="M3" s="3147"/>
      <c r="N3" s="1492"/>
      <c r="O3" s="3147"/>
      <c r="P3" s="3147"/>
    </row>
    <row r="4" ht="15" spans="1:16">
      <c r="A4" s="2768"/>
      <c r="B4" s="2769"/>
      <c r="C4" s="3153"/>
      <c r="D4" s="3154" t="s">
        <v>560</v>
      </c>
      <c r="E4" s="3155" t="s">
        <v>561</v>
      </c>
      <c r="F4" s="3147"/>
      <c r="G4" s="3156" t="s">
        <v>565</v>
      </c>
      <c r="H4" s="2538" t="s">
        <v>566</v>
      </c>
      <c r="I4" s="3215" t="e">
        <f>ROUND(SUMIF('数据-基础表'!I9:AS9,"地上",'数据-基础表'!I5:AS5)/'数据-基础表'!A3,2)</f>
        <v>#DIV/0!</v>
      </c>
      <c r="J4" s="3147"/>
      <c r="K4" s="3147"/>
      <c r="L4" s="3147"/>
      <c r="M4" s="3147"/>
      <c r="N4" s="1492"/>
      <c r="O4" s="3147"/>
      <c r="P4" s="3147"/>
    </row>
    <row r="5" spans="1:16">
      <c r="A5" s="3157" t="s">
        <v>567</v>
      </c>
      <c r="B5" s="1377" t="s">
        <v>568</v>
      </c>
      <c r="C5" s="1377"/>
      <c r="D5" s="3158">
        <f>ROUND($D$3*E5/$E$3,2)</f>
        <v>0</v>
      </c>
      <c r="E5" s="3159">
        <f>SUMIF('数据-基础表'!$11:$11,"住宅",'数据-基础表'!$5:$5)</f>
        <v>69.7</v>
      </c>
      <c r="F5" s="3147"/>
      <c r="G5" s="3152"/>
      <c r="H5" s="2538" t="s">
        <v>564</v>
      </c>
      <c r="I5" s="3215" t="e">
        <f>ROUND(E31/D31,2)</f>
        <v>#DIV/0!</v>
      </c>
      <c r="J5" s="3147"/>
      <c r="K5" s="3147"/>
      <c r="L5" s="3147"/>
      <c r="M5" s="3147"/>
      <c r="N5" s="3147"/>
      <c r="O5" s="3147"/>
      <c r="P5" s="3147"/>
    </row>
    <row r="6" ht="15" spans="1:16">
      <c r="A6" s="3160"/>
      <c r="B6" s="1377" t="s">
        <v>569</v>
      </c>
      <c r="C6" s="1377"/>
      <c r="D6" s="3158">
        <f>ROUND($D$3*E6/$E$3,2)</f>
        <v>0</v>
      </c>
      <c r="E6" s="3159">
        <f>E3-E5</f>
        <v>0</v>
      </c>
      <c r="F6" s="3147"/>
      <c r="G6" s="3161" t="s">
        <v>570</v>
      </c>
      <c r="H6" s="3162" t="s">
        <v>566</v>
      </c>
      <c r="I6" s="3216" t="e">
        <f>ROUND(F31/D31,2)</f>
        <v>#DIV/0!</v>
      </c>
      <c r="J6" s="3147"/>
      <c r="K6" s="3147"/>
      <c r="L6" s="3147"/>
      <c r="M6" s="3147"/>
      <c r="N6" s="3147"/>
      <c r="O6" s="3147"/>
      <c r="P6" s="3147"/>
    </row>
    <row r="7" ht="15" spans="1:16">
      <c r="A7" s="3163"/>
      <c r="B7" s="3164"/>
      <c r="C7" s="3165"/>
      <c r="D7" s="3154" t="s">
        <v>560</v>
      </c>
      <c r="E7" s="3166" t="s">
        <v>571</v>
      </c>
      <c r="F7" s="3147"/>
      <c r="G7" s="3167" t="s">
        <v>572</v>
      </c>
      <c r="H7" s="3168"/>
      <c r="I7" s="3217"/>
      <c r="J7" s="3147"/>
      <c r="K7" s="3147"/>
      <c r="L7" s="3147"/>
      <c r="M7" s="3147"/>
      <c r="N7" s="3147"/>
      <c r="O7" s="3147"/>
      <c r="P7" s="3147"/>
    </row>
    <row r="8" spans="1:16">
      <c r="A8" s="3157" t="s">
        <v>573</v>
      </c>
      <c r="B8" s="3169" t="s">
        <v>574</v>
      </c>
      <c r="C8" s="3158" t="s">
        <v>575</v>
      </c>
      <c r="D8" s="3158">
        <f t="shared" ref="D8:D15" si="0">ROUND($D$3*E8/$E$3,2)</f>
        <v>0</v>
      </c>
      <c r="E8" s="3170">
        <f>SUMIF('数据-基础表'!BB10:BK10,"地上",'数据-基础表'!BB5:BK5)</f>
        <v>69.7</v>
      </c>
      <c r="F8" s="3147"/>
      <c r="G8" s="3171"/>
      <c r="H8" s="3171"/>
      <c r="I8" s="3147"/>
      <c r="J8" s="3147"/>
      <c r="K8" s="3147"/>
      <c r="L8" s="3147"/>
      <c r="M8" s="3147"/>
      <c r="N8" s="3147"/>
      <c r="O8" s="3147"/>
      <c r="P8" s="3147"/>
    </row>
    <row r="9" spans="1:16">
      <c r="A9" s="3172"/>
      <c r="B9" s="3173"/>
      <c r="C9" s="3158" t="s">
        <v>576</v>
      </c>
      <c r="D9" s="3158">
        <f t="shared" si="0"/>
        <v>0</v>
      </c>
      <c r="E9" s="3174">
        <v>0</v>
      </c>
      <c r="F9" s="3147"/>
      <c r="G9" s="3171"/>
      <c r="H9" s="3171"/>
      <c r="I9" s="3147"/>
      <c r="J9" s="3147"/>
      <c r="K9" s="3147"/>
      <c r="L9" s="3147"/>
      <c r="M9" s="3147"/>
      <c r="N9" s="3147"/>
      <c r="O9" s="3147"/>
      <c r="P9" s="3147"/>
    </row>
    <row r="10" spans="1:16">
      <c r="A10" s="3172"/>
      <c r="B10" s="3173"/>
      <c r="C10" s="3158" t="s">
        <v>577</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578</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579</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580</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581</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582</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583</v>
      </c>
      <c r="D16" s="3169">
        <f>SUM(D8:D15)</f>
        <v>0</v>
      </c>
      <c r="E16" s="3175">
        <f>SUM(E8:E15)</f>
        <v>69.7</v>
      </c>
      <c r="F16" s="3147"/>
      <c r="G16" s="3171"/>
      <c r="H16" s="3176" t="s">
        <v>584</v>
      </c>
      <c r="I16" s="3218"/>
      <c r="J16" s="2590"/>
      <c r="K16" s="3219" t="s">
        <v>584</v>
      </c>
      <c r="L16" s="3178"/>
      <c r="M16" s="3178"/>
      <c r="N16" s="3178"/>
      <c r="O16" s="3178"/>
      <c r="P16" s="3220"/>
    </row>
    <row r="17" ht="15" spans="1:19">
      <c r="A17" s="3106" t="s">
        <v>585</v>
      </c>
      <c r="B17" s="3177" t="s">
        <v>586</v>
      </c>
      <c r="C17" s="3105" t="s">
        <v>587</v>
      </c>
      <c r="D17" s="3178" t="s">
        <v>560</v>
      </c>
      <c r="E17" s="3179" t="s">
        <v>561</v>
      </c>
      <c r="F17" s="3180"/>
      <c r="G17" s="3181"/>
      <c r="H17" s="3182" t="s">
        <v>588</v>
      </c>
      <c r="I17" s="3221" t="s">
        <v>589</v>
      </c>
      <c r="J17" s="2590"/>
      <c r="K17" s="3222" t="s">
        <v>590</v>
      </c>
      <c r="L17" s="3223"/>
      <c r="M17" s="3224"/>
      <c r="N17" s="3222" t="s">
        <v>591</v>
      </c>
      <c r="O17" s="3223"/>
      <c r="P17" s="3224"/>
      <c r="R17" s="3237" t="s">
        <v>592</v>
      </c>
      <c r="S17" s="2525"/>
    </row>
    <row r="18" ht="15" spans="1:19">
      <c r="A18" s="3172"/>
      <c r="B18" s="3183"/>
      <c r="C18" s="3184"/>
      <c r="D18" s="3185"/>
      <c r="E18" s="3186" t="s">
        <v>593</v>
      </c>
      <c r="F18" s="3187" t="s">
        <v>566</v>
      </c>
      <c r="G18" s="3188" t="s">
        <v>594</v>
      </c>
      <c r="H18" s="3111" t="s">
        <v>595</v>
      </c>
      <c r="I18" s="3225" t="s">
        <v>596</v>
      </c>
      <c r="J18" s="2590"/>
      <c r="K18" s="3111" t="s">
        <v>597</v>
      </c>
      <c r="L18" s="2789" t="s">
        <v>598</v>
      </c>
      <c r="M18" s="3215" t="s">
        <v>599</v>
      </c>
      <c r="N18" s="3111" t="s">
        <v>597</v>
      </c>
      <c r="O18" s="2789" t="s">
        <v>598</v>
      </c>
      <c r="P18" s="3215" t="s">
        <v>599</v>
      </c>
      <c r="R18" s="2538" t="s">
        <v>595</v>
      </c>
      <c r="S18" s="2538" t="s">
        <v>596</v>
      </c>
    </row>
    <row r="19" spans="1:19">
      <c r="A19" s="3189"/>
      <c r="B19" s="3169" t="s">
        <v>600</v>
      </c>
      <c r="C19" s="3190" t="s">
        <v>412</v>
      </c>
      <c r="D19" s="3158">
        <f>ROUND($D$3*E19/$E$3,2)</f>
        <v>0</v>
      </c>
      <c r="E19" s="3191">
        <f t="shared" ref="E19:E26" si="1">SUM(F19:G19)</f>
        <v>69.7</v>
      </c>
      <c r="F19" s="3192">
        <f>'数据-基础表'!G13</f>
        <v>69.7</v>
      </c>
      <c r="G19" s="3193"/>
      <c r="H19" s="3095">
        <f>ROUND($D$3*I19/$E$3,2)</f>
        <v>0</v>
      </c>
      <c r="I19" s="3170">
        <f t="shared" ref="I19:I26" si="2">IF($I$17="自定义",P19,M19)</f>
        <v>0</v>
      </c>
      <c r="J19" s="2590"/>
      <c r="K19" s="3226">
        <f t="shared" ref="K19:K26" si="3">ROUND(E$28*E19/E$27,2)</f>
        <v>0</v>
      </c>
      <c r="L19" s="2538">
        <f t="shared" ref="L19:L26" si="4">ROUND(IF(COUNTIF(C19,"*住宅*")&gt;0,E$29*E19/E$32,0),2)</f>
        <v>0</v>
      </c>
      <c r="M19" s="3227">
        <f>K19+L19</f>
        <v>0</v>
      </c>
      <c r="N19" s="3228"/>
      <c r="O19" s="3229"/>
      <c r="P19" s="3227">
        <f>N19+O19</f>
        <v>0</v>
      </c>
      <c r="R19" s="2538">
        <f t="shared" ref="R19:S26" si="5">D19+H19</f>
        <v>0</v>
      </c>
      <c r="S19" s="3238">
        <f t="shared" si="5"/>
        <v>69.7</v>
      </c>
    </row>
    <row r="20" spans="1:19">
      <c r="A20" s="3194"/>
      <c r="B20" s="3169" t="s">
        <v>600</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8">
        <f t="shared" si="4"/>
        <v>0</v>
      </c>
      <c r="M20" s="3227">
        <f t="shared" ref="M20:M26" si="8">K20+L20</f>
        <v>0</v>
      </c>
      <c r="N20" s="3228"/>
      <c r="O20" s="3229"/>
      <c r="P20" s="3227">
        <f t="shared" ref="P20:P26" si="9">N20+O20</f>
        <v>0</v>
      </c>
      <c r="R20" s="2538">
        <f t="shared" si="5"/>
        <v>0</v>
      </c>
      <c r="S20" s="3238">
        <f t="shared" si="5"/>
        <v>0</v>
      </c>
    </row>
    <row r="21" spans="1:19">
      <c r="A21" s="3194"/>
      <c r="B21" s="3169" t="s">
        <v>600</v>
      </c>
      <c r="C21" s="3190"/>
      <c r="D21" s="3158">
        <f t="shared" si="6"/>
        <v>0</v>
      </c>
      <c r="E21" s="3191">
        <f t="shared" si="1"/>
        <v>0</v>
      </c>
      <c r="F21" s="3192"/>
      <c r="G21" s="3193"/>
      <c r="H21" s="3095">
        <f t="shared" si="7"/>
        <v>0</v>
      </c>
      <c r="I21" s="3170">
        <f t="shared" si="2"/>
        <v>0</v>
      </c>
      <c r="J21" s="2590"/>
      <c r="K21" s="3226">
        <f t="shared" si="3"/>
        <v>0</v>
      </c>
      <c r="L21" s="2538">
        <f t="shared" si="4"/>
        <v>0</v>
      </c>
      <c r="M21" s="3227">
        <f t="shared" si="8"/>
        <v>0</v>
      </c>
      <c r="N21" s="3228"/>
      <c r="O21" s="3229"/>
      <c r="P21" s="3227">
        <f t="shared" si="9"/>
        <v>0</v>
      </c>
      <c r="R21" s="2538">
        <f t="shared" si="5"/>
        <v>0</v>
      </c>
      <c r="S21" s="3238">
        <f t="shared" si="5"/>
        <v>0</v>
      </c>
    </row>
    <row r="22" spans="1:19">
      <c r="A22" s="3194"/>
      <c r="B22" s="3169" t="s">
        <v>600</v>
      </c>
      <c r="C22" s="3195"/>
      <c r="D22" s="3158">
        <f t="shared" si="6"/>
        <v>0</v>
      </c>
      <c r="E22" s="3191">
        <f t="shared" si="1"/>
        <v>0</v>
      </c>
      <c r="F22" s="3196"/>
      <c r="G22" s="3197"/>
      <c r="H22" s="3095">
        <f t="shared" si="7"/>
        <v>0</v>
      </c>
      <c r="I22" s="3170">
        <f t="shared" si="2"/>
        <v>0</v>
      </c>
      <c r="J22" s="2590"/>
      <c r="K22" s="3226">
        <f t="shared" si="3"/>
        <v>0</v>
      </c>
      <c r="L22" s="2538">
        <f t="shared" si="4"/>
        <v>0</v>
      </c>
      <c r="M22" s="3227">
        <f t="shared" si="8"/>
        <v>0</v>
      </c>
      <c r="N22" s="3228"/>
      <c r="O22" s="3229"/>
      <c r="P22" s="3227">
        <f t="shared" si="9"/>
        <v>0</v>
      </c>
      <c r="R22" s="2538">
        <f t="shared" si="5"/>
        <v>0</v>
      </c>
      <c r="S22" s="3238">
        <f t="shared" si="5"/>
        <v>0</v>
      </c>
    </row>
    <row r="23" spans="1:19">
      <c r="A23" s="3194"/>
      <c r="B23" s="3169" t="s">
        <v>600</v>
      </c>
      <c r="C23" s="3195"/>
      <c r="D23" s="3158">
        <f t="shared" si="6"/>
        <v>0</v>
      </c>
      <c r="E23" s="3191">
        <f t="shared" si="1"/>
        <v>0</v>
      </c>
      <c r="F23" s="3196"/>
      <c r="G23" s="3197"/>
      <c r="H23" s="3095">
        <f t="shared" si="7"/>
        <v>0</v>
      </c>
      <c r="I23" s="3170">
        <f t="shared" si="2"/>
        <v>0</v>
      </c>
      <c r="J23" s="2590"/>
      <c r="K23" s="3226">
        <f t="shared" si="3"/>
        <v>0</v>
      </c>
      <c r="L23" s="2538">
        <f t="shared" si="4"/>
        <v>0</v>
      </c>
      <c r="M23" s="3227">
        <f t="shared" si="8"/>
        <v>0</v>
      </c>
      <c r="N23" s="3228"/>
      <c r="O23" s="3229"/>
      <c r="P23" s="3227">
        <f t="shared" si="9"/>
        <v>0</v>
      </c>
      <c r="R23" s="2538">
        <f t="shared" si="5"/>
        <v>0</v>
      </c>
      <c r="S23" s="3238">
        <f t="shared" si="5"/>
        <v>0</v>
      </c>
    </row>
    <row r="24" spans="1:19">
      <c r="A24" s="3194"/>
      <c r="B24" s="3169" t="s">
        <v>600</v>
      </c>
      <c r="C24" s="3195"/>
      <c r="D24" s="3158">
        <f t="shared" si="6"/>
        <v>0</v>
      </c>
      <c r="E24" s="3191">
        <f t="shared" si="1"/>
        <v>0</v>
      </c>
      <c r="F24" s="3196"/>
      <c r="G24" s="3197"/>
      <c r="H24" s="3095">
        <f t="shared" si="7"/>
        <v>0</v>
      </c>
      <c r="I24" s="3170">
        <f t="shared" si="2"/>
        <v>0</v>
      </c>
      <c r="J24" s="2590"/>
      <c r="K24" s="3226">
        <f t="shared" si="3"/>
        <v>0</v>
      </c>
      <c r="L24" s="2538">
        <f t="shared" si="4"/>
        <v>0</v>
      </c>
      <c r="M24" s="3227">
        <f t="shared" si="8"/>
        <v>0</v>
      </c>
      <c r="N24" s="3228"/>
      <c r="O24" s="3229"/>
      <c r="P24" s="3227">
        <f t="shared" si="9"/>
        <v>0</v>
      </c>
      <c r="R24" s="2538">
        <f t="shared" si="5"/>
        <v>0</v>
      </c>
      <c r="S24" s="3238">
        <f t="shared" si="5"/>
        <v>0</v>
      </c>
    </row>
    <row r="25" spans="1:19">
      <c r="A25" s="3194"/>
      <c r="B25" s="3169" t="s">
        <v>600</v>
      </c>
      <c r="C25" s="3195"/>
      <c r="D25" s="3158">
        <f t="shared" si="6"/>
        <v>0</v>
      </c>
      <c r="E25" s="3191">
        <f t="shared" si="1"/>
        <v>0</v>
      </c>
      <c r="F25" s="3196"/>
      <c r="G25" s="3197"/>
      <c r="H25" s="3157">
        <f t="shared" si="7"/>
        <v>0</v>
      </c>
      <c r="I25" s="3170">
        <f t="shared" si="2"/>
        <v>0</v>
      </c>
      <c r="J25" s="2590"/>
      <c r="K25" s="3226">
        <f t="shared" si="3"/>
        <v>0</v>
      </c>
      <c r="L25" s="2538">
        <f t="shared" si="4"/>
        <v>0</v>
      </c>
      <c r="M25" s="3227">
        <f t="shared" si="8"/>
        <v>0</v>
      </c>
      <c r="N25" s="3228"/>
      <c r="O25" s="3229"/>
      <c r="P25" s="3227">
        <f t="shared" si="9"/>
        <v>0</v>
      </c>
      <c r="R25" s="2538">
        <f t="shared" si="5"/>
        <v>0</v>
      </c>
      <c r="S25" s="3238">
        <f t="shared" si="5"/>
        <v>0</v>
      </c>
    </row>
    <row r="26" spans="1:19">
      <c r="A26" s="3194"/>
      <c r="B26" s="3169" t="s">
        <v>600</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8">
        <f t="shared" si="5"/>
        <v>0</v>
      </c>
      <c r="S26" s="3238">
        <f t="shared" si="5"/>
        <v>0</v>
      </c>
    </row>
    <row r="27" ht="15.75" spans="1:19">
      <c r="A27" s="3194"/>
      <c r="B27" s="3158"/>
      <c r="C27" s="2775" t="s">
        <v>601</v>
      </c>
      <c r="D27" s="3199">
        <f>SUM(D19:D26)</f>
        <v>0</v>
      </c>
      <c r="E27" s="3200">
        <f>IF(SUM(E19:E26)='数据-基础表'!BA5,SUM(E19:E26),IF(F27="地上面积有误","面积有误","地下面积有误"))</f>
        <v>69.7</v>
      </c>
      <c r="F27" s="3199">
        <f>IF(SUM(F19:F26)=E8,SUM(F19:F26),"地上面积有误")</f>
        <v>69.7</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8">
        <f>IF(SUM(S19:S26)=$E$3,SUM(S19:S26),SUM(S19:S26)&amp;"误差"&amp;ROUND(SUM(S19:S26)-E3,2))</f>
        <v>69.7</v>
      </c>
    </row>
    <row r="28" spans="1:16">
      <c r="A28" s="3194"/>
      <c r="B28" s="3169" t="s">
        <v>602</v>
      </c>
      <c r="C28" s="3114" t="s">
        <v>603</v>
      </c>
      <c r="D28" s="3158">
        <f>ROUND($D$3*E28/$E$3,2)</f>
        <v>0</v>
      </c>
      <c r="E28" s="3191">
        <f>SUM(F28:G28)</f>
        <v>0</v>
      </c>
      <c r="F28" s="2525">
        <f>'数据-基础表'!BQ5+'数据-基础表'!BS5</f>
        <v>0</v>
      </c>
      <c r="G28" s="3203">
        <f>'数据-基础表'!BR5+'数据-基础表'!BT5</f>
        <v>0</v>
      </c>
      <c r="H28" s="3147"/>
      <c r="I28" s="3147"/>
      <c r="J28" s="3147"/>
      <c r="K28" s="3147"/>
      <c r="L28" s="3147"/>
      <c r="M28" s="3147"/>
      <c r="N28" s="3147"/>
      <c r="O28" s="3147"/>
      <c r="P28" s="3147"/>
    </row>
    <row r="29" spans="1:16">
      <c r="A29" s="3194"/>
      <c r="B29" s="3169" t="s">
        <v>602</v>
      </c>
      <c r="C29" s="2588" t="s">
        <v>604</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601</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62" t="s">
        <v>605</v>
      </c>
      <c r="D31" s="3209">
        <f>D27+D30</f>
        <v>0</v>
      </c>
      <c r="E31" s="3209">
        <f>E27+E30</f>
        <v>69.7</v>
      </c>
      <c r="F31" s="3210">
        <f>F27+F30</f>
        <v>69.7</v>
      </c>
      <c r="G31" s="3211">
        <f>G27+G30</f>
        <v>0</v>
      </c>
      <c r="H31" s="3147"/>
      <c r="I31" s="3147"/>
      <c r="J31" s="3147"/>
      <c r="K31" s="3147"/>
      <c r="L31" s="3147"/>
      <c r="M31" s="3147"/>
      <c r="N31" s="3147"/>
      <c r="O31" s="3147"/>
      <c r="P31" s="3147"/>
    </row>
    <row r="32" spans="1:16">
      <c r="A32" s="3212"/>
      <c r="B32" s="3212" t="s">
        <v>606</v>
      </c>
      <c r="C32" s="3212"/>
      <c r="D32" s="3212"/>
      <c r="E32" s="3213">
        <f>SUMIF(C19:C26,"*住宅*",E19:E26)</f>
        <v>69.7</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H6" activePane="bottomRight" state="frozen"/>
      <selection/>
      <selection pane="topRight"/>
      <selection pane="bottomLeft"/>
      <selection pane="bottomRight" activeCell="J33" sqref="J33"/>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607</v>
      </c>
      <c r="B1" s="2952"/>
      <c r="C1" s="2105"/>
      <c r="D1" s="2953"/>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3"/>
      <c r="AO1" s="2403"/>
      <c r="AP1" s="2403"/>
      <c r="AQ1" s="2403"/>
      <c r="AR1" s="2403"/>
    </row>
    <row r="2" s="2943" customFormat="1" ht="15.75" spans="1:67">
      <c r="A2" s="2954" t="s">
        <v>608</v>
      </c>
      <c r="B2" s="2955">
        <f>项目基本情况!D3</f>
        <v>44977</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1617" t="s">
        <v>609</v>
      </c>
      <c r="B4" s="2545"/>
      <c r="C4" s="2960"/>
      <c r="D4" s="2961"/>
      <c r="E4" s="2960" t="s">
        <v>610</v>
      </c>
      <c r="F4" s="2960"/>
      <c r="G4" s="2960"/>
      <c r="H4" s="2960"/>
      <c r="I4" s="2960"/>
      <c r="J4" s="3054"/>
      <c r="K4" s="3055"/>
      <c r="L4" s="3056"/>
      <c r="M4" s="2960"/>
      <c r="N4" s="2960" t="s">
        <v>611</v>
      </c>
      <c r="O4" s="2960"/>
      <c r="P4" s="2960"/>
      <c r="Q4" s="2960"/>
      <c r="R4" s="2960"/>
      <c r="S4" s="3054"/>
      <c r="T4" s="3078" t="str">
        <f>'数据-汇总表'!I17</f>
        <v>按面积比例</v>
      </c>
      <c r="U4" s="2545" t="s">
        <v>612</v>
      </c>
      <c r="V4" s="2960"/>
      <c r="W4" s="2960"/>
      <c r="X4" s="2960"/>
      <c r="Y4" s="3054"/>
      <c r="Z4" s="3105" t="s">
        <v>613</v>
      </c>
      <c r="AA4" s="3105"/>
      <c r="AB4" s="3105"/>
      <c r="AC4" s="3105"/>
      <c r="AD4" s="3105"/>
      <c r="AE4" s="3106" t="s">
        <v>614</v>
      </c>
      <c r="AF4" s="3105"/>
      <c r="AG4" s="3118"/>
      <c r="AH4" s="2545"/>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587</v>
      </c>
      <c r="B5" s="2963" t="s">
        <v>586</v>
      </c>
      <c r="C5" s="2964" t="s">
        <v>615</v>
      </c>
      <c r="D5" s="2965" t="s">
        <v>616</v>
      </c>
      <c r="E5" s="2966" t="s">
        <v>617</v>
      </c>
      <c r="F5" s="2967" t="s">
        <v>618</v>
      </c>
      <c r="G5" s="2966" t="s">
        <v>619</v>
      </c>
      <c r="H5" s="2966" t="s">
        <v>620</v>
      </c>
      <c r="I5" s="2966" t="s">
        <v>621</v>
      </c>
      <c r="J5" s="3057" t="s">
        <v>622</v>
      </c>
      <c r="K5" s="3058" t="s">
        <v>596</v>
      </c>
      <c r="L5" s="3059" t="s">
        <v>623</v>
      </c>
      <c r="M5" s="3060" t="s">
        <v>624</v>
      </c>
      <c r="N5" s="3061" t="s">
        <v>625</v>
      </c>
      <c r="O5" s="3059" t="s">
        <v>626</v>
      </c>
      <c r="P5" s="3062" t="s">
        <v>627</v>
      </c>
      <c r="Q5" s="1503" t="s">
        <v>628</v>
      </c>
      <c r="R5" s="3079" t="s">
        <v>629</v>
      </c>
      <c r="S5" s="3080" t="s">
        <v>630</v>
      </c>
      <c r="T5" s="3081" t="s">
        <v>631</v>
      </c>
      <c r="U5" s="3082" t="s">
        <v>632</v>
      </c>
      <c r="V5" s="2966" t="s">
        <v>633</v>
      </c>
      <c r="W5" s="2966" t="s">
        <v>634</v>
      </c>
      <c r="X5" s="1161"/>
      <c r="Y5" s="1634" t="s">
        <v>635</v>
      </c>
      <c r="Z5" s="3107" t="s">
        <v>632</v>
      </c>
      <c r="AA5" s="2966" t="s">
        <v>633</v>
      </c>
      <c r="AB5" s="2966" t="s">
        <v>634</v>
      </c>
      <c r="AC5" s="1161"/>
      <c r="AD5" s="1161" t="s">
        <v>635</v>
      </c>
      <c r="AE5" s="3082" t="s">
        <v>636</v>
      </c>
      <c r="AF5" s="2966" t="s">
        <v>637</v>
      </c>
      <c r="AG5" s="1634" t="s">
        <v>638</v>
      </c>
      <c r="AH5" s="3082" t="s">
        <v>639</v>
      </c>
      <c r="AI5" s="3107" t="s">
        <v>640</v>
      </c>
      <c r="AJ5" s="3107" t="s">
        <v>641</v>
      </c>
      <c r="AK5" s="2966" t="s">
        <v>642</v>
      </c>
      <c r="AL5" s="2966" t="s">
        <v>643</v>
      </c>
      <c r="AM5" s="1634" t="s">
        <v>644</v>
      </c>
      <c r="AN5" s="3119" t="s">
        <v>645</v>
      </c>
      <c r="AO5" s="3137" t="s">
        <v>646</v>
      </c>
      <c r="AP5" s="3138" t="s">
        <v>647</v>
      </c>
      <c r="AQ5" s="3139" t="s">
        <v>648</v>
      </c>
      <c r="AR5" s="3139" t="s">
        <v>649</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住宅</v>
      </c>
      <c r="B6" s="2969" t="str">
        <f>IF(A6=0,"","经营性")</f>
        <v>经营性</v>
      </c>
      <c r="C6" s="2970" t="s">
        <v>412</v>
      </c>
      <c r="D6" s="2971">
        <f>SUMIF(项目基本情况!C$12:I$12,C6,项目基本情况!C$14:I$14)</f>
        <v>70</v>
      </c>
      <c r="E6" s="2972">
        <f>IF(B6="","",SUMIF(项目基本情况!C$12:I$12,C6,项目基本情况!C$13:I$13))</f>
        <v>0</v>
      </c>
      <c r="F6" s="2973">
        <f>SUMIF(项目基本情况!C$12:I$12,C6,项目基本情况!C$15:I$15)</f>
        <v>70</v>
      </c>
      <c r="G6" s="2974">
        <f>IF(ISERROR(ROUND(POWER(1+H6,D6-F6)*(POWER(1+H6,F6)-1)/(POWER(1+H6,D6)-1),3)),0,ROUND(POWER(1+H6,D6-F6)*(POWER(1+H6,F6)-1)/(POWER(1+H6,D6)-1),3))</f>
        <v>1</v>
      </c>
      <c r="H6" s="2975">
        <v>0.04</v>
      </c>
      <c r="I6" s="2975">
        <v>0.04</v>
      </c>
      <c r="J6" s="2976">
        <v>0.075</v>
      </c>
      <c r="K6" s="3063">
        <f>SUMIF('数据-汇总表'!C$19:C$33,A6,'数据-汇总表'!E$19:E$33)</f>
        <v>69.7</v>
      </c>
      <c r="L6" s="3064">
        <v>3500</v>
      </c>
      <c r="M6" s="3065">
        <f t="shared" ref="M6:M14" si="0">ROUND(K6*L6/10000,0)</f>
        <v>24</v>
      </c>
      <c r="N6" s="3066">
        <f>N27</f>
        <v>0.6</v>
      </c>
      <c r="O6" s="3065" t="str">
        <f>IF($N$5="成新度","——",ROUND(M6*N6,0))</f>
        <v>——</v>
      </c>
      <c r="P6" s="3067"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127</v>
      </c>
      <c r="V6" s="3088">
        <v>0.025</v>
      </c>
      <c r="W6" s="3088">
        <v>0.05</v>
      </c>
      <c r="X6" s="3089"/>
      <c r="Y6" s="3108">
        <f>N6</f>
        <v>0.6</v>
      </c>
      <c r="Z6" s="3109"/>
      <c r="AA6" s="2976"/>
      <c r="AB6" s="2976"/>
      <c r="AC6" s="3089"/>
      <c r="AD6" s="3110"/>
      <c r="AE6" s="3111">
        <f ca="1">IF(AN6="",0,SUMIF(INDIRECT("'"&amp;AN6&amp;"'"&amp;"!E:E"),$AE$5,INDIRECT("'"&amp;AN6&amp;"'"&amp;"!F:F")))</f>
        <v>70</v>
      </c>
      <c r="AF6" s="2520"/>
      <c r="AG6" s="2359">
        <f ca="1">IF(AF6="",0,AE6-AF6)</f>
        <v>0</v>
      </c>
      <c r="AH6" s="3120"/>
      <c r="AI6" s="3121">
        <v>12</v>
      </c>
      <c r="AJ6" s="3122"/>
      <c r="AK6" s="3123">
        <v>0.01</v>
      </c>
      <c r="AL6" s="3124">
        <v>0.001</v>
      </c>
      <c r="AM6" s="3125">
        <v>0.01</v>
      </c>
      <c r="AN6" s="3126" t="s">
        <v>266</v>
      </c>
      <c r="AO6" s="1377">
        <f ca="1">SUMIF(INDIRECT("'"&amp;AN6&amp;"'"&amp;"!A:A"),"总价",INDIRECT("'"&amp;AN6&amp;"'"&amp;"!B:B"))</f>
        <v>396.735</v>
      </c>
      <c r="AP6" s="3140">
        <f>IF(C6="住宅",K6*L6,0)</f>
        <v>243950</v>
      </c>
      <c r="AQ6" s="1377">
        <f>ROUND($L$14*$N$14*S6/10000,0)</f>
        <v>0</v>
      </c>
      <c r="AR6" s="1377">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6"/>
      <c r="AB7" s="2976"/>
      <c r="AC7" s="3089"/>
      <c r="AD7" s="3110"/>
      <c r="AE7" s="3111">
        <f ca="1" t="shared" ref="AE7:AE13" si="6">IF(AN7="",0,SUMIF(INDIRECT("'"&amp;AN7&amp;"'"&amp;"!E:E"),$AE$5,INDIRECT("'"&amp;AN7&amp;"'"&amp;"!F:F")))</f>
        <v>0</v>
      </c>
      <c r="AF7" s="2520"/>
      <c r="AG7" s="2359">
        <f ca="1" t="shared" ref="AG7:AG13" si="7">IF(AF7="",0,AE7-AF7)</f>
        <v>0</v>
      </c>
      <c r="AH7" s="3120"/>
      <c r="AI7" s="3121"/>
      <c r="AJ7" s="3122"/>
      <c r="AK7" s="3123"/>
      <c r="AL7" s="3124"/>
      <c r="AM7" s="3125"/>
      <c r="AN7" s="3126"/>
      <c r="AO7" s="1377" t="e">
        <f ca="1" t="shared" ref="AO7:AO13" si="8">SUMIF(INDIRECT("'"&amp;AN7&amp;"'"&amp;"!A:A"),"总价",INDIRECT("'"&amp;AN7&amp;"'"&amp;"!B:B"))</f>
        <v>#REF!</v>
      </c>
      <c r="AP7" s="3140">
        <f t="shared" ref="AP7:AP13" si="9">IF(C7="住宅",K7*L7,0)</f>
        <v>0</v>
      </c>
      <c r="AQ7" s="1377">
        <f t="shared" ref="AQ7:AQ13" si="10">ROUND($L$14*$N$14*S7/10000,0)</f>
        <v>0</v>
      </c>
      <c r="AR7" s="1377">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6"/>
      <c r="AB8" s="2976"/>
      <c r="AC8" s="3089"/>
      <c r="AD8" s="3110"/>
      <c r="AE8" s="3111">
        <f ca="1" t="shared" si="6"/>
        <v>0</v>
      </c>
      <c r="AF8" s="2520"/>
      <c r="AG8" s="2359">
        <f ca="1" t="shared" si="7"/>
        <v>0</v>
      </c>
      <c r="AH8" s="3127"/>
      <c r="AI8" s="3121"/>
      <c r="AJ8" s="3122"/>
      <c r="AK8" s="3128"/>
      <c r="AL8" s="3129"/>
      <c r="AM8" s="3130"/>
      <c r="AN8" s="3126"/>
      <c r="AO8" s="1377" t="e">
        <f ca="1" t="shared" si="8"/>
        <v>#REF!</v>
      </c>
      <c r="AP8" s="3140">
        <f t="shared" si="9"/>
        <v>0</v>
      </c>
      <c r="AQ8" s="1377">
        <f t="shared" si="10"/>
        <v>0</v>
      </c>
      <c r="AR8" s="1377">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6"/>
      <c r="AB9" s="2976"/>
      <c r="AC9" s="3089"/>
      <c r="AD9" s="3110"/>
      <c r="AE9" s="3111">
        <f ca="1" t="shared" si="6"/>
        <v>0</v>
      </c>
      <c r="AF9" s="2520"/>
      <c r="AG9" s="2359">
        <f ca="1" t="shared" si="7"/>
        <v>0</v>
      </c>
      <c r="AH9" s="3120"/>
      <c r="AI9" s="3121"/>
      <c r="AJ9" s="3122"/>
      <c r="AK9" s="3123"/>
      <c r="AL9" s="3124"/>
      <c r="AM9" s="3125"/>
      <c r="AN9" s="3126"/>
      <c r="AO9" s="1377" t="e">
        <f ca="1" t="shared" si="8"/>
        <v>#REF!</v>
      </c>
      <c r="AP9" s="3140">
        <f t="shared" si="9"/>
        <v>0</v>
      </c>
      <c r="AQ9" s="1377">
        <f t="shared" si="10"/>
        <v>0</v>
      </c>
      <c r="AR9" s="1377">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6"/>
      <c r="AB10" s="2976"/>
      <c r="AC10" s="3089"/>
      <c r="AD10" s="3110"/>
      <c r="AE10" s="3111">
        <f ca="1" t="shared" si="6"/>
        <v>0</v>
      </c>
      <c r="AF10" s="2520"/>
      <c r="AG10" s="2359">
        <f ca="1" t="shared" si="7"/>
        <v>0</v>
      </c>
      <c r="AH10" s="3120"/>
      <c r="AI10" s="3121"/>
      <c r="AJ10" s="3122"/>
      <c r="AK10" s="3123"/>
      <c r="AL10" s="3124"/>
      <c r="AM10" s="3125"/>
      <c r="AN10" s="3126"/>
      <c r="AO10" s="1377" t="e">
        <f ca="1" t="shared" si="8"/>
        <v>#REF!</v>
      </c>
      <c r="AP10" s="3140">
        <f t="shared" si="9"/>
        <v>0</v>
      </c>
      <c r="AQ10" s="1377">
        <f t="shared" si="10"/>
        <v>0</v>
      </c>
      <c r="AR10" s="1377">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89"/>
      <c r="Y11" s="3108"/>
      <c r="Z11" s="3112"/>
      <c r="AA11" s="2976"/>
      <c r="AB11" s="2976"/>
      <c r="AC11" s="3089"/>
      <c r="AD11" s="3110"/>
      <c r="AE11" s="3111">
        <f ca="1" t="shared" si="6"/>
        <v>0</v>
      </c>
      <c r="AF11" s="2520"/>
      <c r="AG11" s="2359">
        <f ca="1" t="shared" si="7"/>
        <v>0</v>
      </c>
      <c r="AH11" s="3120"/>
      <c r="AI11" s="3121"/>
      <c r="AJ11" s="3122"/>
      <c r="AK11" s="3131"/>
      <c r="AL11" s="3132"/>
      <c r="AM11" s="3133"/>
      <c r="AN11" s="3126"/>
      <c r="AO11" s="1377" t="e">
        <f ca="1" t="shared" si="8"/>
        <v>#REF!</v>
      </c>
      <c r="AP11" s="3140">
        <f t="shared" si="9"/>
        <v>0</v>
      </c>
      <c r="AQ11" s="1377">
        <f t="shared" si="10"/>
        <v>0</v>
      </c>
      <c r="AR11" s="1377">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89"/>
      <c r="Y12" s="3108"/>
      <c r="Z12" s="3112"/>
      <c r="AA12" s="2976"/>
      <c r="AB12" s="2976"/>
      <c r="AC12" s="3089"/>
      <c r="AD12" s="3110"/>
      <c r="AE12" s="3111">
        <f ca="1" t="shared" si="6"/>
        <v>0</v>
      </c>
      <c r="AF12" s="2520"/>
      <c r="AG12" s="2359">
        <f ca="1" t="shared" si="7"/>
        <v>0</v>
      </c>
      <c r="AH12" s="3120"/>
      <c r="AI12" s="3121"/>
      <c r="AJ12" s="3122"/>
      <c r="AK12" s="3131"/>
      <c r="AL12" s="3132"/>
      <c r="AM12" s="3133"/>
      <c r="AN12" s="3126"/>
      <c r="AO12" s="1377" t="e">
        <f ca="1" t="shared" si="8"/>
        <v>#REF!</v>
      </c>
      <c r="AP12" s="3140">
        <f t="shared" si="9"/>
        <v>0</v>
      </c>
      <c r="AQ12" s="1377">
        <f t="shared" si="10"/>
        <v>0</v>
      </c>
      <c r="AR12" s="1377">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6"/>
      <c r="AB13" s="2976"/>
      <c r="AC13" s="3089"/>
      <c r="AD13" s="3110"/>
      <c r="AE13" s="3111">
        <f ca="1" t="shared" si="6"/>
        <v>0</v>
      </c>
      <c r="AF13" s="2520"/>
      <c r="AG13" s="2359">
        <f ca="1" t="shared" si="7"/>
        <v>0</v>
      </c>
      <c r="AH13" s="3120"/>
      <c r="AI13" s="3121"/>
      <c r="AJ13" s="3122"/>
      <c r="AK13" s="3123"/>
      <c r="AL13" s="3124"/>
      <c r="AM13" s="3125"/>
      <c r="AN13" s="3126"/>
      <c r="AO13" s="1377" t="e">
        <f ca="1" t="shared" si="8"/>
        <v>#REF!</v>
      </c>
      <c r="AP13" s="3140">
        <f t="shared" si="9"/>
        <v>0</v>
      </c>
      <c r="AQ13" s="1377">
        <f t="shared" si="10"/>
        <v>0</v>
      </c>
      <c r="AR13" s="1377">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603</v>
      </c>
      <c r="B14" s="2969" t="s">
        <v>602</v>
      </c>
      <c r="C14" s="2978" t="s">
        <v>603</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377"/>
      <c r="AG14" s="2359"/>
      <c r="AH14" s="3111"/>
      <c r="AI14" s="1360"/>
      <c r="AJ14" s="1376"/>
      <c r="AK14" s="3134"/>
      <c r="AL14" s="3135"/>
      <c r="AM14" s="3136"/>
      <c r="AN14" s="2403"/>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604</v>
      </c>
      <c r="B15" s="2969" t="s">
        <v>602</v>
      </c>
      <c r="C15" s="2978" t="s">
        <v>650</v>
      </c>
      <c r="D15" s="2971"/>
      <c r="E15" s="2972"/>
      <c r="F15" s="2973"/>
      <c r="G15" s="2974"/>
      <c r="H15" s="2979"/>
      <c r="I15" s="2979"/>
      <c r="J15" s="2979"/>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377"/>
      <c r="AG15" s="2359"/>
      <c r="AH15" s="3111"/>
      <c r="AI15" s="1360"/>
      <c r="AJ15" s="1376"/>
      <c r="AK15" s="3134"/>
      <c r="AL15" s="3135"/>
      <c r="AM15" s="3136"/>
      <c r="AN15" s="2403"/>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605</v>
      </c>
      <c r="B16" s="2981"/>
      <c r="C16" s="2460"/>
      <c r="D16" s="2982"/>
      <c r="E16" s="2981"/>
      <c r="F16" s="2981"/>
      <c r="G16" s="2983">
        <f>ROUND(SUMPRODUCT(G6:G13,K6:K13)/SUMPRODUCT((G6:G13&gt;0)*(K6:K13)),3)</f>
        <v>1</v>
      </c>
      <c r="H16" s="2984">
        <f>ROUND(SUMPRODUCT(H6:H13,K6:K13)/SUMPRODUCT((H6:H13&gt;0)*(K6:K13)),3)</f>
        <v>0.04</v>
      </c>
      <c r="I16" s="3072"/>
      <c r="J16" s="3072"/>
      <c r="K16" s="3073">
        <f>SUM(K6:K15)</f>
        <v>69.7</v>
      </c>
      <c r="L16" s="3074">
        <f>ROUND(M16*10000/SUM(K6:K14),0)</f>
        <v>3443</v>
      </c>
      <c r="M16" s="3074">
        <f>SUM(M6:M14)</f>
        <v>24</v>
      </c>
      <c r="N16" s="3075">
        <f>ROUND(SUMPRODUCT(M6:M14,N6:N14)/M16,3)</f>
        <v>0.6</v>
      </c>
      <c r="O16" s="3074">
        <f>SUM(O6:O14)</f>
        <v>0</v>
      </c>
      <c r="P16" s="3074">
        <f>SUM(P6:P14)</f>
        <v>0</v>
      </c>
      <c r="Q16" s="3098">
        <f>ROUND(SUMPRODUCT(Q6:Q13,K6:K13)/SUMPRODUCT((Q6:Q13&gt;0)*(K6:K13)),2)</f>
        <v>0.2</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3"/>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403"/>
      <c r="D17" s="2987"/>
      <c r="E17" s="2987"/>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17" t="s">
        <v>651</v>
      </c>
      <c r="B18" s="2988"/>
      <c r="C18" s="2989"/>
      <c r="D18" s="2990"/>
      <c r="E18" s="2989"/>
      <c r="F18" s="2989"/>
      <c r="G18" s="2989"/>
      <c r="H18" s="2989"/>
      <c r="I18" s="2989"/>
      <c r="J18" s="2989"/>
      <c r="K18" s="3076"/>
      <c r="L18" s="3076"/>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1" t="s">
        <v>652</v>
      </c>
      <c r="B19" s="2992">
        <v>0</v>
      </c>
      <c r="C19" s="2993" t="s">
        <v>653</v>
      </c>
      <c r="D19" s="2990"/>
      <c r="E19" s="2989"/>
      <c r="F19" s="2989"/>
      <c r="G19" s="2989"/>
      <c r="H19" s="2989"/>
      <c r="I19" s="2989"/>
      <c r="J19" s="2989"/>
      <c r="K19" s="3076"/>
      <c r="L19" s="3076"/>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4" t="s">
        <v>654</v>
      </c>
      <c r="B20" s="2995">
        <v>2</v>
      </c>
      <c r="C20" s="2996" t="s">
        <v>655</v>
      </c>
      <c r="D20" s="2990"/>
      <c r="E20" s="2989"/>
      <c r="F20" s="2989"/>
      <c r="G20" s="2989"/>
      <c r="H20" s="2989"/>
      <c r="I20" s="2989"/>
      <c r="J20" s="2989"/>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7" t="s">
        <v>656</v>
      </c>
      <c r="B21" s="2995">
        <v>2</v>
      </c>
      <c r="C21" s="2989"/>
      <c r="D21" s="2990"/>
      <c r="E21" s="2989"/>
      <c r="F21" s="2989"/>
      <c r="G21" s="2989"/>
      <c r="H21" s="2989"/>
      <c r="I21" s="2989"/>
      <c r="J21" s="2989"/>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4" t="s">
        <v>657</v>
      </c>
      <c r="B22" s="2998">
        <f>B19+B20</f>
        <v>2</v>
      </c>
      <c r="C22" s="2989"/>
      <c r="D22" s="2990"/>
      <c r="E22" s="2989"/>
      <c r="F22" s="2989"/>
      <c r="G22" s="2989"/>
      <c r="H22" s="2989"/>
      <c r="I22" s="2989"/>
      <c r="J22" s="2989"/>
      <c r="K22" s="3076"/>
      <c r="L22" s="3076"/>
      <c r="M22" s="2403"/>
      <c r="N22" s="2403">
        <v>1999</v>
      </c>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7" t="s">
        <v>658</v>
      </c>
      <c r="B23" s="2998">
        <f>B19+B21</f>
        <v>2</v>
      </c>
      <c r="C23" s="2989"/>
      <c r="D23" s="2990"/>
      <c r="E23" s="2989"/>
      <c r="F23" s="2989"/>
      <c r="G23" s="2989"/>
      <c r="H23" s="2989"/>
      <c r="I23" s="2989"/>
      <c r="J23" s="2989"/>
      <c r="K23" s="3076"/>
      <c r="L23" s="3076"/>
      <c r="M23" s="2403"/>
      <c r="N23" s="2403">
        <v>2023</v>
      </c>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9" t="s">
        <v>659</v>
      </c>
      <c r="B24" s="3000">
        <f>B20-B21</f>
        <v>0</v>
      </c>
      <c r="C24" s="2989"/>
      <c r="D24" s="2990"/>
      <c r="E24" s="2989"/>
      <c r="F24" s="2989"/>
      <c r="G24" s="2989"/>
      <c r="H24" s="2989"/>
      <c r="I24" s="2989"/>
      <c r="J24" s="2989"/>
      <c r="K24" s="3076"/>
      <c r="L24" s="3076"/>
      <c r="M24" s="2403"/>
      <c r="N24" s="2403">
        <f>N23-N22</f>
        <v>24</v>
      </c>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8"/>
      <c r="B25" s="2959"/>
      <c r="C25" s="2989"/>
      <c r="D25" s="2990"/>
      <c r="E25" s="2989"/>
      <c r="F25" s="2989"/>
      <c r="G25" s="2989"/>
      <c r="H25" s="2989"/>
      <c r="I25" s="2989"/>
      <c r="J25" s="2989"/>
      <c r="K25" s="3076"/>
      <c r="L25" s="3076"/>
      <c r="M25" s="2403"/>
      <c r="N25" s="2403">
        <v>60</v>
      </c>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4" t="s">
        <v>660</v>
      </c>
      <c r="B26" s="3001" t="s">
        <v>661</v>
      </c>
      <c r="C26" s="3002" t="s">
        <v>662</v>
      </c>
      <c r="D26" s="2990"/>
      <c r="E26" s="2989"/>
      <c r="F26" s="2989"/>
      <c r="G26" s="2989"/>
      <c r="H26" s="2989"/>
      <c r="I26" s="2989"/>
      <c r="J26" s="2989"/>
      <c r="K26" s="3076"/>
      <c r="L26" s="3076"/>
      <c r="M26" s="2403"/>
      <c r="N26" s="2403">
        <f>N25-N24</f>
        <v>36</v>
      </c>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5" customFormat="1" ht="27.75" spans="1:67">
      <c r="A27" s="3003" t="s">
        <v>663</v>
      </c>
      <c r="B27" s="3004">
        <v>160</v>
      </c>
      <c r="C27" s="3005" t="s">
        <v>664</v>
      </c>
      <c r="D27" s="3006"/>
      <c r="E27" s="1492"/>
      <c r="F27" s="1492"/>
      <c r="G27" s="2989"/>
      <c r="H27" s="2989"/>
      <c r="I27" s="2989"/>
      <c r="J27" s="2989"/>
      <c r="K27" s="3076"/>
      <c r="L27" s="3076"/>
      <c r="M27" s="2403"/>
      <c r="N27" s="2403">
        <f>N26/N25</f>
        <v>0.6</v>
      </c>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5" customFormat="1" ht="27.75" spans="1:67">
      <c r="A28" s="3007" t="s">
        <v>665</v>
      </c>
      <c r="B28" s="3008">
        <v>200</v>
      </c>
      <c r="C28" s="3009"/>
      <c r="D28" s="3006"/>
      <c r="E28" s="1492"/>
      <c r="F28" s="1492"/>
      <c r="G28" s="2989"/>
      <c r="H28" s="2989"/>
      <c r="I28" s="2989"/>
      <c r="J28" s="2989"/>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5" customFormat="1" ht="28.5" spans="1:67">
      <c r="A29" s="3010" t="s">
        <v>666</v>
      </c>
      <c r="B29" s="3011"/>
      <c r="C29" s="3012" t="s">
        <v>667</v>
      </c>
      <c r="D29" s="3006"/>
      <c r="E29" s="1492"/>
      <c r="F29" s="1492"/>
      <c r="G29" s="2989"/>
      <c r="H29" s="2989"/>
      <c r="I29" s="2989"/>
      <c r="J29" s="2989"/>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5" customFormat="1" ht="27" spans="1:67">
      <c r="A30" s="3013" t="s">
        <v>668</v>
      </c>
      <c r="B30" s="3014">
        <v>200</v>
      </c>
      <c r="C30" s="3009"/>
      <c r="D30" s="3006"/>
      <c r="E30" s="1492"/>
      <c r="F30" s="1492"/>
      <c r="G30" s="2989"/>
      <c r="H30" s="2989"/>
      <c r="I30" s="2989"/>
      <c r="J30" s="2989"/>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5" customFormat="1" ht="27" spans="1:67">
      <c r="A31" s="3007" t="s">
        <v>669</v>
      </c>
      <c r="B31" s="3015">
        <f>B30-B32</f>
        <v>200</v>
      </c>
      <c r="C31" s="3016"/>
      <c r="D31" s="3006"/>
      <c r="E31" s="1492"/>
      <c r="F31" s="1492"/>
      <c r="G31" s="2989"/>
      <c r="H31" s="2989"/>
      <c r="I31" s="2989"/>
      <c r="J31" s="2989"/>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5" customFormat="1" ht="27.75" spans="1:67">
      <c r="A32" s="3017" t="s">
        <v>670</v>
      </c>
      <c r="B32" s="3018">
        <v>0</v>
      </c>
      <c r="C32" s="3009"/>
      <c r="D32" s="2990"/>
      <c r="E32" s="2989"/>
      <c r="F32" s="2989"/>
      <c r="G32" s="2989"/>
      <c r="H32" s="2989"/>
      <c r="I32" s="2989"/>
      <c r="J32" s="2989"/>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5" customFormat="1" ht="14.25" spans="1:67">
      <c r="A33" s="3003" t="s">
        <v>671</v>
      </c>
      <c r="B33" s="3019">
        <v>0.03</v>
      </c>
      <c r="C33" s="3020" t="s">
        <v>672</v>
      </c>
      <c r="D33" s="2990"/>
      <c r="E33" s="2989"/>
      <c r="F33" s="2989"/>
      <c r="G33" s="2989"/>
      <c r="H33" s="2989"/>
      <c r="I33" s="2989"/>
      <c r="J33" s="2989"/>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5" customFormat="1" ht="14.25" spans="1:67">
      <c r="A34" s="3007" t="s">
        <v>673</v>
      </c>
      <c r="B34" s="3021">
        <v>0.1</v>
      </c>
      <c r="C34" s="3020" t="s">
        <v>674</v>
      </c>
      <c r="D34" s="3022" t="s">
        <v>675</v>
      </c>
      <c r="E34" s="2986"/>
      <c r="F34" s="2989"/>
      <c r="G34" s="2989"/>
      <c r="H34" s="2989"/>
      <c r="I34" s="2989"/>
      <c r="J34" s="2989"/>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5" customFormat="1" ht="14.25" spans="1:67">
      <c r="A35" s="3007" t="s">
        <v>676</v>
      </c>
      <c r="B35" s="3008">
        <v>300</v>
      </c>
      <c r="C35" s="3020" t="s">
        <v>677</v>
      </c>
      <c r="D35" s="3006"/>
      <c r="E35" s="1492"/>
      <c r="F35" s="1492"/>
      <c r="G35" s="2989"/>
      <c r="H35" s="2989"/>
      <c r="I35" s="2989"/>
      <c r="J35" s="2989"/>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10" t="s">
        <v>678</v>
      </c>
      <c r="B36" s="3023">
        <v>0.015</v>
      </c>
      <c r="C36" s="3020" t="s">
        <v>679</v>
      </c>
      <c r="D36" s="2990"/>
      <c r="E36" s="2989"/>
      <c r="F36" s="2989"/>
      <c r="G36" s="2989"/>
      <c r="H36" s="2989"/>
      <c r="I36" s="2989"/>
      <c r="J36" s="2989"/>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3" t="s">
        <v>680</v>
      </c>
      <c r="B37" s="3024">
        <v>0.02</v>
      </c>
      <c r="C37" s="3020" t="s">
        <v>681</v>
      </c>
      <c r="D37" s="2990"/>
      <c r="E37" s="2989"/>
      <c r="F37" s="2989"/>
      <c r="G37" s="2989"/>
      <c r="H37" s="2989"/>
      <c r="I37" s="2989"/>
      <c r="J37" s="2989"/>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7" t="s">
        <v>682</v>
      </c>
      <c r="B38" s="3021">
        <v>0.02</v>
      </c>
      <c r="C38" s="3020" t="s">
        <v>681</v>
      </c>
      <c r="D38" s="2990"/>
      <c r="E38" s="2989"/>
      <c r="F38" s="2989"/>
      <c r="G38" s="2989"/>
      <c r="H38" s="2989"/>
      <c r="I38" s="2989"/>
      <c r="J38" s="2989"/>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7" t="s">
        <v>683</v>
      </c>
      <c r="B39" s="3025">
        <f ca="1">存贷款利率!I1</f>
        <v>0.015</v>
      </c>
      <c r="C39" s="3026"/>
      <c r="D39" s="2990"/>
      <c r="E39" s="2989"/>
      <c r="F39" s="2989"/>
      <c r="G39" s="2989"/>
      <c r="H39" s="2989"/>
      <c r="I39" s="2989"/>
      <c r="J39" s="2989"/>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28.5" spans="1:44">
      <c r="A40" s="3027" t="s">
        <v>684</v>
      </c>
      <c r="B40" s="3028">
        <v>0.0475</v>
      </c>
      <c r="C40" s="3029">
        <v>0.005</v>
      </c>
      <c r="D40" s="2403"/>
      <c r="E40" s="2990"/>
      <c r="F40" s="2989"/>
      <c r="G40" s="2989"/>
      <c r="H40" s="2989"/>
      <c r="I40" s="2989"/>
      <c r="J40" s="2989"/>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3" t="s">
        <v>685</v>
      </c>
      <c r="B41" s="3030">
        <f>B42+B43</f>
        <v>0.056</v>
      </c>
      <c r="C41" s="3016"/>
      <c r="D41" s="2403"/>
      <c r="E41" s="2990"/>
      <c r="F41" s="2989"/>
      <c r="G41" s="2989"/>
      <c r="H41" s="2989"/>
      <c r="I41" s="2989"/>
      <c r="J41" s="2989"/>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1" t="s">
        <v>686</v>
      </c>
      <c r="B42" s="3032">
        <v>0.05</v>
      </c>
      <c r="C42" s="3033">
        <f>IF(B2&lt;DATE(2016,5,1),0,B42)</f>
        <v>0.05</v>
      </c>
      <c r="D42" s="2990"/>
      <c r="E42" s="2989"/>
      <c r="F42" s="2989"/>
      <c r="G42" s="2989"/>
      <c r="H42" s="2989"/>
      <c r="I42" s="2989"/>
      <c r="J42" s="2989"/>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1" t="s">
        <v>687</v>
      </c>
      <c r="B43" s="3034">
        <f>B42*(B44+B45+B46)+B47</f>
        <v>0.006</v>
      </c>
      <c r="C43" s="3016"/>
      <c r="D43" s="2990"/>
      <c r="E43" s="2989"/>
      <c r="F43" s="2989"/>
      <c r="G43" s="2989"/>
      <c r="H43" s="2989"/>
      <c r="I43" s="2989"/>
      <c r="J43" s="2989"/>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5" t="s">
        <v>688</v>
      </c>
      <c r="B44" s="3036">
        <v>0.07</v>
      </c>
      <c r="C44" s="3020" t="s">
        <v>689</v>
      </c>
      <c r="D44" s="2990"/>
      <c r="E44" s="2989"/>
      <c r="F44" s="2989"/>
      <c r="G44" s="2989"/>
      <c r="H44" s="2989"/>
      <c r="I44" s="2989"/>
      <c r="J44" s="2989"/>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5" t="s">
        <v>690</v>
      </c>
      <c r="B45" s="3032">
        <v>0.03</v>
      </c>
      <c r="C45" s="3012" t="s">
        <v>691</v>
      </c>
      <c r="D45" s="2990"/>
      <c r="E45" s="2989"/>
      <c r="F45" s="2989"/>
      <c r="G45" s="2989"/>
      <c r="H45" s="2989"/>
      <c r="I45" s="2989"/>
      <c r="J45" s="2989"/>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5" t="s">
        <v>692</v>
      </c>
      <c r="B46" s="3032">
        <v>0.02</v>
      </c>
      <c r="C46" s="3012" t="s">
        <v>693</v>
      </c>
      <c r="D46" s="2990"/>
      <c r="E46" s="2989"/>
      <c r="F46" s="2989"/>
      <c r="G46" s="2989"/>
      <c r="H46" s="2989"/>
      <c r="I46" s="2989"/>
      <c r="J46" s="2989"/>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7" t="s">
        <v>694</v>
      </c>
      <c r="B47" s="3038"/>
      <c r="C47" s="3039" t="s">
        <v>695</v>
      </c>
      <c r="D47" s="2990"/>
      <c r="E47" s="2989"/>
      <c r="F47" s="2989"/>
      <c r="G47" s="2989"/>
      <c r="H47" s="2989"/>
      <c r="I47" s="2989"/>
      <c r="J47" s="2989"/>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0" t="s">
        <v>696</v>
      </c>
      <c r="B48" s="3041">
        <v>0.03</v>
      </c>
      <c r="C48" s="3012" t="s">
        <v>691</v>
      </c>
      <c r="D48" s="2990"/>
      <c r="E48" s="2989"/>
      <c r="F48" s="2989"/>
      <c r="G48" s="2989"/>
      <c r="H48" s="2989"/>
      <c r="I48" s="2989"/>
      <c r="J48" s="2989"/>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7" t="s">
        <v>697</v>
      </c>
      <c r="B49" s="3032">
        <v>0.0005</v>
      </c>
      <c r="C49" s="3012" t="s">
        <v>698</v>
      </c>
      <c r="D49" s="2990"/>
      <c r="E49" s="2989"/>
      <c r="F49" s="2989"/>
      <c r="G49" s="2989"/>
      <c r="H49" s="2989"/>
      <c r="I49" s="2989"/>
      <c r="J49" s="2989"/>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2" t="s">
        <v>699</v>
      </c>
      <c r="B50" s="3043">
        <v>0.012</v>
      </c>
      <c r="C50" s="1492"/>
      <c r="D50" s="2990"/>
      <c r="E50" s="2989"/>
      <c r="F50" s="2989"/>
      <c r="G50" s="2989"/>
      <c r="H50" s="2989"/>
      <c r="I50" s="2989"/>
      <c r="J50" s="2989"/>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10" t="s">
        <v>700</v>
      </c>
      <c r="B51" s="3044">
        <v>0.12</v>
      </c>
      <c r="C51" s="1492"/>
      <c r="D51" s="2990"/>
      <c r="E51" s="2989"/>
      <c r="F51" s="2989"/>
      <c r="G51" s="2989"/>
      <c r="H51" s="2989"/>
      <c r="I51" s="2989"/>
      <c r="J51" s="2989"/>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2" t="s">
        <v>701</v>
      </c>
      <c r="B52" s="3045">
        <f>SUMIF(A54:A63,B53,B54:B63)</f>
        <v>0</v>
      </c>
      <c r="C52" s="1492"/>
      <c r="D52" s="2990"/>
      <c r="E52" s="2989"/>
      <c r="F52" s="2989"/>
      <c r="G52" s="2989"/>
      <c r="H52" s="2989"/>
      <c r="I52" s="2989"/>
      <c r="J52" s="2989"/>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7" t="s">
        <v>702</v>
      </c>
      <c r="B53" s="3046"/>
      <c r="C53" s="1492" t="s">
        <v>703</v>
      </c>
      <c r="D53" s="3047" t="s">
        <v>704</v>
      </c>
      <c r="E53" s="2989"/>
      <c r="F53" s="2989"/>
      <c r="G53" s="2989"/>
      <c r="H53" s="2989"/>
      <c r="I53" s="2989"/>
      <c r="J53" s="2989"/>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8" t="s">
        <v>705</v>
      </c>
      <c r="B54" s="3049"/>
      <c r="C54" s="1492">
        <v>30</v>
      </c>
      <c r="D54" s="2990"/>
      <c r="E54" s="2989"/>
      <c r="F54" s="2989"/>
      <c r="G54" s="2989"/>
      <c r="H54" s="2989"/>
      <c r="I54" s="2989"/>
      <c r="J54" s="2989"/>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8" t="s">
        <v>706</v>
      </c>
      <c r="B55" s="3049"/>
      <c r="C55" s="1492">
        <v>24</v>
      </c>
      <c r="D55" s="2990"/>
      <c r="E55" s="2989"/>
      <c r="F55" s="2989"/>
      <c r="G55" s="2989"/>
      <c r="H55" s="2989"/>
      <c r="I55" s="3077"/>
      <c r="J55" s="2989"/>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8" t="s">
        <v>707</v>
      </c>
      <c r="B56" s="3049"/>
      <c r="C56" s="1492">
        <v>18</v>
      </c>
      <c r="D56" s="2990"/>
      <c r="E56" s="2989"/>
      <c r="F56" s="2989"/>
      <c r="G56" s="2989"/>
      <c r="H56" s="2989"/>
      <c r="I56" s="2989"/>
      <c r="J56" s="2989"/>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8" t="s">
        <v>708</v>
      </c>
      <c r="B57" s="3049"/>
      <c r="C57" s="1492">
        <v>12</v>
      </c>
      <c r="D57" s="2990"/>
      <c r="E57" s="2989"/>
      <c r="F57" s="2989"/>
      <c r="G57" s="2989"/>
      <c r="H57" s="2989"/>
      <c r="I57" s="2989"/>
      <c r="J57" s="2989"/>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8" t="s">
        <v>709</v>
      </c>
      <c r="B58" s="3049"/>
      <c r="C58" s="1492">
        <v>3</v>
      </c>
      <c r="D58" s="2990"/>
      <c r="E58" s="2989"/>
      <c r="F58" s="2989"/>
      <c r="G58" s="2989"/>
      <c r="H58" s="2989"/>
      <c r="I58" s="2989"/>
      <c r="J58" s="2989"/>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8" t="s">
        <v>710</v>
      </c>
      <c r="B59" s="3049"/>
      <c r="C59" s="1492">
        <v>1.5</v>
      </c>
      <c r="D59" s="2990"/>
      <c r="E59" s="2989"/>
      <c r="F59" s="2989"/>
      <c r="G59" s="2989"/>
      <c r="H59" s="2989"/>
      <c r="I59" s="2989"/>
      <c r="J59" s="2989"/>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8" t="s">
        <v>711</v>
      </c>
      <c r="B60" s="3049"/>
      <c r="C60" s="2989"/>
      <c r="D60" s="2990"/>
      <c r="E60" s="2989"/>
      <c r="F60" s="2989"/>
      <c r="G60" s="2989"/>
      <c r="H60" s="2989"/>
      <c r="I60" s="2989"/>
      <c r="J60" s="2989"/>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8" t="s">
        <v>712</v>
      </c>
      <c r="B61" s="3049"/>
      <c r="C61" s="2989"/>
      <c r="D61" s="2990"/>
      <c r="E61" s="2989"/>
      <c r="F61" s="2989"/>
      <c r="G61" s="2989"/>
      <c r="H61" s="2989"/>
      <c r="I61" s="2989"/>
      <c r="J61" s="2989"/>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8" t="s">
        <v>713</v>
      </c>
      <c r="B62" s="3049"/>
      <c r="C62" s="2989"/>
      <c r="D62" s="2990"/>
      <c r="E62" s="2989"/>
      <c r="F62" s="2989"/>
      <c r="G62" s="2989"/>
      <c r="H62" s="2989"/>
      <c r="I62" s="2989"/>
      <c r="J62" s="2989"/>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0" t="s">
        <v>714</v>
      </c>
      <c r="B63" s="3051"/>
      <c r="C63" s="2989"/>
      <c r="D63" s="2990"/>
      <c r="E63" s="2989"/>
      <c r="F63" s="2989"/>
      <c r="G63" s="2989"/>
      <c r="H63" s="2989"/>
      <c r="I63" s="2989"/>
      <c r="J63" s="2989"/>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2"/>
      <c r="B64" s="2403"/>
      <c r="C64" s="2403"/>
      <c r="D64" s="2987"/>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2"/>
      <c r="B65" s="2403"/>
      <c r="C65" s="2403"/>
      <c r="D65" s="2987"/>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2"/>
      <c r="B66" s="2403"/>
      <c r="C66" s="2403"/>
      <c r="D66" s="2987"/>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2"/>
      <c r="B67" s="2403"/>
      <c r="C67" s="2403"/>
      <c r="D67" s="2987"/>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2"/>
      <c r="B68" s="2403"/>
      <c r="C68" s="2403"/>
      <c r="D68" s="2987"/>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9"/>
      <c r="D69" s="3141"/>
      <c r="K69" s="1090"/>
      <c r="L69" s="1090"/>
    </row>
    <row r="70" s="2475" customFormat="1" spans="1:12">
      <c r="A70" s="2849"/>
      <c r="D70" s="3141"/>
      <c r="K70" s="1090"/>
      <c r="L70" s="1090"/>
    </row>
    <row r="71" s="2475" customFormat="1" spans="1:12">
      <c r="A71" s="2849"/>
      <c r="D71" s="3141"/>
      <c r="K71" s="1090"/>
      <c r="L71" s="1090"/>
    </row>
    <row r="72" s="2475" customFormat="1" spans="1:12">
      <c r="A72" s="2849"/>
      <c r="D72" s="3141"/>
      <c r="K72" s="1090"/>
      <c r="L72" s="1090"/>
    </row>
    <row r="73" s="2475" customFormat="1" spans="1:12">
      <c r="A73" s="2849"/>
      <c r="D73" s="3141"/>
      <c r="K73" s="1090"/>
      <c r="L73" s="1090"/>
    </row>
    <row r="74" s="2475" customFormat="1" spans="1:12">
      <c r="A74" s="2849"/>
      <c r="D74" s="3141"/>
      <c r="K74" s="1090"/>
      <c r="L74" s="1090"/>
    </row>
    <row r="75" s="2475" customFormat="1" spans="1:12">
      <c r="A75" s="2849"/>
      <c r="D75" s="3141"/>
      <c r="K75" s="1090"/>
      <c r="L75" s="1090"/>
    </row>
    <row r="76" s="2475" customFormat="1" spans="1:12">
      <c r="A76" s="2849"/>
      <c r="D76" s="3141"/>
      <c r="K76" s="1090"/>
      <c r="L76" s="1090"/>
    </row>
    <row r="77" s="2475" customFormat="1" spans="1:12">
      <c r="A77" s="2849"/>
      <c r="D77" s="3141"/>
      <c r="K77" s="1090"/>
      <c r="L77" s="1090"/>
    </row>
    <row r="78" s="2475" customFormat="1" spans="1:12">
      <c r="A78" s="2849"/>
      <c r="D78" s="3141"/>
      <c r="K78" s="1090"/>
      <c r="L78" s="1090"/>
    </row>
    <row r="79" s="2475" customFormat="1" spans="1:12">
      <c r="A79" s="2849"/>
      <c r="D79" s="3141"/>
      <c r="K79" s="1090"/>
      <c r="L79" s="1090"/>
    </row>
    <row r="80" s="2475" customFormat="1" spans="1:12">
      <c r="A80" s="2849"/>
      <c r="D80" s="3141"/>
      <c r="K80" s="1090"/>
      <c r="L80" s="1090"/>
    </row>
    <row r="81" s="2475" customFormat="1" spans="1:12">
      <c r="A81" s="2849"/>
      <c r="D81" s="3141"/>
      <c r="K81" s="1090"/>
      <c r="L81" s="1090"/>
    </row>
    <row r="82" s="2475" customFormat="1" spans="1:12">
      <c r="A82" s="2849"/>
      <c r="D82" s="3141"/>
      <c r="K82" s="1090"/>
      <c r="L82" s="1090"/>
    </row>
    <row r="83" s="2475" customFormat="1" spans="1:12">
      <c r="A83" s="2849"/>
      <c r="D83" s="3141"/>
      <c r="K83" s="1090"/>
      <c r="L83" s="1090"/>
    </row>
    <row r="84" s="2475" customFormat="1" spans="1:12">
      <c r="A84" s="2849"/>
      <c r="D84" s="3141"/>
      <c r="K84" s="1090"/>
      <c r="L84" s="1090"/>
    </row>
    <row r="85" s="2475" customFormat="1" spans="1:12">
      <c r="A85" s="2849"/>
      <c r="D85" s="3141"/>
      <c r="K85" s="1090"/>
      <c r="L85" s="1090"/>
    </row>
    <row r="86" s="2475" customFormat="1" spans="1:12">
      <c r="A86" s="2849"/>
      <c r="D86" s="3141"/>
      <c r="K86" s="1090"/>
      <c r="L86" s="1090"/>
    </row>
    <row r="87" s="2475" customFormat="1" spans="1:12">
      <c r="A87" s="2849"/>
      <c r="D87" s="3141"/>
      <c r="K87" s="1090"/>
      <c r="L87" s="1090"/>
    </row>
    <row r="88" s="2475" customFormat="1" spans="1:12">
      <c r="A88" s="2849"/>
      <c r="D88" s="3141"/>
      <c r="K88" s="1090"/>
      <c r="L88" s="1090"/>
    </row>
    <row r="89" s="2475" customFormat="1" spans="1:12">
      <c r="A89" s="2849"/>
      <c r="D89" s="3141"/>
      <c r="K89" s="1090"/>
      <c r="L89" s="1090"/>
    </row>
    <row r="90" s="2475" customFormat="1" spans="1:12">
      <c r="A90" s="2849"/>
      <c r="D90" s="3141"/>
      <c r="K90" s="1090"/>
      <c r="L90" s="1090"/>
    </row>
    <row r="91" s="2475" customFormat="1" spans="1:12">
      <c r="A91" s="2849"/>
      <c r="D91" s="3141"/>
      <c r="K91" s="1090"/>
      <c r="L91" s="1090"/>
    </row>
    <row r="92" s="2475" customFormat="1" spans="1:12">
      <c r="A92" s="2849"/>
      <c r="D92" s="3141"/>
      <c r="K92" s="1090"/>
      <c r="L92" s="1090"/>
    </row>
    <row r="93" s="2475" customFormat="1" spans="1:12">
      <c r="A93" s="2849"/>
      <c r="D93" s="3141"/>
      <c r="K93" s="1090"/>
      <c r="L93" s="1090"/>
    </row>
    <row r="94" s="2475" customFormat="1" spans="1:12">
      <c r="A94" s="2849"/>
      <c r="D94" s="3141"/>
      <c r="K94" s="1090"/>
      <c r="L94" s="1090"/>
    </row>
    <row r="95" s="2475" customFormat="1" spans="1:12">
      <c r="A95" s="2849"/>
      <c r="D95" s="3141"/>
      <c r="K95" s="1090"/>
      <c r="L95" s="1090"/>
    </row>
    <row r="96" s="2475" customFormat="1" spans="1:12">
      <c r="A96" s="2849"/>
      <c r="D96" s="3141"/>
      <c r="K96" s="1090"/>
      <c r="L96" s="1090"/>
    </row>
    <row r="97" s="2475" customFormat="1" spans="1:12">
      <c r="A97" s="2849"/>
      <c r="D97" s="3141"/>
      <c r="K97" s="1090"/>
      <c r="L97" s="1090"/>
    </row>
    <row r="98" s="2475" customFormat="1" spans="1:12">
      <c r="A98" s="2849"/>
      <c r="D98" s="3141"/>
      <c r="K98" s="1090"/>
      <c r="L98" s="1090"/>
    </row>
    <row r="99" s="2475" customFormat="1" spans="1:12">
      <c r="A99" s="2849"/>
      <c r="D99" s="3141"/>
      <c r="K99" s="1090"/>
      <c r="L99" s="1090"/>
    </row>
    <row r="100" s="2475" customFormat="1" spans="1:12">
      <c r="A100" s="2849"/>
      <c r="D100" s="3141"/>
      <c r="K100" s="1090"/>
      <c r="L100" s="1090"/>
    </row>
    <row r="101" s="2475" customFormat="1" spans="1:12">
      <c r="A101" s="2849"/>
      <c r="D101" s="3141"/>
      <c r="K101" s="1090"/>
      <c r="L101" s="1090"/>
    </row>
    <row r="102" s="2475" customFormat="1" spans="1:12">
      <c r="A102" s="2849"/>
      <c r="D102" s="3141"/>
      <c r="K102" s="1090"/>
      <c r="L102" s="1090"/>
    </row>
    <row r="103" s="2475" customFormat="1" spans="1:12">
      <c r="A103" s="2849"/>
      <c r="D103" s="3141"/>
      <c r="K103" s="1090"/>
      <c r="L103" s="1090"/>
    </row>
    <row r="104" s="2475" customFormat="1" spans="1:12">
      <c r="A104" s="2849"/>
      <c r="D104" s="3141"/>
      <c r="K104" s="1090"/>
      <c r="L104" s="1090"/>
    </row>
    <row r="105" s="2475" customFormat="1" spans="1:12">
      <c r="A105" s="2849"/>
      <c r="D105" s="3141"/>
      <c r="K105" s="1090"/>
      <c r="L105" s="1090"/>
    </row>
    <row r="106" s="2475" customFormat="1" spans="1:12">
      <c r="A106" s="2849"/>
      <c r="D106" s="3141"/>
      <c r="K106" s="1090"/>
      <c r="L106" s="1090"/>
    </row>
    <row r="107" s="2475" customFormat="1" spans="1:12">
      <c r="A107" s="2849"/>
      <c r="D107" s="3141"/>
      <c r="K107" s="1090"/>
      <c r="L107" s="1090"/>
    </row>
    <row r="108" s="2475" customFormat="1" spans="1:12">
      <c r="A108" s="2849"/>
      <c r="D108" s="3141"/>
      <c r="K108" s="1090"/>
      <c r="L108" s="1090"/>
    </row>
    <row r="109" s="2475" customFormat="1" spans="1:12">
      <c r="A109" s="2849"/>
      <c r="D109" s="3141"/>
      <c r="K109" s="1090"/>
      <c r="L109" s="1090"/>
    </row>
    <row r="110" s="2475" customFormat="1" spans="1:12">
      <c r="A110" s="2849"/>
      <c r="D110" s="3141"/>
      <c r="K110" s="1090"/>
      <c r="L110" s="1090"/>
    </row>
    <row r="111" s="2475" customFormat="1" spans="1:12">
      <c r="A111" s="2849"/>
      <c r="D111" s="3141"/>
      <c r="K111" s="1090"/>
      <c r="L111" s="1090"/>
    </row>
    <row r="112" s="2475" customFormat="1" spans="1:12">
      <c r="A112" s="2849"/>
      <c r="D112" s="3141"/>
      <c r="K112" s="1090"/>
      <c r="L112" s="1090"/>
    </row>
    <row r="113" s="2475" customFormat="1" spans="1:12">
      <c r="A113" s="2849"/>
      <c r="D113" s="3141"/>
      <c r="K113" s="1090"/>
      <c r="L113" s="1090"/>
    </row>
    <row r="114" s="2475" customFormat="1" spans="1:12">
      <c r="A114" s="2849"/>
      <c r="D114" s="3141"/>
      <c r="K114" s="1090"/>
      <c r="L114" s="1090"/>
    </row>
    <row r="115" s="2475" customFormat="1" spans="1:12">
      <c r="A115" s="2849"/>
      <c r="D115" s="3141"/>
      <c r="K115" s="1090"/>
      <c r="L115" s="1090"/>
    </row>
    <row r="116" s="2475" customFormat="1" spans="1:12">
      <c r="A116" s="2849"/>
      <c r="D116" s="3141"/>
      <c r="K116" s="1090"/>
      <c r="L116" s="1090"/>
    </row>
    <row r="117" s="2475" customFormat="1" spans="1:12">
      <c r="A117" s="2849"/>
      <c r="D117" s="3141"/>
      <c r="K117" s="1090"/>
      <c r="L117" s="1090"/>
    </row>
    <row r="118" s="2475" customFormat="1" spans="1:12">
      <c r="A118" s="2849"/>
      <c r="D118" s="3141"/>
      <c r="K118" s="1090"/>
      <c r="L118" s="1090"/>
    </row>
    <row r="119" s="2475" customFormat="1" spans="1:12">
      <c r="A119" s="2849"/>
      <c r="D119" s="3141"/>
      <c r="K119" s="1090"/>
      <c r="L119" s="1090"/>
    </row>
    <row r="120" s="2475" customFormat="1" spans="1:12">
      <c r="A120" s="2849"/>
      <c r="D120" s="3141"/>
      <c r="K120" s="1090"/>
      <c r="L120" s="1090"/>
    </row>
    <row r="121" s="2475" customFormat="1" spans="1:12">
      <c r="A121" s="2849"/>
      <c r="D121" s="3141"/>
      <c r="K121" s="1090"/>
      <c r="L121" s="1090"/>
    </row>
    <row r="122" s="2475" customFormat="1" spans="1:12">
      <c r="A122" s="2849"/>
      <c r="D122" s="3141"/>
      <c r="K122" s="1090"/>
      <c r="L122" s="1090"/>
    </row>
    <row r="123" s="2475" customFormat="1" spans="1:12">
      <c r="A123" s="2849"/>
      <c r="D123" s="3141"/>
      <c r="K123" s="1090"/>
      <c r="L123" s="1090"/>
    </row>
    <row r="124" s="2475" customFormat="1" spans="1:12">
      <c r="A124" s="2849"/>
      <c r="D124" s="3141"/>
      <c r="K124" s="1090"/>
      <c r="L124" s="1090"/>
    </row>
    <row r="125" s="2475" customFormat="1" spans="1:12">
      <c r="A125" s="2849"/>
      <c r="D125" s="3141"/>
      <c r="K125" s="1090"/>
      <c r="L125" s="1090"/>
    </row>
    <row r="126" s="2475" customFormat="1" spans="1:12">
      <c r="A126" s="2849"/>
      <c r="D126" s="3141"/>
      <c r="K126" s="1090"/>
      <c r="L126" s="1090"/>
    </row>
    <row r="127" s="2475" customFormat="1" spans="1:12">
      <c r="A127" s="2849"/>
      <c r="D127" s="3141"/>
      <c r="K127" s="1090"/>
      <c r="L127" s="1090"/>
    </row>
    <row r="128" s="2475" customFormat="1" spans="1:12">
      <c r="A128" s="2849"/>
      <c r="D128" s="3141"/>
      <c r="K128" s="1090"/>
      <c r="L128" s="1090"/>
    </row>
    <row r="129" s="2475" customFormat="1" spans="1:12">
      <c r="A129" s="2849"/>
      <c r="D129" s="3141"/>
      <c r="K129" s="1090"/>
      <c r="L129" s="1090"/>
    </row>
    <row r="130" s="2475" customFormat="1" spans="1:12">
      <c r="A130" s="2849"/>
      <c r="D130" s="3141"/>
      <c r="K130" s="1090"/>
      <c r="L130" s="1090"/>
    </row>
    <row r="131" s="2475" customFormat="1" spans="1:12">
      <c r="A131" s="2849"/>
      <c r="D131" s="3141"/>
      <c r="K131" s="1090"/>
      <c r="L131" s="1090"/>
    </row>
    <row r="132" s="2475" customFormat="1" spans="1:12">
      <c r="A132" s="2849"/>
      <c r="D132" s="3141"/>
      <c r="K132" s="1090"/>
      <c r="L132" s="1090"/>
    </row>
    <row r="133" s="2475" customFormat="1" spans="1:12">
      <c r="A133" s="2849"/>
      <c r="D133" s="3141"/>
      <c r="K133" s="1090"/>
      <c r="L133" s="1090"/>
    </row>
    <row r="134" s="2946" customFormat="1" spans="1:12">
      <c r="A134" s="3142"/>
      <c r="D134" s="3143"/>
      <c r="K134" s="991"/>
      <c r="L134" s="991"/>
    </row>
    <row r="135" s="2946" customFormat="1" spans="1:12">
      <c r="A135" s="3142"/>
      <c r="D135" s="3143"/>
      <c r="K135" s="991"/>
      <c r="L135" s="991"/>
    </row>
    <row r="136" s="2946" customFormat="1" spans="1:12">
      <c r="A136" s="3142"/>
      <c r="D136" s="3143"/>
      <c r="K136" s="991"/>
      <c r="L136" s="991"/>
    </row>
    <row r="137" s="2946" customFormat="1" spans="1:12">
      <c r="A137" s="3142"/>
      <c r="D137" s="3143"/>
      <c r="K137" s="991"/>
      <c r="L137" s="991"/>
    </row>
    <row r="138" s="2946" customFormat="1" spans="1:12">
      <c r="A138" s="3142"/>
      <c r="D138" s="3143"/>
      <c r="K138" s="991"/>
      <c r="L138" s="991"/>
    </row>
    <row r="139" s="2946" customFormat="1" spans="1:12">
      <c r="A139" s="3142"/>
      <c r="D139" s="3143"/>
      <c r="K139" s="991"/>
      <c r="L139" s="991"/>
    </row>
    <row r="140" s="2946" customFormat="1" spans="1:12">
      <c r="A140" s="3142"/>
      <c r="D140" s="3143"/>
      <c r="K140" s="991"/>
      <c r="L140" s="991"/>
    </row>
    <row r="141" s="2946" customFormat="1" spans="1:12">
      <c r="A141" s="3142"/>
      <c r="D141" s="3143"/>
      <c r="K141" s="991"/>
      <c r="L141" s="991"/>
    </row>
    <row r="142" s="2946" customFormat="1" spans="1:12">
      <c r="A142" s="3142"/>
      <c r="D142" s="3143"/>
      <c r="K142" s="991"/>
      <c r="L142" s="991"/>
    </row>
    <row r="143" s="2946" customFormat="1" spans="1:12">
      <c r="A143" s="3142"/>
      <c r="D143" s="3143"/>
      <c r="K143" s="991"/>
      <c r="L143" s="991"/>
    </row>
    <row r="144" s="2946" customFormat="1" spans="1:12">
      <c r="A144" s="3142"/>
      <c r="D144" s="3143"/>
      <c r="K144" s="991"/>
      <c r="L144" s="991"/>
    </row>
    <row r="145" s="2946" customFormat="1" spans="1:12">
      <c r="A145" s="3142"/>
      <c r="D145" s="3143"/>
      <c r="K145" s="991"/>
      <c r="L145" s="991"/>
    </row>
    <row r="146" s="2946" customFormat="1" spans="1:12">
      <c r="A146" s="3142"/>
      <c r="D146" s="3143"/>
      <c r="K146" s="991"/>
      <c r="L146" s="991"/>
    </row>
    <row r="147" s="2946" customFormat="1" spans="1:12">
      <c r="A147" s="3142"/>
      <c r="D147" s="3143"/>
      <c r="K147" s="991"/>
      <c r="L147" s="991"/>
    </row>
    <row r="148" s="2946" customFormat="1" spans="1:12">
      <c r="A148" s="3142"/>
      <c r="D148" s="3143"/>
      <c r="K148" s="991"/>
      <c r="L148" s="991"/>
    </row>
    <row r="149" s="2946" customFormat="1" spans="1:12">
      <c r="A149" s="3142"/>
      <c r="D149" s="3143"/>
      <c r="K149" s="991"/>
      <c r="L149" s="991"/>
    </row>
    <row r="150" s="2946" customFormat="1" spans="1:12">
      <c r="A150" s="3142"/>
      <c r="D150" s="3143"/>
      <c r="K150" s="991"/>
      <c r="L150" s="991"/>
    </row>
    <row r="151" s="2946" customFormat="1" spans="1:12">
      <c r="A151" s="3142"/>
      <c r="D151" s="3143"/>
      <c r="K151" s="991"/>
      <c r="L151" s="991"/>
    </row>
    <row r="152" s="2946" customFormat="1" spans="1:12">
      <c r="A152" s="3142"/>
      <c r="D152" s="3143"/>
      <c r="K152" s="991"/>
      <c r="L152" s="991"/>
    </row>
    <row r="153" s="2946" customFormat="1" spans="1:12">
      <c r="A153" s="3142"/>
      <c r="D153" s="3143"/>
      <c r="K153" s="991"/>
      <c r="L153" s="991"/>
    </row>
    <row r="154" s="2946" customFormat="1" spans="1:12">
      <c r="A154" s="3142"/>
      <c r="D154" s="3143"/>
      <c r="K154" s="991"/>
      <c r="L154" s="991"/>
    </row>
    <row r="155" s="2946" customFormat="1" spans="1:12">
      <c r="A155" s="3142"/>
      <c r="D155" s="3143"/>
      <c r="K155" s="991"/>
      <c r="L155" s="991"/>
    </row>
    <row r="156" s="2946" customFormat="1" spans="1:12">
      <c r="A156" s="3142"/>
      <c r="D156" s="3143"/>
      <c r="K156" s="991"/>
      <c r="L156" s="991"/>
    </row>
    <row r="157" s="2946" customFormat="1" spans="1:12">
      <c r="A157" s="3142"/>
      <c r="D157" s="3143"/>
      <c r="K157" s="991"/>
      <c r="L157" s="991"/>
    </row>
    <row r="158" s="2946" customFormat="1" spans="1:12">
      <c r="A158" s="3142"/>
      <c r="D158" s="3143"/>
      <c r="K158" s="991"/>
      <c r="L158" s="991"/>
    </row>
    <row r="159" s="2946" customFormat="1" spans="1:12">
      <c r="A159" s="3142"/>
      <c r="D159" s="3143"/>
      <c r="K159" s="991"/>
      <c r="L159" s="991"/>
    </row>
    <row r="160" s="2946" customFormat="1" spans="1:12">
      <c r="A160" s="3142"/>
      <c r="D160" s="3143"/>
      <c r="K160" s="991"/>
      <c r="L160" s="991"/>
    </row>
    <row r="161" s="2946" customFormat="1" spans="1:12">
      <c r="A161" s="3142"/>
      <c r="D161" s="3143"/>
      <c r="K161" s="991"/>
      <c r="L161" s="991"/>
    </row>
    <row r="162" s="2946" customFormat="1" spans="1:12">
      <c r="A162" s="3142"/>
      <c r="D162" s="3143"/>
      <c r="K162" s="991"/>
      <c r="L162" s="991"/>
    </row>
    <row r="163" s="2946" customFormat="1" spans="1:12">
      <c r="A163" s="3142"/>
      <c r="D163" s="3143"/>
      <c r="K163" s="991"/>
      <c r="L163" s="991"/>
    </row>
    <row r="164" s="2946" customFormat="1" spans="1:12">
      <c r="A164" s="3142"/>
      <c r="D164" s="3143"/>
      <c r="K164" s="991"/>
      <c r="L164" s="991"/>
    </row>
    <row r="165" s="2946" customFormat="1" spans="1:12">
      <c r="A165" s="3142"/>
      <c r="D165" s="3143"/>
      <c r="K165" s="991"/>
      <c r="L165" s="991"/>
    </row>
    <row r="166" s="2946" customFormat="1" spans="1:12">
      <c r="A166" s="3142"/>
      <c r="D166" s="3143"/>
      <c r="K166" s="991"/>
      <c r="L166" s="991"/>
    </row>
    <row r="167" s="2946" customFormat="1" spans="1:12">
      <c r="A167" s="3142"/>
      <c r="D167" s="3143"/>
      <c r="K167" s="991"/>
      <c r="L167" s="991"/>
    </row>
    <row r="168" s="2946" customFormat="1" spans="1:12">
      <c r="A168" s="3142"/>
      <c r="D168" s="3143"/>
      <c r="K168" s="991"/>
      <c r="L168" s="991"/>
    </row>
    <row r="169" s="2946" customFormat="1" spans="1:12">
      <c r="A169" s="3142"/>
      <c r="D169" s="3143"/>
      <c r="K169" s="991"/>
      <c r="L169" s="991"/>
    </row>
    <row r="170" s="2946" customFormat="1" spans="1:12">
      <c r="A170" s="3142"/>
      <c r="D170" s="3143"/>
      <c r="K170" s="991"/>
      <c r="L170" s="991"/>
    </row>
    <row r="171" s="2946" customFormat="1" spans="1:12">
      <c r="A171" s="3142"/>
      <c r="D171" s="3143"/>
      <c r="K171" s="991"/>
      <c r="L171" s="991"/>
    </row>
    <row r="172" s="2946" customFormat="1" spans="1:12">
      <c r="A172" s="3142"/>
      <c r="D172" s="3143"/>
      <c r="K172" s="991"/>
      <c r="L172" s="991"/>
    </row>
    <row r="173" s="2946" customFormat="1" spans="1:12">
      <c r="A173" s="3142"/>
      <c r="D173" s="3143"/>
      <c r="K173" s="991"/>
      <c r="L173" s="991"/>
    </row>
    <row r="174" s="2946" customFormat="1" spans="1:12">
      <c r="A174" s="3142"/>
      <c r="D174" s="3143"/>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2"/>
    <col min="30" max="16384" width="9" style="2872"/>
  </cols>
  <sheetData>
    <row r="1" s="2870" customFormat="1" ht="18.75" spans="1:29">
      <c r="A1" s="2879" t="s">
        <v>715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716</v>
      </c>
      <c r="D2" s="2885"/>
      <c r="E2" s="2882"/>
      <c r="F2" s="2886"/>
      <c r="G2" s="2884" t="s">
        <v>717</v>
      </c>
      <c r="H2" s="2392"/>
      <c r="I2" s="2392"/>
      <c r="J2" s="2392"/>
      <c r="K2" s="2392"/>
      <c r="L2" s="2392"/>
      <c r="M2" s="2392"/>
      <c r="N2" s="2392"/>
      <c r="O2" s="2392"/>
      <c r="P2" s="2392"/>
      <c r="Q2" s="2392"/>
      <c r="R2" s="2392"/>
    </row>
    <row r="3" ht="48" spans="1:18">
      <c r="A3" s="2887" t="s">
        <v>718</v>
      </c>
      <c r="B3" s="2888" t="s">
        <v>719</v>
      </c>
      <c r="C3" s="2889" t="s">
        <v>720</v>
      </c>
      <c r="D3" s="2890"/>
      <c r="E3" s="2891" t="s">
        <v>718</v>
      </c>
      <c r="F3" s="2892" t="s">
        <v>721</v>
      </c>
      <c r="G3" s="2893" t="s">
        <v>722</v>
      </c>
      <c r="H3" s="2392"/>
      <c r="I3" s="2392"/>
      <c r="J3" s="2392"/>
      <c r="K3" s="2392"/>
      <c r="L3" s="2392"/>
      <c r="M3" s="2392"/>
      <c r="N3" s="2392"/>
      <c r="O3" s="2392"/>
      <c r="P3" s="2392"/>
      <c r="Q3" s="2392"/>
      <c r="R3" s="2392"/>
    </row>
    <row r="4" ht="36.75" spans="1:18">
      <c r="A4" s="2891"/>
      <c r="B4" s="2069" t="s">
        <v>723</v>
      </c>
      <c r="C4" s="2894" t="s">
        <v>724</v>
      </c>
      <c r="D4" s="2890"/>
      <c r="E4" s="2895"/>
      <c r="F4" s="2285" t="s">
        <v>725</v>
      </c>
      <c r="G4" s="2896" t="s">
        <v>726</v>
      </c>
      <c r="H4" s="2392"/>
      <c r="I4" s="2392"/>
      <c r="J4" s="2392"/>
      <c r="K4" s="2392"/>
      <c r="L4" s="2392"/>
      <c r="M4" s="2392"/>
      <c r="N4" s="2392"/>
      <c r="O4" s="2392"/>
      <c r="P4" s="2392"/>
      <c r="Q4" s="2392"/>
      <c r="R4" s="2392"/>
    </row>
    <row r="5" ht="36.75" spans="1:18">
      <c r="A5" s="2891"/>
      <c r="B5" s="2069" t="s">
        <v>727</v>
      </c>
      <c r="C5" s="2894" t="s">
        <v>728</v>
      </c>
      <c r="D5" s="2890"/>
      <c r="E5" s="2895"/>
      <c r="F5" s="2069" t="s">
        <v>548</v>
      </c>
      <c r="G5" s="2896" t="s">
        <v>729</v>
      </c>
      <c r="H5" s="2392"/>
      <c r="I5" s="2392"/>
      <c r="J5" s="2392"/>
      <c r="K5" s="2392"/>
      <c r="L5" s="2392"/>
      <c r="M5" s="2392"/>
      <c r="N5" s="2392"/>
      <c r="O5" s="2392"/>
      <c r="P5" s="2392"/>
      <c r="Q5" s="2392"/>
      <c r="R5" s="2392"/>
    </row>
    <row r="6" ht="36" spans="1:18">
      <c r="A6" s="2891"/>
      <c r="B6" s="2069" t="s">
        <v>725</v>
      </c>
      <c r="C6" s="2896" t="s">
        <v>726</v>
      </c>
      <c r="D6" s="2890"/>
      <c r="E6" s="2895"/>
      <c r="F6" s="2069" t="s">
        <v>730</v>
      </c>
      <c r="G6" s="2896" t="s">
        <v>731</v>
      </c>
      <c r="H6" s="2392"/>
      <c r="I6" s="2392"/>
      <c r="J6" s="2392"/>
      <c r="K6" s="2392"/>
      <c r="L6" s="2392"/>
      <c r="M6" s="2392"/>
      <c r="N6" s="2392"/>
      <c r="O6" s="2392"/>
      <c r="P6" s="2392"/>
      <c r="Q6" s="2392"/>
      <c r="R6" s="2392"/>
    </row>
    <row r="7" ht="24.75" spans="1:18">
      <c r="A7" s="2891"/>
      <c r="B7" s="2069" t="s">
        <v>548</v>
      </c>
      <c r="C7" s="2896" t="s">
        <v>729</v>
      </c>
      <c r="D7" s="2897"/>
      <c r="E7" s="2898"/>
      <c r="F7" s="2899" t="s">
        <v>732</v>
      </c>
      <c r="G7" s="2900" t="s">
        <v>733</v>
      </c>
      <c r="H7" s="2392"/>
      <c r="I7" s="2392"/>
      <c r="J7" s="2392"/>
      <c r="K7" s="2392"/>
      <c r="L7" s="2392"/>
      <c r="M7" s="2392"/>
      <c r="N7" s="2392"/>
      <c r="O7" s="2392"/>
      <c r="P7" s="2392"/>
      <c r="Q7" s="2392"/>
      <c r="R7" s="2392"/>
    </row>
    <row r="8" spans="1:18">
      <c r="A8" s="2891"/>
      <c r="B8" s="2069" t="s">
        <v>730</v>
      </c>
      <c r="C8" s="2896" t="s">
        <v>731</v>
      </c>
      <c r="D8" s="2897"/>
      <c r="E8" s="2897"/>
      <c r="F8" s="2192"/>
      <c r="G8" s="2192"/>
      <c r="H8" s="2392"/>
      <c r="I8" s="2392"/>
      <c r="J8" s="2392"/>
      <c r="K8" s="2392"/>
      <c r="L8" s="2392"/>
      <c r="M8" s="2392"/>
      <c r="N8" s="2392"/>
      <c r="O8" s="2392"/>
      <c r="P8" s="2392"/>
      <c r="Q8" s="2392"/>
      <c r="R8" s="2392"/>
    </row>
    <row r="9" ht="24" spans="1:18">
      <c r="A9" s="2891"/>
      <c r="B9" s="2069" t="s">
        <v>734</v>
      </c>
      <c r="C9" s="2894" t="s">
        <v>735</v>
      </c>
      <c r="D9" s="2890"/>
      <c r="E9" s="2897"/>
      <c r="F9" s="2192"/>
      <c r="G9" s="2192"/>
      <c r="H9" s="2392"/>
      <c r="I9" s="2392"/>
      <c r="J9" s="2392"/>
      <c r="K9" s="2392"/>
      <c r="L9" s="2392"/>
      <c r="M9" s="2392"/>
      <c r="N9" s="2392"/>
      <c r="O9" s="2392"/>
      <c r="P9" s="2392"/>
      <c r="Q9" s="2392"/>
      <c r="R9" s="2392"/>
    </row>
    <row r="10" s="2871" customFormat="1" ht="15" spans="1:29">
      <c r="A10" s="2901"/>
      <c r="B10" s="2902" t="s">
        <v>736</v>
      </c>
      <c r="C10" s="2903"/>
      <c r="D10" s="2890"/>
      <c r="E10" s="2890"/>
      <c r="F10" s="2192"/>
      <c r="G10" s="2192"/>
      <c r="H10" s="2904"/>
      <c r="I10" s="2934"/>
      <c r="J10" s="2935"/>
      <c r="K10" s="2904"/>
      <c r="L10" s="2934"/>
      <c r="M10" s="2935"/>
      <c r="N10" s="2904"/>
      <c r="O10" s="2934"/>
      <c r="P10" s="2935"/>
      <c r="Q10" s="2904"/>
      <c r="R10" s="2934"/>
      <c r="S10" s="2392"/>
      <c r="T10" s="2392"/>
      <c r="U10" s="2392"/>
      <c r="V10" s="2392"/>
      <c r="W10" s="2392"/>
      <c r="X10" s="2392"/>
      <c r="Y10" s="2392"/>
      <c r="Z10" s="2392"/>
      <c r="AA10" s="2392"/>
      <c r="AB10" s="2392"/>
      <c r="AC10" s="2392"/>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2"/>
      <c r="T11" s="2392"/>
      <c r="U11" s="2392"/>
      <c r="V11" s="2392"/>
      <c r="W11" s="2392"/>
      <c r="X11" s="2392"/>
      <c r="Y11" s="2392"/>
      <c r="Z11" s="2392"/>
      <c r="AA11" s="2392"/>
      <c r="AB11" s="2392"/>
      <c r="AC11" s="2392"/>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737</v>
      </c>
      <c r="B13" s="2907"/>
      <c r="C13" s="2907"/>
      <c r="D13" s="2905"/>
      <c r="E13" s="2907"/>
      <c r="F13" s="2907"/>
      <c r="G13" s="2907"/>
    </row>
    <row r="14" spans="1:7">
      <c r="A14" s="2910"/>
      <c r="B14" s="2910"/>
      <c r="C14" s="2911" t="s">
        <v>716</v>
      </c>
      <c r="D14" s="2890"/>
      <c r="E14" s="2912"/>
      <c r="F14" s="2912"/>
      <c r="G14" s="2884" t="s">
        <v>717</v>
      </c>
    </row>
    <row r="15" ht="48" spans="1:7">
      <c r="A15" s="2913" t="s">
        <v>718</v>
      </c>
      <c r="B15" s="2914" t="s">
        <v>719</v>
      </c>
      <c r="C15" s="2915" t="str">
        <f>C3</f>
        <v>估价对象周边居住用地比例、居住小区规模和社区发展完善程度，综合评价居住社区成熟度一般</v>
      </c>
      <c r="D15" s="2890"/>
      <c r="E15" s="2916" t="s">
        <v>718</v>
      </c>
      <c r="F15" s="2914" t="s">
        <v>721</v>
      </c>
      <c r="G15" s="2917" t="str">
        <f>G3</f>
        <v>估价对象位于XX开发区，园区建设成熟度XX，产业集聚程度XX</v>
      </c>
    </row>
    <row r="16" ht="36.75" spans="1:7">
      <c r="A16" s="2918"/>
      <c r="B16" s="2919" t="s">
        <v>723</v>
      </c>
      <c r="C16" s="2920" t="str">
        <f>C4</f>
        <v>估价对象位于XX商圈，周边商业氛围成熟，人流量大，商业繁华度好</v>
      </c>
      <c r="D16" s="2890"/>
      <c r="E16" s="2921"/>
      <c r="F16" s="2922" t="s">
        <v>725</v>
      </c>
      <c r="G16" s="2923" t="str">
        <f>G4</f>
        <v>估价对象周边道路状况、公共交通通达情况、停车便捷程度，综合评价交通便捷度较好</v>
      </c>
    </row>
    <row r="17" ht="36.75" spans="1:7">
      <c r="A17" s="2918"/>
      <c r="B17" s="2919" t="s">
        <v>727</v>
      </c>
      <c r="C17" s="2920" t="str">
        <f>C5</f>
        <v>估价对象位于XX商圈，周边办公楼项目较多，入驻率高，办公集聚程度较好</v>
      </c>
      <c r="D17" s="2897"/>
      <c r="E17" s="2921"/>
      <c r="F17" s="2922" t="s">
        <v>738</v>
      </c>
      <c r="G17" s="2924"/>
    </row>
    <row r="18" ht="36" spans="1:7">
      <c r="A18" s="2918"/>
      <c r="B18" s="2922" t="s">
        <v>725</v>
      </c>
      <c r="C18" s="2923" t="str">
        <f>C6</f>
        <v>估价对象周边道路状况、公共交通通达情况、停车便捷程度，综合评价交通便捷度较好</v>
      </c>
      <c r="D18" s="2897"/>
      <c r="E18" s="2921"/>
      <c r="F18" s="2922" t="s">
        <v>732</v>
      </c>
      <c r="G18" s="2923" t="str">
        <f>G7</f>
        <v>该园区内是否有污染型企业，绿化情况，卫生条件，整体环境状况判断</v>
      </c>
    </row>
    <row r="19" ht="24" spans="1:7">
      <c r="A19" s="2918"/>
      <c r="B19" s="2922" t="s">
        <v>738</v>
      </c>
      <c r="C19" s="2924"/>
      <c r="D19" s="2890"/>
      <c r="E19" s="2921"/>
      <c r="F19" s="2069" t="s">
        <v>548</v>
      </c>
      <c r="G19" s="2923" t="str">
        <f>G5</f>
        <v>估价对象所在区域公共配套设施齐备情况</v>
      </c>
    </row>
    <row r="20" ht="24" spans="1:7">
      <c r="A20" s="2918"/>
      <c r="B20" s="2922" t="s">
        <v>739</v>
      </c>
      <c r="C20" s="2920" t="str">
        <f>C9</f>
        <v>区域自然环境：；人文环境；综合评价环境状况一般</v>
      </c>
      <c r="D20" s="2897"/>
      <c r="E20" s="2921"/>
      <c r="F20" s="2069" t="s">
        <v>730</v>
      </c>
      <c r="G20" s="2923" t="str">
        <f>G6</f>
        <v>估价对象所在区域基础设施水平</v>
      </c>
    </row>
    <row r="21" ht="24" spans="1:7">
      <c r="A21" s="2918"/>
      <c r="B21" s="2069" t="s">
        <v>548</v>
      </c>
      <c r="C21" s="2923" t="str">
        <f>C7</f>
        <v>估价对象所在区域公共配套设施齐备情况</v>
      </c>
      <c r="D21" s="2890"/>
      <c r="E21" s="2921"/>
      <c r="F21" s="2922" t="s">
        <v>740</v>
      </c>
      <c r="G21" s="2925"/>
    </row>
    <row r="22" ht="13.5" customHeight="1" spans="1:7">
      <c r="A22" s="2918"/>
      <c r="B22" s="2069" t="s">
        <v>730</v>
      </c>
      <c r="C22" s="2923" t="str">
        <f>C8</f>
        <v>估价对象所在区域基础设施水平</v>
      </c>
      <c r="D22" s="2890"/>
      <c r="E22" s="2921"/>
      <c r="F22" s="2922" t="s">
        <v>736</v>
      </c>
      <c r="G22" s="2924"/>
    </row>
    <row r="23" s="2392" customFormat="1" ht="15" spans="1:18">
      <c r="A23" s="2918"/>
      <c r="B23" s="2922" t="s">
        <v>740</v>
      </c>
      <c r="C23" s="2925"/>
      <c r="D23" s="2849"/>
      <c r="E23" s="2926"/>
      <c r="F23" s="2927" t="s">
        <v>498</v>
      </c>
      <c r="G23" s="2928"/>
      <c r="H23" s="2876"/>
      <c r="I23" s="2877"/>
      <c r="J23" s="2876"/>
      <c r="K23" s="2876"/>
      <c r="L23" s="2877"/>
      <c r="M23" s="2876"/>
      <c r="N23" s="2876"/>
      <c r="O23" s="2877"/>
      <c r="P23" s="2876"/>
      <c r="Q23" s="2876"/>
      <c r="R23" s="2878"/>
    </row>
    <row r="24" s="2392" customFormat="1" ht="15" spans="1:18">
      <c r="A24" s="2929"/>
      <c r="B24" s="2927" t="s">
        <v>736</v>
      </c>
      <c r="C24" s="2930">
        <f>C10</f>
        <v>0</v>
      </c>
      <c r="D24" s="2849"/>
      <c r="E24" s="2931"/>
      <c r="F24" s="2931"/>
      <c r="G24" s="2932"/>
      <c r="H24" s="2876"/>
      <c r="I24" s="2877"/>
      <c r="J24" s="2876"/>
      <c r="K24" s="2876"/>
      <c r="L24" s="2877"/>
      <c r="M24" s="2876"/>
      <c r="N24" s="2876"/>
      <c r="O24" s="2877"/>
      <c r="P24" s="2876"/>
      <c r="Q24" s="2876"/>
      <c r="R24" s="2878"/>
    </row>
    <row r="25" s="2392" customFormat="1" spans="2:18">
      <c r="B25" s="2876"/>
      <c r="C25" s="2876"/>
      <c r="D25" s="2876"/>
      <c r="H25" s="2876"/>
      <c r="I25" s="2877"/>
      <c r="J25" s="2876"/>
      <c r="K25" s="2876"/>
      <c r="L25" s="2877"/>
      <c r="M25" s="2876"/>
      <c r="N25" s="2876"/>
      <c r="O25" s="2877"/>
      <c r="P25" s="2876"/>
      <c r="Q25" s="2876"/>
      <c r="R25" s="2878"/>
    </row>
    <row r="26" s="2392" customFormat="1" spans="2:18">
      <c r="B26" s="2876"/>
      <c r="C26" s="2876"/>
      <c r="D26" s="2876"/>
      <c r="H26" s="2876"/>
      <c r="I26" s="2877"/>
      <c r="J26" s="2876"/>
      <c r="K26" s="2876"/>
      <c r="L26" s="2877"/>
      <c r="M26" s="2876"/>
      <c r="N26" s="2876"/>
      <c r="O26" s="2877"/>
      <c r="P26" s="2876"/>
      <c r="Q26" s="2876"/>
      <c r="R26" s="2878"/>
    </row>
    <row r="27" s="2392" customFormat="1" spans="2:18">
      <c r="B27" s="2876"/>
      <c r="C27" s="2876"/>
      <c r="D27" s="2876"/>
      <c r="H27" s="2876"/>
      <c r="I27" s="2877"/>
      <c r="J27" s="2876"/>
      <c r="K27" s="2876"/>
      <c r="L27" s="2877"/>
      <c r="M27" s="2876"/>
      <c r="N27" s="2876"/>
      <c r="O27" s="2877"/>
      <c r="P27" s="2876"/>
      <c r="Q27" s="2876"/>
      <c r="R27" s="2878"/>
    </row>
    <row r="28" s="2392" customFormat="1" spans="2:18">
      <c r="B28" s="2876"/>
      <c r="C28" s="2876"/>
      <c r="D28" s="2876"/>
      <c r="H28" s="2876"/>
      <c r="I28" s="2877"/>
      <c r="J28" s="2876"/>
      <c r="K28" s="2876"/>
      <c r="L28" s="2877"/>
      <c r="M28" s="2876"/>
      <c r="N28" s="2876"/>
      <c r="O28" s="2877"/>
      <c r="P28" s="2876"/>
      <c r="Q28" s="2876"/>
      <c r="R28" s="2878"/>
    </row>
    <row r="29" s="2392" customFormat="1" spans="2:18">
      <c r="B29" s="2876"/>
      <c r="C29" s="2876"/>
      <c r="D29" s="2876"/>
      <c r="H29" s="2876"/>
      <c r="I29" s="2877"/>
      <c r="J29" s="2876"/>
      <c r="K29" s="2876"/>
      <c r="L29" s="2877"/>
      <c r="M29" s="2876"/>
      <c r="N29" s="2876"/>
      <c r="O29" s="2877"/>
      <c r="P29" s="2876"/>
      <c r="Q29" s="2876"/>
      <c r="R29" s="2878"/>
    </row>
    <row r="30" s="2392" customFormat="1" spans="2:18">
      <c r="B30" s="2876"/>
      <c r="C30" s="2876"/>
      <c r="D30" s="2876"/>
      <c r="H30" s="2876"/>
      <c r="I30" s="2877"/>
      <c r="J30" s="2876"/>
      <c r="K30" s="2876"/>
      <c r="L30" s="2877"/>
      <c r="M30" s="2876"/>
      <c r="N30" s="2876"/>
      <c r="O30" s="2877"/>
      <c r="P30" s="2876"/>
      <c r="Q30" s="2876"/>
      <c r="R30" s="2878"/>
    </row>
    <row r="31" s="2392" customFormat="1" spans="2:18">
      <c r="B31" s="2876"/>
      <c r="C31" s="2876"/>
      <c r="D31" s="2876"/>
      <c r="H31" s="2876"/>
      <c r="I31" s="2877"/>
      <c r="J31" s="2876"/>
      <c r="K31" s="2876"/>
      <c r="L31" s="2877"/>
      <c r="M31" s="2876"/>
      <c r="N31" s="2876"/>
      <c r="O31" s="2877"/>
      <c r="P31" s="2876"/>
      <c r="Q31" s="2876"/>
      <c r="R31" s="2878"/>
    </row>
    <row r="32" s="2392" customFormat="1" spans="2:18">
      <c r="B32" s="2876"/>
      <c r="C32" s="2876"/>
      <c r="D32" s="2876"/>
      <c r="H32" s="2876"/>
      <c r="I32" s="2877"/>
      <c r="J32" s="2876"/>
      <c r="K32" s="2876"/>
      <c r="L32" s="2877"/>
      <c r="M32" s="2876"/>
      <c r="N32" s="2876"/>
      <c r="O32" s="2877"/>
      <c r="P32" s="2876"/>
      <c r="Q32" s="2876"/>
      <c r="R32" s="2878"/>
    </row>
    <row r="33" s="2392" customFormat="1" spans="2:18">
      <c r="B33" s="2876"/>
      <c r="C33" s="2876"/>
      <c r="D33" s="2876"/>
      <c r="H33" s="2876"/>
      <c r="I33" s="2877"/>
      <c r="J33" s="2876"/>
      <c r="K33" s="2876"/>
      <c r="L33" s="2877"/>
      <c r="M33" s="2876"/>
      <c r="N33" s="2876"/>
      <c r="O33" s="2877"/>
      <c r="P33" s="2876"/>
      <c r="Q33" s="2876"/>
      <c r="R33" s="2878"/>
    </row>
    <row r="34" s="2392" customFormat="1" spans="2:18">
      <c r="B34" s="2876"/>
      <c r="C34" s="2876"/>
      <c r="D34" s="2876"/>
      <c r="H34" s="2876"/>
      <c r="I34" s="2877"/>
      <c r="J34" s="2876"/>
      <c r="K34" s="2876"/>
      <c r="L34" s="2877"/>
      <c r="M34" s="2876"/>
      <c r="N34" s="2876"/>
      <c r="O34" s="2877"/>
      <c r="P34" s="2876"/>
      <c r="Q34" s="2876"/>
      <c r="R34" s="2878"/>
    </row>
    <row r="35" s="2392" customFormat="1" spans="2:18">
      <c r="B35" s="2876"/>
      <c r="C35" s="2876"/>
      <c r="D35" s="2876"/>
      <c r="H35" s="2876"/>
      <c r="I35" s="2877"/>
      <c r="J35" s="2876"/>
      <c r="K35" s="2876"/>
      <c r="L35" s="2877"/>
      <c r="M35" s="2876"/>
      <c r="N35" s="2876"/>
      <c r="O35" s="2877"/>
      <c r="P35" s="2876"/>
      <c r="Q35" s="2876"/>
      <c r="R35" s="2878"/>
    </row>
    <row r="36" s="2392" customFormat="1" spans="2:18">
      <c r="B36" s="2876"/>
      <c r="C36" s="2876"/>
      <c r="D36" s="2876"/>
      <c r="H36" s="2876"/>
      <c r="I36" s="2877"/>
      <c r="J36" s="2876"/>
      <c r="K36" s="2876"/>
      <c r="L36" s="2877"/>
      <c r="M36" s="2876"/>
      <c r="N36" s="2876"/>
      <c r="O36" s="2877"/>
      <c r="P36" s="2876"/>
      <c r="Q36" s="2876"/>
      <c r="R36" s="2878"/>
    </row>
    <row r="37" s="2392" customFormat="1" spans="2:18">
      <c r="B37" s="2876"/>
      <c r="C37" s="2876"/>
      <c r="D37" s="2876"/>
      <c r="H37" s="2876"/>
      <c r="I37" s="2877"/>
      <c r="J37" s="2876"/>
      <c r="K37" s="2876"/>
      <c r="L37" s="2877"/>
      <c r="M37" s="2876"/>
      <c r="N37" s="2876"/>
      <c r="O37" s="2877"/>
      <c r="P37" s="2876"/>
      <c r="Q37" s="2876"/>
      <c r="R37" s="2878"/>
    </row>
    <row r="38" s="2392" customFormat="1" spans="2:18">
      <c r="B38" s="2876"/>
      <c r="C38" s="2876"/>
      <c r="D38" s="2876"/>
      <c r="E38" s="2876"/>
      <c r="F38" s="2876"/>
      <c r="G38" s="2877"/>
      <c r="H38" s="2876"/>
      <c r="I38" s="2877"/>
      <c r="J38" s="2876"/>
      <c r="K38" s="2876"/>
      <c r="L38" s="2877"/>
      <c r="M38" s="2876"/>
      <c r="N38" s="2876"/>
      <c r="O38" s="2877"/>
      <c r="P38" s="2876"/>
      <c r="Q38" s="2876"/>
      <c r="R38" s="2878"/>
    </row>
    <row r="39" s="2392" customFormat="1" spans="2:18">
      <c r="B39" s="2876"/>
      <c r="C39" s="2876"/>
      <c r="D39" s="2876"/>
      <c r="E39" s="2876"/>
      <c r="F39" s="2876"/>
      <c r="G39" s="2877"/>
      <c r="H39" s="2876"/>
      <c r="I39" s="2877"/>
      <c r="J39" s="2876"/>
      <c r="K39" s="2876"/>
      <c r="L39" s="2877"/>
      <c r="M39" s="2876"/>
      <c r="N39" s="2876"/>
      <c r="O39" s="2877"/>
      <c r="P39" s="2876"/>
      <c r="Q39" s="2876"/>
      <c r="R39" s="2878"/>
    </row>
    <row r="40" s="2392" customFormat="1" spans="2:18">
      <c r="B40" s="2876"/>
      <c r="C40" s="2876"/>
      <c r="D40" s="2876"/>
      <c r="E40" s="2876"/>
      <c r="F40" s="2876"/>
      <c r="G40" s="2877"/>
      <c r="H40" s="2876"/>
      <c r="I40" s="2877"/>
      <c r="J40" s="2876"/>
      <c r="K40" s="2876"/>
      <c r="L40" s="2877"/>
      <c r="M40" s="2876"/>
      <c r="N40" s="2876"/>
      <c r="O40" s="2877"/>
      <c r="P40" s="2876"/>
      <c r="Q40" s="2876"/>
      <c r="R40" s="2878"/>
    </row>
    <row r="41" s="2392" customFormat="1" spans="2:18">
      <c r="B41" s="2876"/>
      <c r="C41" s="2876"/>
      <c r="D41" s="2876"/>
      <c r="E41" s="2876"/>
      <c r="F41" s="2876"/>
      <c r="G41" s="2877"/>
      <c r="H41" s="2876"/>
      <c r="I41" s="2877"/>
      <c r="J41" s="2876"/>
      <c r="K41" s="2876"/>
      <c r="L41" s="2877"/>
      <c r="M41" s="2876"/>
      <c r="N41" s="2876"/>
      <c r="O41" s="2877"/>
      <c r="P41" s="2876"/>
      <c r="Q41" s="2876"/>
      <c r="R41" s="2878"/>
    </row>
    <row r="42" s="2392" customFormat="1" spans="2:18">
      <c r="B42" s="2876"/>
      <c r="C42" s="2876"/>
      <c r="D42" s="2876"/>
      <c r="E42" s="2876"/>
      <c r="F42" s="2876"/>
      <c r="G42" s="2877"/>
      <c r="H42" s="2876"/>
      <c r="I42" s="2877"/>
      <c r="J42" s="2876"/>
      <c r="K42" s="2876"/>
      <c r="L42" s="2877"/>
      <c r="M42" s="2876"/>
      <c r="N42" s="2876"/>
      <c r="O42" s="2877"/>
      <c r="P42" s="2876"/>
      <c r="Q42" s="2876"/>
      <c r="R42" s="2878"/>
    </row>
    <row r="43" s="2392" customFormat="1" spans="2:18">
      <c r="B43" s="2876"/>
      <c r="C43" s="2876"/>
      <c r="D43" s="2876"/>
      <c r="E43" s="2876"/>
      <c r="F43" s="2876"/>
      <c r="G43" s="2877"/>
      <c r="H43" s="2876"/>
      <c r="I43" s="2877"/>
      <c r="J43" s="2876"/>
      <c r="K43" s="2876"/>
      <c r="L43" s="2877"/>
      <c r="M43" s="2876"/>
      <c r="N43" s="2876"/>
      <c r="O43" s="2877"/>
      <c r="P43" s="2876"/>
      <c r="Q43" s="2876"/>
      <c r="R43" s="2878"/>
    </row>
    <row r="44" s="2392" customFormat="1" spans="2:18">
      <c r="B44" s="2876"/>
      <c r="C44" s="2876"/>
      <c r="D44" s="2876"/>
      <c r="E44" s="2876"/>
      <c r="F44" s="2876"/>
      <c r="G44" s="2877"/>
      <c r="H44" s="2876"/>
      <c r="I44" s="2877"/>
      <c r="J44" s="2876"/>
      <c r="K44" s="2876"/>
      <c r="L44" s="2877"/>
      <c r="M44" s="2876"/>
      <c r="N44" s="2876"/>
      <c r="O44" s="2877"/>
      <c r="P44" s="2876"/>
      <c r="Q44" s="2876"/>
      <c r="R44" s="2878"/>
    </row>
    <row r="45" s="2392" customFormat="1" spans="2:18">
      <c r="B45" s="2876"/>
      <c r="C45" s="2876"/>
      <c r="D45" s="2876"/>
      <c r="E45" s="2876"/>
      <c r="F45" s="2876"/>
      <c r="G45" s="2877"/>
      <c r="H45" s="2876"/>
      <c r="I45" s="2877"/>
      <c r="J45" s="2876"/>
      <c r="K45" s="2876"/>
      <c r="L45" s="2877"/>
      <c r="M45" s="2876"/>
      <c r="N45" s="2876"/>
      <c r="O45" s="2877"/>
      <c r="P45" s="2876"/>
      <c r="Q45" s="2876"/>
      <c r="R45" s="2878"/>
    </row>
    <row r="46" s="2392" customFormat="1" spans="2:18">
      <c r="B46" s="2876"/>
      <c r="C46" s="2876"/>
      <c r="D46" s="2876"/>
      <c r="E46" s="2876"/>
      <c r="F46" s="2876"/>
      <c r="G46" s="2877"/>
      <c r="H46" s="2876"/>
      <c r="I46" s="2877"/>
      <c r="J46" s="2876"/>
      <c r="K46" s="2876"/>
      <c r="L46" s="2877"/>
      <c r="M46" s="2876"/>
      <c r="N46" s="2876"/>
      <c r="O46" s="2877"/>
      <c r="P46" s="2876"/>
      <c r="Q46" s="2876"/>
      <c r="R46" s="2878"/>
    </row>
    <row r="47" s="2392" customFormat="1" spans="2:18">
      <c r="B47" s="2876"/>
      <c r="C47" s="2876"/>
      <c r="D47" s="2876"/>
      <c r="E47" s="2876"/>
      <c r="F47" s="2876"/>
      <c r="G47" s="2877"/>
      <c r="H47" s="2876"/>
      <c r="I47" s="2877"/>
      <c r="J47" s="2876"/>
      <c r="K47" s="2876"/>
      <c r="L47" s="2877"/>
      <c r="M47" s="2876"/>
      <c r="N47" s="2876"/>
      <c r="O47" s="2877"/>
      <c r="P47" s="2876"/>
      <c r="Q47" s="2876"/>
      <c r="R47" s="2878"/>
    </row>
    <row r="48" s="2392" customFormat="1" spans="2:18">
      <c r="B48" s="2876"/>
      <c r="C48" s="2876"/>
      <c r="D48" s="2876"/>
      <c r="E48" s="2876"/>
      <c r="F48" s="2876"/>
      <c r="G48" s="2877"/>
      <c r="H48" s="2876"/>
      <c r="I48" s="2877"/>
      <c r="J48" s="2876"/>
      <c r="K48" s="2876"/>
      <c r="L48" s="2877"/>
      <c r="M48" s="2876"/>
      <c r="N48" s="2876"/>
      <c r="O48" s="2877"/>
      <c r="P48" s="2876"/>
      <c r="Q48" s="2876"/>
      <c r="R48" s="2878"/>
    </row>
    <row r="49" s="2392" customFormat="1" spans="2:18">
      <c r="B49" s="2876"/>
      <c r="C49" s="2876"/>
      <c r="D49" s="2876"/>
      <c r="E49" s="2876"/>
      <c r="F49" s="2876"/>
      <c r="G49" s="2877"/>
      <c r="H49" s="2876"/>
      <c r="I49" s="2877"/>
      <c r="J49" s="2876"/>
      <c r="K49" s="2876"/>
      <c r="L49" s="2877"/>
      <c r="M49" s="2876"/>
      <c r="N49" s="2876"/>
      <c r="O49" s="2877"/>
      <c r="P49" s="2876"/>
      <c r="Q49" s="2876"/>
      <c r="R49" s="2878"/>
    </row>
    <row r="50" s="2392" customFormat="1" spans="2:18">
      <c r="B50" s="2876"/>
      <c r="C50" s="2876"/>
      <c r="D50" s="2876"/>
      <c r="E50" s="2876"/>
      <c r="F50" s="2876"/>
      <c r="G50" s="2877"/>
      <c r="H50" s="2876"/>
      <c r="I50" s="2877"/>
      <c r="J50" s="2876"/>
      <c r="K50" s="2876"/>
      <c r="L50" s="2877"/>
      <c r="M50" s="2876"/>
      <c r="N50" s="2876"/>
      <c r="O50" s="2877"/>
      <c r="P50" s="2876"/>
      <c r="Q50" s="2876"/>
      <c r="R50" s="2878"/>
    </row>
    <row r="51" s="2392" customFormat="1" spans="2:18">
      <c r="B51" s="2876"/>
      <c r="C51" s="2876"/>
      <c r="D51" s="2876"/>
      <c r="E51" s="2876"/>
      <c r="F51" s="2876"/>
      <c r="G51" s="2877"/>
      <c r="H51" s="2876"/>
      <c r="I51" s="2877"/>
      <c r="J51" s="2876"/>
      <c r="K51" s="2876"/>
      <c r="L51" s="2877"/>
      <c r="M51" s="2876"/>
      <c r="N51" s="2876"/>
      <c r="O51" s="2877"/>
      <c r="P51" s="2876"/>
      <c r="Q51" s="2876"/>
      <c r="R51" s="2878"/>
    </row>
    <row r="52" s="2392" customFormat="1" spans="2:18">
      <c r="B52" s="2876"/>
      <c r="C52" s="2876"/>
      <c r="D52" s="2876"/>
      <c r="E52" s="2876"/>
      <c r="F52" s="2876"/>
      <c r="G52" s="2877"/>
      <c r="H52" s="2876"/>
      <c r="I52" s="2877"/>
      <c r="J52" s="2876"/>
      <c r="K52" s="2876"/>
      <c r="L52" s="2877"/>
      <c r="M52" s="2876"/>
      <c r="N52" s="2876"/>
      <c r="O52" s="2877"/>
      <c r="P52" s="2876"/>
      <c r="Q52" s="2876"/>
      <c r="R52" s="2878"/>
    </row>
    <row r="53" s="2392" customFormat="1" spans="2:18">
      <c r="B53" s="2876"/>
      <c r="C53" s="2876"/>
      <c r="D53" s="2876"/>
      <c r="E53" s="2876"/>
      <c r="F53" s="2876"/>
      <c r="G53" s="2877"/>
      <c r="H53" s="2876"/>
      <c r="I53" s="2877"/>
      <c r="J53" s="2876"/>
      <c r="K53" s="2876"/>
      <c r="L53" s="2877"/>
      <c r="M53" s="2876"/>
      <c r="N53" s="2876"/>
      <c r="O53" s="2877"/>
      <c r="P53" s="2876"/>
      <c r="Q53" s="2876"/>
      <c r="R53" s="2878"/>
    </row>
    <row r="54" s="2392" customFormat="1" spans="2:18">
      <c r="B54" s="2876"/>
      <c r="C54" s="2876"/>
      <c r="D54" s="2876"/>
      <c r="E54" s="2876"/>
      <c r="F54" s="2876"/>
      <c r="G54" s="2877"/>
      <c r="H54" s="2876"/>
      <c r="I54" s="2877"/>
      <c r="J54" s="2876"/>
      <c r="K54" s="2876"/>
      <c r="L54" s="2877"/>
      <c r="M54" s="2876"/>
      <c r="N54" s="2876"/>
      <c r="O54" s="2877"/>
      <c r="P54" s="2876"/>
      <c r="Q54" s="2876"/>
      <c r="R54" s="2878"/>
    </row>
    <row r="55" s="2392" customFormat="1" spans="2:18">
      <c r="B55" s="2876"/>
      <c r="C55" s="2876"/>
      <c r="D55" s="2876"/>
      <c r="E55" s="2876"/>
      <c r="F55" s="2876"/>
      <c r="G55" s="2877"/>
      <c r="H55" s="2876"/>
      <c r="I55" s="2877"/>
      <c r="J55" s="2876"/>
      <c r="K55" s="2876"/>
      <c r="L55" s="2877"/>
      <c r="M55" s="2876"/>
      <c r="N55" s="2876"/>
      <c r="O55" s="2877"/>
      <c r="P55" s="2876"/>
      <c r="Q55" s="2876"/>
      <c r="R55" s="2878"/>
    </row>
    <row r="56" s="2392" customFormat="1" spans="2:18">
      <c r="B56" s="2876"/>
      <c r="C56" s="2876"/>
      <c r="D56" s="2876"/>
      <c r="E56" s="2876"/>
      <c r="F56" s="2876"/>
      <c r="G56" s="2877"/>
      <c r="H56" s="2876"/>
      <c r="I56" s="2877"/>
      <c r="J56" s="2876"/>
      <c r="K56" s="2876"/>
      <c r="L56" s="2877"/>
      <c r="M56" s="2876"/>
      <c r="N56" s="2876"/>
      <c r="O56" s="2877"/>
      <c r="P56" s="2876"/>
      <c r="Q56" s="2876"/>
      <c r="R56" s="2878"/>
    </row>
    <row r="57" s="2392" customFormat="1" spans="2:18">
      <c r="B57" s="2876"/>
      <c r="C57" s="2876"/>
      <c r="D57" s="2876"/>
      <c r="E57" s="2876"/>
      <c r="F57" s="2876"/>
      <c r="G57" s="2877"/>
      <c r="H57" s="2876"/>
      <c r="I57" s="2877"/>
      <c r="J57" s="2876"/>
      <c r="K57" s="2876"/>
      <c r="L57" s="2877"/>
      <c r="M57" s="2876"/>
      <c r="N57" s="2876"/>
      <c r="O57" s="2877"/>
      <c r="P57" s="2876"/>
      <c r="Q57" s="2876"/>
      <c r="R57" s="2878"/>
    </row>
    <row r="58" s="2392" customFormat="1" spans="2:18">
      <c r="B58" s="2876"/>
      <c r="C58" s="2876"/>
      <c r="D58" s="2876"/>
      <c r="E58" s="2876"/>
      <c r="F58" s="2876"/>
      <c r="G58" s="2877"/>
      <c r="H58" s="2876"/>
      <c r="I58" s="2877"/>
      <c r="J58" s="2876"/>
      <c r="K58" s="2876"/>
      <c r="L58" s="2877"/>
      <c r="M58" s="2876"/>
      <c r="N58" s="2876"/>
      <c r="O58" s="2877"/>
      <c r="P58" s="2876"/>
      <c r="Q58" s="2876"/>
      <c r="R58" s="2878"/>
    </row>
    <row r="59" s="2392" customFormat="1" spans="2:18">
      <c r="B59" s="2876"/>
      <c r="C59" s="2876"/>
      <c r="D59" s="2876"/>
      <c r="E59" s="2876"/>
      <c r="F59" s="2876"/>
      <c r="G59" s="2877"/>
      <c r="H59" s="2876"/>
      <c r="I59" s="2877"/>
      <c r="J59" s="2876"/>
      <c r="K59" s="2876"/>
      <c r="L59" s="2877"/>
      <c r="M59" s="2876"/>
      <c r="N59" s="2876"/>
      <c r="O59" s="2877"/>
      <c r="P59" s="2876"/>
      <c r="Q59" s="2876"/>
      <c r="R59" s="2878"/>
    </row>
    <row r="60" s="2392" customFormat="1" spans="2:18">
      <c r="B60" s="2876"/>
      <c r="C60" s="2876"/>
      <c r="D60" s="2876"/>
      <c r="E60" s="2876"/>
      <c r="F60" s="2876"/>
      <c r="G60" s="2877"/>
      <c r="H60" s="2876"/>
      <c r="I60" s="2877"/>
      <c r="J60" s="2876"/>
      <c r="K60" s="2876"/>
      <c r="L60" s="2877"/>
      <c r="M60" s="2876"/>
      <c r="N60" s="2876"/>
      <c r="O60" s="2877"/>
      <c r="P60" s="2876"/>
      <c r="Q60" s="2876"/>
      <c r="R60" s="2878"/>
    </row>
    <row r="61" s="2392" customFormat="1" spans="2:18">
      <c r="B61" s="2876"/>
      <c r="C61" s="2876"/>
      <c r="D61" s="2876"/>
      <c r="E61" s="2876"/>
      <c r="F61" s="2876"/>
      <c r="G61" s="2877"/>
      <c r="H61" s="2876"/>
      <c r="I61" s="2877"/>
      <c r="J61" s="2876"/>
      <c r="K61" s="2876"/>
      <c r="L61" s="2877"/>
      <c r="M61" s="2876"/>
      <c r="N61" s="2876"/>
      <c r="O61" s="2877"/>
      <c r="P61" s="2876"/>
      <c r="Q61" s="2876"/>
      <c r="R61" s="2878"/>
    </row>
    <row r="62" s="2392" customFormat="1" spans="2:18">
      <c r="B62" s="2876"/>
      <c r="C62" s="2876"/>
      <c r="D62" s="2876"/>
      <c r="E62" s="2876"/>
      <c r="F62" s="2876"/>
      <c r="G62" s="2877"/>
      <c r="H62" s="2876"/>
      <c r="I62" s="2877"/>
      <c r="J62" s="2876"/>
      <c r="K62" s="2876"/>
      <c r="L62" s="2877"/>
      <c r="M62" s="2876"/>
      <c r="N62" s="2876"/>
      <c r="O62" s="2877"/>
      <c r="P62" s="2876"/>
      <c r="Q62" s="2876"/>
      <c r="R62" s="2878"/>
    </row>
    <row r="63" s="2392" customFormat="1" spans="2:18">
      <c r="B63" s="2876"/>
      <c r="C63" s="2876"/>
      <c r="D63" s="2876"/>
      <c r="E63" s="2876"/>
      <c r="F63" s="2876"/>
      <c r="G63" s="2877"/>
      <c r="H63" s="2876"/>
      <c r="I63" s="2877"/>
      <c r="J63" s="2876"/>
      <c r="K63" s="2876"/>
      <c r="L63" s="2877"/>
      <c r="M63" s="2876"/>
      <c r="N63" s="2876"/>
      <c r="O63" s="2877"/>
      <c r="P63" s="2876"/>
      <c r="Q63" s="2876"/>
      <c r="R63" s="2878"/>
    </row>
    <row r="64" s="2392" customFormat="1" spans="2:18">
      <c r="B64" s="2876"/>
      <c r="C64" s="2876"/>
      <c r="D64" s="2876"/>
      <c r="E64" s="2876"/>
      <c r="F64" s="2876"/>
      <c r="G64" s="2877"/>
      <c r="H64" s="2876"/>
      <c r="I64" s="2877"/>
      <c r="J64" s="2876"/>
      <c r="K64" s="2876"/>
      <c r="L64" s="2877"/>
      <c r="M64" s="2876"/>
      <c r="N64" s="2876"/>
      <c r="O64" s="2877"/>
      <c r="P64" s="2876"/>
      <c r="Q64" s="2876"/>
      <c r="R64" s="2878"/>
    </row>
    <row r="65" s="2392" customFormat="1" spans="2:18">
      <c r="B65" s="2876"/>
      <c r="C65" s="2876"/>
      <c r="D65" s="2876"/>
      <c r="E65" s="2876"/>
      <c r="F65" s="2876"/>
      <c r="G65" s="2877"/>
      <c r="H65" s="2876"/>
      <c r="I65" s="2877"/>
      <c r="J65" s="2876"/>
      <c r="K65" s="2876"/>
      <c r="L65" s="2877"/>
      <c r="M65" s="2876"/>
      <c r="N65" s="2876"/>
      <c r="O65" s="2877"/>
      <c r="P65" s="2876"/>
      <c r="Q65" s="2876"/>
      <c r="R65" s="2878"/>
    </row>
    <row r="66" s="2392" customFormat="1" spans="2:18">
      <c r="B66" s="2876"/>
      <c r="C66" s="2876"/>
      <c r="D66" s="2876"/>
      <c r="E66" s="2876"/>
      <c r="F66" s="2876"/>
      <c r="G66" s="2877"/>
      <c r="H66" s="2876"/>
      <c r="I66" s="2877"/>
      <c r="J66" s="2876"/>
      <c r="K66" s="2876"/>
      <c r="L66" s="2877"/>
      <c r="M66" s="2876"/>
      <c r="N66" s="2876"/>
      <c r="O66" s="2877"/>
      <c r="P66" s="2876"/>
      <c r="Q66" s="2876"/>
      <c r="R66" s="2878"/>
    </row>
    <row r="67" s="2392" customFormat="1" spans="2:18">
      <c r="B67" s="2876"/>
      <c r="C67" s="2876"/>
      <c r="D67" s="2876"/>
      <c r="E67" s="2876"/>
      <c r="F67" s="2876"/>
      <c r="G67" s="2877"/>
      <c r="H67" s="2876"/>
      <c r="I67" s="2877"/>
      <c r="J67" s="2876"/>
      <c r="K67" s="2876"/>
      <c r="L67" s="2877"/>
      <c r="M67" s="2876"/>
      <c r="N67" s="2876"/>
      <c r="O67" s="2877"/>
      <c r="P67" s="2876"/>
      <c r="Q67" s="2876"/>
      <c r="R67" s="2878"/>
    </row>
    <row r="68" s="2392" customFormat="1" spans="2:18">
      <c r="B68" s="2876"/>
      <c r="C68" s="2876"/>
      <c r="D68" s="2876"/>
      <c r="E68" s="2876"/>
      <c r="F68" s="2876"/>
      <c r="G68" s="2877"/>
      <c r="H68" s="2876"/>
      <c r="I68" s="2877"/>
      <c r="J68" s="2876"/>
      <c r="K68" s="2876"/>
      <c r="L68" s="2877"/>
      <c r="M68" s="2876"/>
      <c r="N68" s="2876"/>
      <c r="O68" s="2877"/>
      <c r="P68" s="2876"/>
      <c r="Q68" s="2876"/>
      <c r="R68" s="2878"/>
    </row>
    <row r="69" s="2392" customFormat="1" spans="2:18">
      <c r="B69" s="2876"/>
      <c r="C69" s="2876"/>
      <c r="D69" s="2876"/>
      <c r="E69" s="2876"/>
      <c r="F69" s="2876"/>
      <c r="G69" s="2877"/>
      <c r="H69" s="2876"/>
      <c r="I69" s="2877"/>
      <c r="J69" s="2876"/>
      <c r="K69" s="2876"/>
      <c r="L69" s="2877"/>
      <c r="M69" s="2876"/>
      <c r="N69" s="2876"/>
      <c r="O69" s="2877"/>
      <c r="P69" s="2876"/>
      <c r="Q69" s="2876"/>
      <c r="R69" s="2878"/>
    </row>
    <row r="70" s="2392" customFormat="1" spans="2:18">
      <c r="B70" s="2876"/>
      <c r="C70" s="2876"/>
      <c r="D70" s="2876"/>
      <c r="E70" s="2876"/>
      <c r="F70" s="2876"/>
      <c r="G70" s="2877"/>
      <c r="H70" s="2876"/>
      <c r="I70" s="2877"/>
      <c r="J70" s="2876"/>
      <c r="K70" s="2876"/>
      <c r="L70" s="2877"/>
      <c r="M70" s="2876"/>
      <c r="N70" s="2876"/>
      <c r="O70" s="2877"/>
      <c r="P70" s="2876"/>
      <c r="Q70" s="2876"/>
      <c r="R70" s="2878"/>
    </row>
    <row r="71" s="2392" customFormat="1" spans="2:18">
      <c r="B71" s="2876"/>
      <c r="C71" s="2876"/>
      <c r="D71" s="2876"/>
      <c r="E71" s="2876"/>
      <c r="F71" s="2876"/>
      <c r="G71" s="2877"/>
      <c r="H71" s="2876"/>
      <c r="I71" s="2877"/>
      <c r="J71" s="2876"/>
      <c r="K71" s="2876"/>
      <c r="L71" s="2877"/>
      <c r="M71" s="2876"/>
      <c r="N71" s="2876"/>
      <c r="O71" s="2877"/>
      <c r="P71" s="2876"/>
      <c r="Q71" s="2876"/>
      <c r="R71" s="2878"/>
    </row>
    <row r="72" s="2392" customFormat="1" spans="2:18">
      <c r="B72" s="2876"/>
      <c r="C72" s="2876"/>
      <c r="D72" s="2876"/>
      <c r="E72" s="2876"/>
      <c r="F72" s="2876"/>
      <c r="G72" s="2877"/>
      <c r="H72" s="2876"/>
      <c r="I72" s="2877"/>
      <c r="J72" s="2876"/>
      <c r="K72" s="2876"/>
      <c r="L72" s="2877"/>
      <c r="M72" s="2876"/>
      <c r="N72" s="2876"/>
      <c r="O72" s="2877"/>
      <c r="P72" s="2876"/>
      <c r="Q72" s="2876"/>
      <c r="R72" s="2878"/>
    </row>
    <row r="73" s="2392" customFormat="1" spans="2:18">
      <c r="B73" s="2876"/>
      <c r="C73" s="2876"/>
      <c r="D73" s="2876"/>
      <c r="E73" s="2876"/>
      <c r="F73" s="2876"/>
      <c r="G73" s="2877"/>
      <c r="H73" s="2876"/>
      <c r="I73" s="2877"/>
      <c r="J73" s="2876"/>
      <c r="K73" s="2876"/>
      <c r="L73" s="2877"/>
      <c r="M73" s="2876"/>
      <c r="N73" s="2876"/>
      <c r="O73" s="2877"/>
      <c r="P73" s="2876"/>
      <c r="Q73" s="2876"/>
      <c r="R73" s="2878"/>
    </row>
    <row r="74" s="2392" customFormat="1" spans="2:18">
      <c r="B74" s="2876"/>
      <c r="C74" s="2876"/>
      <c r="D74" s="2876"/>
      <c r="E74" s="2876"/>
      <c r="F74" s="2876"/>
      <c r="G74" s="2877"/>
      <c r="H74" s="2876"/>
      <c r="I74" s="2877"/>
      <c r="J74" s="2876"/>
      <c r="K74" s="2876"/>
      <c r="L74" s="2877"/>
      <c r="M74" s="2876"/>
      <c r="N74" s="2876"/>
      <c r="O74" s="2877"/>
      <c r="P74" s="2876"/>
      <c r="Q74" s="2876"/>
      <c r="R74" s="2878"/>
    </row>
    <row r="75" s="2392" customFormat="1" spans="2:18">
      <c r="B75" s="2876"/>
      <c r="C75" s="2876"/>
      <c r="D75" s="2876"/>
      <c r="E75" s="2876"/>
      <c r="F75" s="2876"/>
      <c r="G75" s="2877"/>
      <c r="H75" s="2876"/>
      <c r="I75" s="2877"/>
      <c r="J75" s="2876"/>
      <c r="K75" s="2876"/>
      <c r="L75" s="2877"/>
      <c r="M75" s="2876"/>
      <c r="N75" s="2876"/>
      <c r="O75" s="2877"/>
      <c r="P75" s="2876"/>
      <c r="Q75" s="2876"/>
      <c r="R75" s="2878"/>
    </row>
    <row r="76" s="2392" customFormat="1" spans="2:18">
      <c r="B76" s="2876"/>
      <c r="C76" s="2876"/>
      <c r="D76" s="2876"/>
      <c r="E76" s="2876"/>
      <c r="F76" s="2876"/>
      <c r="G76" s="2877"/>
      <c r="H76" s="2876"/>
      <c r="I76" s="2877"/>
      <c r="J76" s="2876"/>
      <c r="K76" s="2876"/>
      <c r="L76" s="2877"/>
      <c r="M76" s="2876"/>
      <c r="N76" s="2876"/>
      <c r="O76" s="2877"/>
      <c r="P76" s="2876"/>
      <c r="Q76" s="2876"/>
      <c r="R76" s="2878"/>
    </row>
    <row r="77" s="2392" customFormat="1" spans="2:18">
      <c r="B77" s="2876"/>
      <c r="C77" s="2876"/>
      <c r="D77" s="2876"/>
      <c r="E77" s="2876"/>
      <c r="F77" s="2876"/>
      <c r="G77" s="2877"/>
      <c r="H77" s="2876"/>
      <c r="I77" s="2877"/>
      <c r="J77" s="2876"/>
      <c r="K77" s="2876"/>
      <c r="L77" s="2877"/>
      <c r="M77" s="2876"/>
      <c r="N77" s="2876"/>
      <c r="O77" s="2877"/>
      <c r="P77" s="2876"/>
      <c r="Q77" s="2876"/>
      <c r="R77" s="2878"/>
    </row>
    <row r="78" s="2392" customFormat="1" spans="2:18">
      <c r="B78" s="2876"/>
      <c r="C78" s="2876"/>
      <c r="D78" s="2876"/>
      <c r="E78" s="2876"/>
      <c r="F78" s="2876"/>
      <c r="G78" s="2877"/>
      <c r="H78" s="2876"/>
      <c r="I78" s="2877"/>
      <c r="J78" s="2876"/>
      <c r="K78" s="2876"/>
      <c r="L78" s="2877"/>
      <c r="M78" s="2876"/>
      <c r="N78" s="2876"/>
      <c r="O78" s="2877"/>
      <c r="P78" s="2876"/>
      <c r="Q78" s="2876"/>
      <c r="R78" s="2878"/>
    </row>
    <row r="79" s="2392" customFormat="1" spans="2:18">
      <c r="B79" s="2876"/>
      <c r="C79" s="2876"/>
      <c r="D79" s="2876"/>
      <c r="E79" s="2876"/>
      <c r="F79" s="2876"/>
      <c r="G79" s="2877"/>
      <c r="H79" s="2876"/>
      <c r="I79" s="2877"/>
      <c r="J79" s="2876"/>
      <c r="K79" s="2876"/>
      <c r="L79" s="2877"/>
      <c r="M79" s="2876"/>
      <c r="N79" s="2876"/>
      <c r="O79" s="2877"/>
      <c r="P79" s="2876"/>
      <c r="Q79" s="2876"/>
      <c r="R79" s="2878"/>
    </row>
    <row r="80" s="2392" customFormat="1" spans="2:18">
      <c r="B80" s="2876"/>
      <c r="C80" s="2876"/>
      <c r="D80" s="2876"/>
      <c r="E80" s="2876"/>
      <c r="F80" s="2876"/>
      <c r="G80" s="2877"/>
      <c r="H80" s="2876"/>
      <c r="I80" s="2877"/>
      <c r="J80" s="2876"/>
      <c r="K80" s="2876"/>
      <c r="L80" s="2877"/>
      <c r="M80" s="2876"/>
      <c r="N80" s="2876"/>
      <c r="O80" s="2877"/>
      <c r="P80" s="2876"/>
      <c r="Q80" s="2876"/>
      <c r="R80" s="2878"/>
    </row>
    <row r="81" s="2392" customFormat="1" spans="2:18">
      <c r="B81" s="2876"/>
      <c r="C81" s="2876"/>
      <c r="D81" s="2876"/>
      <c r="E81" s="2876"/>
      <c r="F81" s="2876"/>
      <c r="G81" s="2877"/>
      <c r="H81" s="2876"/>
      <c r="I81" s="2877"/>
      <c r="J81" s="2876"/>
      <c r="K81" s="2876"/>
      <c r="L81" s="2877"/>
      <c r="M81" s="2876"/>
      <c r="N81" s="2876"/>
      <c r="O81" s="2877"/>
      <c r="P81" s="2876"/>
      <c r="Q81" s="2876"/>
      <c r="R81" s="2878"/>
    </row>
    <row r="82" s="2392" customFormat="1" spans="2:18">
      <c r="B82" s="2876"/>
      <c r="C82" s="2876"/>
      <c r="D82" s="2876"/>
      <c r="E82" s="2876"/>
      <c r="F82" s="2876"/>
      <c r="G82" s="2877"/>
      <c r="H82" s="2876"/>
      <c r="I82" s="2877"/>
      <c r="J82" s="2876"/>
      <c r="K82" s="2876"/>
      <c r="L82" s="2877"/>
      <c r="M82" s="2876"/>
      <c r="N82" s="2876"/>
      <c r="O82" s="2877"/>
      <c r="P82" s="2876"/>
      <c r="Q82" s="2876"/>
      <c r="R82" s="2878"/>
    </row>
    <row r="83" s="2392" customFormat="1" spans="2:18">
      <c r="B83" s="2876"/>
      <c r="C83" s="2876"/>
      <c r="D83" s="2876"/>
      <c r="E83" s="2876"/>
      <c r="F83" s="2876"/>
      <c r="G83" s="2877"/>
      <c r="H83" s="2876"/>
      <c r="I83" s="2877"/>
      <c r="J83" s="2876"/>
      <c r="K83" s="2876"/>
      <c r="L83" s="2877"/>
      <c r="M83" s="2876"/>
      <c r="N83" s="2876"/>
      <c r="O83" s="2877"/>
      <c r="P83" s="2876"/>
      <c r="Q83" s="2876"/>
      <c r="R83" s="2878"/>
    </row>
    <row r="84" s="2392" customFormat="1" spans="2:18">
      <c r="B84" s="2876"/>
      <c r="C84" s="2876"/>
      <c r="D84" s="2876"/>
      <c r="E84" s="2876"/>
      <c r="F84" s="2876"/>
      <c r="G84" s="2877"/>
      <c r="H84" s="2876"/>
      <c r="I84" s="2877"/>
      <c r="J84" s="2876"/>
      <c r="K84" s="2876"/>
      <c r="L84" s="2877"/>
      <c r="M84" s="2876"/>
      <c r="N84" s="2876"/>
      <c r="O84" s="2877"/>
      <c r="P84" s="2876"/>
      <c r="Q84" s="2876"/>
      <c r="R84" s="2878"/>
    </row>
    <row r="85" s="2392" customFormat="1" spans="2:18">
      <c r="B85" s="2876"/>
      <c r="C85" s="2876"/>
      <c r="D85" s="2876"/>
      <c r="E85" s="2876"/>
      <c r="F85" s="2876"/>
      <c r="G85" s="2877"/>
      <c r="H85" s="2876"/>
      <c r="I85" s="2877"/>
      <c r="J85" s="2876"/>
      <c r="K85" s="2876"/>
      <c r="L85" s="2877"/>
      <c r="M85" s="2876"/>
      <c r="N85" s="2876"/>
      <c r="O85" s="2877"/>
      <c r="P85" s="2876"/>
      <c r="Q85" s="2876"/>
      <c r="R85" s="2878"/>
    </row>
    <row r="86" s="2392" customFormat="1" spans="2:18">
      <c r="B86" s="2876"/>
      <c r="C86" s="2876"/>
      <c r="D86" s="2876"/>
      <c r="E86" s="2876"/>
      <c r="F86" s="2876"/>
      <c r="G86" s="2877"/>
      <c r="H86" s="2876"/>
      <c r="I86" s="2877"/>
      <c r="J86" s="2876"/>
      <c r="K86" s="2876"/>
      <c r="L86" s="2877"/>
      <c r="M86" s="2876"/>
      <c r="N86" s="2876"/>
      <c r="O86" s="2877"/>
      <c r="P86" s="2876"/>
      <c r="Q86" s="2876"/>
      <c r="R86" s="2878"/>
    </row>
    <row r="87" s="2392" customFormat="1" spans="2:18">
      <c r="B87" s="2876"/>
      <c r="C87" s="2876"/>
      <c r="D87" s="2876"/>
      <c r="E87" s="2876"/>
      <c r="F87" s="2876"/>
      <c r="G87" s="2877"/>
      <c r="H87" s="2876"/>
      <c r="I87" s="2877"/>
      <c r="J87" s="2876"/>
      <c r="K87" s="2876"/>
      <c r="L87" s="2877"/>
      <c r="M87" s="2876"/>
      <c r="N87" s="2876"/>
      <c r="O87" s="2877"/>
      <c r="P87" s="2876"/>
      <c r="Q87" s="2876"/>
      <c r="R87" s="2878"/>
    </row>
    <row r="88" s="2392" customFormat="1" spans="2:18">
      <c r="B88" s="2876"/>
      <c r="C88" s="2876"/>
      <c r="D88" s="2876"/>
      <c r="E88" s="2876"/>
      <c r="F88" s="2876"/>
      <c r="G88" s="2877"/>
      <c r="H88" s="2876"/>
      <c r="I88" s="2877"/>
      <c r="J88" s="2876"/>
      <c r="K88" s="2876"/>
      <c r="L88" s="2877"/>
      <c r="M88" s="2876"/>
      <c r="N88" s="2876"/>
      <c r="O88" s="2877"/>
      <c r="P88" s="2876"/>
      <c r="Q88" s="2876"/>
      <c r="R88" s="2878"/>
    </row>
    <row r="89" s="2392" customFormat="1" spans="2:18">
      <c r="B89" s="2876"/>
      <c r="C89" s="2876"/>
      <c r="D89" s="2876"/>
      <c r="E89" s="2876"/>
      <c r="F89" s="2876"/>
      <c r="G89" s="2877"/>
      <c r="H89" s="2876"/>
      <c r="I89" s="2877"/>
      <c r="J89" s="2876"/>
      <c r="K89" s="2876"/>
      <c r="L89" s="2877"/>
      <c r="M89" s="2876"/>
      <c r="N89" s="2876"/>
      <c r="O89" s="2877"/>
      <c r="P89" s="2876"/>
      <c r="Q89" s="2876"/>
      <c r="R89" s="2878"/>
    </row>
    <row r="90" s="2392" customFormat="1" spans="2:18">
      <c r="B90" s="2876"/>
      <c r="C90" s="2876"/>
      <c r="D90" s="2876"/>
      <c r="E90" s="2876"/>
      <c r="F90" s="2876"/>
      <c r="G90" s="2877"/>
      <c r="H90" s="2876"/>
      <c r="I90" s="2877"/>
      <c r="J90" s="2876"/>
      <c r="K90" s="2876"/>
      <c r="L90" s="2877"/>
      <c r="M90" s="2876"/>
      <c r="N90" s="2876"/>
      <c r="O90" s="2877"/>
      <c r="P90" s="2876"/>
      <c r="Q90" s="2876"/>
      <c r="R90" s="2878"/>
    </row>
    <row r="91" s="2392" customFormat="1" spans="2:18">
      <c r="B91" s="2876"/>
      <c r="C91" s="2876"/>
      <c r="D91" s="2876"/>
      <c r="E91" s="2876"/>
      <c r="F91" s="2876"/>
      <c r="G91" s="2877"/>
      <c r="H91" s="2876"/>
      <c r="I91" s="2877"/>
      <c r="J91" s="2876"/>
      <c r="K91" s="2876"/>
      <c r="L91" s="2877"/>
      <c r="M91" s="2876"/>
      <c r="N91" s="2876"/>
      <c r="O91" s="2877"/>
      <c r="P91" s="2876"/>
      <c r="Q91" s="2876"/>
      <c r="R91" s="2878"/>
    </row>
    <row r="92" s="2392" customFormat="1" spans="2:18">
      <c r="B92" s="2876"/>
      <c r="C92" s="2876"/>
      <c r="D92" s="2876"/>
      <c r="E92" s="2876"/>
      <c r="F92" s="2876"/>
      <c r="G92" s="2877"/>
      <c r="H92" s="2876"/>
      <c r="I92" s="2877"/>
      <c r="J92" s="2876"/>
      <c r="K92" s="2876"/>
      <c r="L92" s="2877"/>
      <c r="M92" s="2876"/>
      <c r="N92" s="2876"/>
      <c r="O92" s="2877"/>
      <c r="P92" s="2876"/>
      <c r="Q92" s="2876"/>
      <c r="R92" s="2878"/>
    </row>
    <row r="93" s="2392" customFormat="1" spans="2:18">
      <c r="B93" s="2876"/>
      <c r="C93" s="2876"/>
      <c r="D93" s="2876"/>
      <c r="E93" s="2876"/>
      <c r="F93" s="2876"/>
      <c r="G93" s="2877"/>
      <c r="H93" s="2876"/>
      <c r="I93" s="2877"/>
      <c r="J93" s="2876"/>
      <c r="K93" s="2876"/>
      <c r="L93" s="2877"/>
      <c r="M93" s="2876"/>
      <c r="N93" s="2876"/>
      <c r="O93" s="2877"/>
      <c r="P93" s="2876"/>
      <c r="Q93" s="2876"/>
      <c r="R93" s="2878"/>
    </row>
    <row r="94" s="2392" customFormat="1" spans="2:18">
      <c r="B94" s="2876"/>
      <c r="C94" s="2876"/>
      <c r="D94" s="2876"/>
      <c r="E94" s="2876"/>
      <c r="F94" s="2876"/>
      <c r="G94" s="2877"/>
      <c r="H94" s="2876"/>
      <c r="I94" s="2877"/>
      <c r="J94" s="2876"/>
      <c r="K94" s="2876"/>
      <c r="L94" s="2877"/>
      <c r="M94" s="2876"/>
      <c r="N94" s="2876"/>
      <c r="O94" s="2877"/>
      <c r="P94" s="2876"/>
      <c r="Q94" s="2876"/>
      <c r="R94" s="2878"/>
    </row>
    <row r="95" s="2392" customFormat="1" spans="2:18">
      <c r="B95" s="2876"/>
      <c r="C95" s="2876"/>
      <c r="D95" s="2876"/>
      <c r="E95" s="2876"/>
      <c r="F95" s="2876"/>
      <c r="G95" s="2877"/>
      <c r="H95" s="2876"/>
      <c r="I95" s="2877"/>
      <c r="J95" s="2876"/>
      <c r="K95" s="2876"/>
      <c r="L95" s="2877"/>
      <c r="M95" s="2876"/>
      <c r="N95" s="2876"/>
      <c r="O95" s="2877"/>
      <c r="P95" s="2876"/>
      <c r="Q95" s="2876"/>
      <c r="R95" s="2878"/>
    </row>
    <row r="96" s="2392" customFormat="1" spans="2:18">
      <c r="B96" s="2876"/>
      <c r="C96" s="2876"/>
      <c r="D96" s="2876"/>
      <c r="E96" s="2876"/>
      <c r="F96" s="2876"/>
      <c r="G96" s="2877"/>
      <c r="H96" s="2876"/>
      <c r="I96" s="2877"/>
      <c r="J96" s="2876"/>
      <c r="K96" s="2876"/>
      <c r="L96" s="2877"/>
      <c r="M96" s="2876"/>
      <c r="N96" s="2876"/>
      <c r="O96" s="2877"/>
      <c r="P96" s="2876"/>
      <c r="Q96" s="2876"/>
      <c r="R96" s="2878"/>
    </row>
    <row r="97" s="2392" customFormat="1" spans="2:18">
      <c r="B97" s="2876"/>
      <c r="C97" s="2876"/>
      <c r="D97" s="2876"/>
      <c r="E97" s="2876"/>
      <c r="F97" s="2876"/>
      <c r="G97" s="2877"/>
      <c r="H97" s="2876"/>
      <c r="I97" s="2877"/>
      <c r="J97" s="2876"/>
      <c r="K97" s="2876"/>
      <c r="L97" s="2877"/>
      <c r="M97" s="2876"/>
      <c r="N97" s="2876"/>
      <c r="O97" s="2877"/>
      <c r="P97" s="2876"/>
      <c r="Q97" s="2876"/>
      <c r="R97" s="2878"/>
    </row>
    <row r="98" s="2392" customFormat="1" spans="2:18">
      <c r="B98" s="2876"/>
      <c r="C98" s="2876"/>
      <c r="D98" s="2876"/>
      <c r="E98" s="2876"/>
      <c r="F98" s="2876"/>
      <c r="G98" s="2877"/>
      <c r="H98" s="2876"/>
      <c r="I98" s="2877"/>
      <c r="J98" s="2876"/>
      <c r="K98" s="2876"/>
      <c r="L98" s="2877"/>
      <c r="M98" s="2876"/>
      <c r="N98" s="2876"/>
      <c r="O98" s="2877"/>
      <c r="P98" s="2876"/>
      <c r="Q98" s="2876"/>
      <c r="R98" s="2878"/>
    </row>
    <row r="99" s="2392" customFormat="1" spans="2:18">
      <c r="B99" s="2876"/>
      <c r="C99" s="2876"/>
      <c r="D99" s="2876"/>
      <c r="E99" s="2876"/>
      <c r="F99" s="2876"/>
      <c r="G99" s="2877"/>
      <c r="H99" s="2876"/>
      <c r="I99" s="2877"/>
      <c r="J99" s="2876"/>
      <c r="K99" s="2876"/>
      <c r="L99" s="2877"/>
      <c r="M99" s="2876"/>
      <c r="N99" s="2876"/>
      <c r="O99" s="2877"/>
      <c r="P99" s="2876"/>
      <c r="Q99" s="2876"/>
      <c r="R99" s="2878"/>
    </row>
    <row r="100" s="2392" customFormat="1" spans="2:18">
      <c r="B100" s="2876"/>
      <c r="C100" s="2876"/>
      <c r="D100" s="2876"/>
      <c r="E100" s="2876"/>
      <c r="F100" s="2876"/>
      <c r="G100" s="2877"/>
      <c r="H100" s="2876"/>
      <c r="I100" s="2877"/>
      <c r="J100" s="2876"/>
      <c r="K100" s="2876"/>
      <c r="L100" s="2877"/>
      <c r="M100" s="2876"/>
      <c r="N100" s="2876"/>
      <c r="O100" s="2877"/>
      <c r="P100" s="2876"/>
      <c r="Q100" s="2876"/>
      <c r="R100" s="2878"/>
    </row>
    <row r="101" s="2392" customFormat="1" spans="2:18">
      <c r="B101" s="2876"/>
      <c r="C101" s="2876"/>
      <c r="D101" s="2876"/>
      <c r="E101" s="2876"/>
      <c r="F101" s="2876"/>
      <c r="G101" s="2877"/>
      <c r="H101" s="2876"/>
      <c r="I101" s="2877"/>
      <c r="J101" s="2876"/>
      <c r="K101" s="2876"/>
      <c r="L101" s="2877"/>
      <c r="M101" s="2876"/>
      <c r="N101" s="2876"/>
      <c r="O101" s="2877"/>
      <c r="P101" s="2876"/>
      <c r="Q101" s="2876"/>
      <c r="R101" s="2878"/>
    </row>
    <row r="102" s="2392" customFormat="1" spans="2:18">
      <c r="B102" s="2876"/>
      <c r="C102" s="2876"/>
      <c r="D102" s="2876"/>
      <c r="E102" s="2876"/>
      <c r="F102" s="2876"/>
      <c r="G102" s="2877"/>
      <c r="H102" s="2876"/>
      <c r="I102" s="2877"/>
      <c r="J102" s="2876"/>
      <c r="K102" s="2876"/>
      <c r="L102" s="2877"/>
      <c r="M102" s="2876"/>
      <c r="N102" s="2876"/>
      <c r="O102" s="2877"/>
      <c r="P102" s="2876"/>
      <c r="Q102" s="2876"/>
      <c r="R102" s="2878"/>
    </row>
    <row r="103" s="2392" customFormat="1" spans="2:18">
      <c r="B103" s="2876"/>
      <c r="C103" s="2876"/>
      <c r="D103" s="2876"/>
      <c r="E103" s="2876"/>
      <c r="F103" s="2876"/>
      <c r="G103" s="2877"/>
      <c r="H103" s="2876"/>
      <c r="I103" s="2877"/>
      <c r="J103" s="2876"/>
      <c r="K103" s="2876"/>
      <c r="L103" s="2877"/>
      <c r="M103" s="2876"/>
      <c r="N103" s="2876"/>
      <c r="O103" s="2877"/>
      <c r="P103" s="2876"/>
      <c r="Q103" s="2876"/>
      <c r="R103" s="2878"/>
    </row>
    <row r="104" s="2392" customFormat="1" spans="2:18">
      <c r="B104" s="2876"/>
      <c r="C104" s="2876"/>
      <c r="D104" s="2876"/>
      <c r="E104" s="2876"/>
      <c r="F104" s="2876"/>
      <c r="G104" s="2877"/>
      <c r="H104" s="2876"/>
      <c r="I104" s="2877"/>
      <c r="J104" s="2876"/>
      <c r="K104" s="2876"/>
      <c r="L104" s="2877"/>
      <c r="M104" s="2876"/>
      <c r="N104" s="2876"/>
      <c r="O104" s="2877"/>
      <c r="P104" s="2876"/>
      <c r="Q104" s="2876"/>
      <c r="R104" s="2878"/>
    </row>
    <row r="105" s="2392" customFormat="1" spans="2:18">
      <c r="B105" s="2876"/>
      <c r="C105" s="2876"/>
      <c r="D105" s="2876"/>
      <c r="E105" s="2876"/>
      <c r="F105" s="2876"/>
      <c r="G105" s="2877"/>
      <c r="H105" s="2876"/>
      <c r="I105" s="2877"/>
      <c r="J105" s="2876"/>
      <c r="K105" s="2876"/>
      <c r="L105" s="2877"/>
      <c r="M105" s="2876"/>
      <c r="N105" s="2876"/>
      <c r="O105" s="2877"/>
      <c r="P105" s="2876"/>
      <c r="Q105" s="2876"/>
      <c r="R105" s="2878"/>
    </row>
    <row r="106" s="2392" customFormat="1" spans="2:18">
      <c r="B106" s="2876"/>
      <c r="C106" s="2876"/>
      <c r="D106" s="2876"/>
      <c r="E106" s="2876"/>
      <c r="F106" s="2876"/>
      <c r="G106" s="2877"/>
      <c r="H106" s="2876"/>
      <c r="I106" s="2877"/>
      <c r="J106" s="2876"/>
      <c r="K106" s="2876"/>
      <c r="L106" s="2877"/>
      <c r="M106" s="2876"/>
      <c r="N106" s="2876"/>
      <c r="O106" s="2877"/>
      <c r="P106" s="2876"/>
      <c r="Q106" s="2876"/>
      <c r="R106" s="2878"/>
    </row>
    <row r="107" s="2392" customFormat="1" spans="2:18">
      <c r="B107" s="2876"/>
      <c r="C107" s="2876"/>
      <c r="D107" s="2876"/>
      <c r="E107" s="2876"/>
      <c r="F107" s="2876"/>
      <c r="G107" s="2877"/>
      <c r="H107" s="2876"/>
      <c r="I107" s="2877"/>
      <c r="J107" s="2876"/>
      <c r="K107" s="2876"/>
      <c r="L107" s="2877"/>
      <c r="M107" s="2876"/>
      <c r="N107" s="2876"/>
      <c r="O107" s="2877"/>
      <c r="P107" s="2876"/>
      <c r="Q107" s="2876"/>
      <c r="R107" s="2878"/>
    </row>
    <row r="108" s="2392" customFormat="1" spans="2:18">
      <c r="B108" s="2876"/>
      <c r="C108" s="2876"/>
      <c r="D108" s="2876"/>
      <c r="E108" s="2876"/>
      <c r="F108" s="2876"/>
      <c r="G108" s="2877"/>
      <c r="H108" s="2876"/>
      <c r="I108" s="2877"/>
      <c r="J108" s="2876"/>
      <c r="K108" s="2876"/>
      <c r="L108" s="2877"/>
      <c r="M108" s="2876"/>
      <c r="N108" s="2876"/>
      <c r="O108" s="2877"/>
      <c r="P108" s="2876"/>
      <c r="Q108" s="2876"/>
      <c r="R108" s="2878"/>
    </row>
    <row r="109" s="2392" customFormat="1" spans="2:18">
      <c r="B109" s="2876"/>
      <c r="C109" s="2876"/>
      <c r="D109" s="2876"/>
      <c r="E109" s="2876"/>
      <c r="F109" s="2876"/>
      <c r="G109" s="2877"/>
      <c r="H109" s="2876"/>
      <c r="I109" s="2877"/>
      <c r="J109" s="2876"/>
      <c r="K109" s="2876"/>
      <c r="L109" s="2877"/>
      <c r="M109" s="2876"/>
      <c r="N109" s="2876"/>
      <c r="O109" s="2877"/>
      <c r="P109" s="2876"/>
      <c r="Q109" s="2876"/>
      <c r="R109" s="2878"/>
    </row>
    <row r="110" s="2392" customFormat="1" spans="2:18">
      <c r="B110" s="2876"/>
      <c r="C110" s="2876"/>
      <c r="D110" s="2876"/>
      <c r="E110" s="2876"/>
      <c r="F110" s="2876"/>
      <c r="G110" s="2877"/>
      <c r="H110" s="2876"/>
      <c r="I110" s="2877"/>
      <c r="J110" s="2876"/>
      <c r="K110" s="2876"/>
      <c r="L110" s="2877"/>
      <c r="M110" s="2876"/>
      <c r="N110" s="2876"/>
      <c r="O110" s="2877"/>
      <c r="P110" s="2876"/>
      <c r="Q110" s="2876"/>
      <c r="R110" s="2878"/>
    </row>
    <row r="111" s="2392" customFormat="1" spans="2:18">
      <c r="B111" s="2876"/>
      <c r="C111" s="2876"/>
      <c r="D111" s="2876"/>
      <c r="E111" s="2876"/>
      <c r="F111" s="2876"/>
      <c r="G111" s="2877"/>
      <c r="H111" s="2876"/>
      <c r="I111" s="2877"/>
      <c r="J111" s="2876"/>
      <c r="K111" s="2876"/>
      <c r="L111" s="2877"/>
      <c r="M111" s="2876"/>
      <c r="N111" s="2876"/>
      <c r="O111" s="2877"/>
      <c r="P111" s="2876"/>
      <c r="Q111" s="2876"/>
      <c r="R111" s="2878"/>
    </row>
    <row r="112" s="2392" customFormat="1" spans="2:18">
      <c r="B112" s="2876"/>
      <c r="C112" s="2876"/>
      <c r="D112" s="2876"/>
      <c r="E112" s="2876"/>
      <c r="F112" s="2876"/>
      <c r="G112" s="2877"/>
      <c r="H112" s="2876"/>
      <c r="I112" s="2877"/>
      <c r="J112" s="2876"/>
      <c r="K112" s="2876"/>
      <c r="L112" s="2877"/>
      <c r="M112" s="2876"/>
      <c r="N112" s="2876"/>
      <c r="O112" s="2877"/>
      <c r="P112" s="2876"/>
      <c r="Q112" s="2876"/>
      <c r="R112" s="2878"/>
    </row>
    <row r="113" s="2392" customFormat="1" spans="2:18">
      <c r="B113" s="2876"/>
      <c r="C113" s="2876"/>
      <c r="D113" s="2876"/>
      <c r="E113" s="2876"/>
      <c r="F113" s="2876"/>
      <c r="G113" s="2877"/>
      <c r="H113" s="2876"/>
      <c r="I113" s="2877"/>
      <c r="J113" s="2876"/>
      <c r="K113" s="2876"/>
      <c r="L113" s="2877"/>
      <c r="M113" s="2876"/>
      <c r="N113" s="2876"/>
      <c r="O113" s="2877"/>
      <c r="P113" s="2876"/>
      <c r="Q113" s="2876"/>
      <c r="R113" s="2878"/>
    </row>
    <row r="114" s="2392" customFormat="1" spans="2:18">
      <c r="B114" s="2876"/>
      <c r="C114" s="2876"/>
      <c r="D114" s="2876"/>
      <c r="E114" s="2876"/>
      <c r="F114" s="2876"/>
      <c r="G114" s="2877"/>
      <c r="H114" s="2876"/>
      <c r="I114" s="2877"/>
      <c r="J114" s="2876"/>
      <c r="K114" s="2876"/>
      <c r="L114" s="2877"/>
      <c r="M114" s="2876"/>
      <c r="N114" s="2876"/>
      <c r="O114" s="2877"/>
      <c r="P114" s="2876"/>
      <c r="Q114" s="2876"/>
      <c r="R114" s="2878"/>
    </row>
    <row r="115" s="2392" customFormat="1" spans="2:18">
      <c r="B115" s="2876"/>
      <c r="C115" s="2876"/>
      <c r="D115" s="2876"/>
      <c r="E115" s="2876"/>
      <c r="F115" s="2876"/>
      <c r="G115" s="2877"/>
      <c r="H115" s="2876"/>
      <c r="I115" s="2877"/>
      <c r="J115" s="2876"/>
      <c r="K115" s="2876"/>
      <c r="L115" s="2877"/>
      <c r="M115" s="2876"/>
      <c r="N115" s="2876"/>
      <c r="O115" s="2877"/>
      <c r="P115" s="2876"/>
      <c r="Q115" s="2876"/>
      <c r="R115" s="2878"/>
    </row>
    <row r="116" s="2392" customFormat="1" spans="2:18">
      <c r="B116" s="2876"/>
      <c r="C116" s="2876"/>
      <c r="D116" s="2876"/>
      <c r="E116" s="2876"/>
      <c r="F116" s="2876"/>
      <c r="G116" s="2877"/>
      <c r="H116" s="2876"/>
      <c r="I116" s="2877"/>
      <c r="J116" s="2876"/>
      <c r="K116" s="2876"/>
      <c r="L116" s="2877"/>
      <c r="M116" s="2876"/>
      <c r="N116" s="2876"/>
      <c r="O116" s="2877"/>
      <c r="P116" s="2876"/>
      <c r="Q116" s="2876"/>
      <c r="R116" s="2878"/>
    </row>
    <row r="117" s="2392" customFormat="1" spans="2:18">
      <c r="B117" s="2876"/>
      <c r="C117" s="2876"/>
      <c r="D117" s="2876"/>
      <c r="E117" s="2876"/>
      <c r="F117" s="2876"/>
      <c r="G117" s="2877"/>
      <c r="H117" s="2876"/>
      <c r="I117" s="2877"/>
      <c r="J117" s="2876"/>
      <c r="K117" s="2876"/>
      <c r="L117" s="2877"/>
      <c r="M117" s="2876"/>
      <c r="N117" s="2876"/>
      <c r="O117" s="2877"/>
      <c r="P117" s="2876"/>
      <c r="Q117" s="2876"/>
      <c r="R117" s="2878"/>
    </row>
    <row r="118" s="2392" customFormat="1" spans="2:18">
      <c r="B118" s="2876"/>
      <c r="C118" s="2876"/>
      <c r="D118" s="2876"/>
      <c r="E118" s="2876"/>
      <c r="F118" s="2876"/>
      <c r="G118" s="2877"/>
      <c r="H118" s="2876"/>
      <c r="I118" s="2877"/>
      <c r="J118" s="2876"/>
      <c r="K118" s="2876"/>
      <c r="L118" s="2877"/>
      <c r="M118" s="2876"/>
      <c r="N118" s="2876"/>
      <c r="O118" s="2877"/>
      <c r="P118" s="2876"/>
      <c r="Q118" s="2876"/>
      <c r="R118" s="2878"/>
    </row>
    <row r="119" s="2392" customFormat="1" spans="2:18">
      <c r="B119" s="2876"/>
      <c r="C119" s="2876"/>
      <c r="D119" s="2876"/>
      <c r="E119" s="2876"/>
      <c r="F119" s="2876"/>
      <c r="G119" s="2877"/>
      <c r="H119" s="2876"/>
      <c r="I119" s="2877"/>
      <c r="J119" s="2876"/>
      <c r="K119" s="2876"/>
      <c r="L119" s="2877"/>
      <c r="M119" s="2876"/>
      <c r="N119" s="2876"/>
      <c r="O119" s="2877"/>
      <c r="P119" s="2876"/>
      <c r="Q119" s="2876"/>
      <c r="R119" s="2878"/>
    </row>
    <row r="120" s="2392" customFormat="1" spans="2:18">
      <c r="B120" s="2876"/>
      <c r="C120" s="2876"/>
      <c r="D120" s="2876"/>
      <c r="E120" s="2876"/>
      <c r="F120" s="2876"/>
      <c r="G120" s="2877"/>
      <c r="H120" s="2876"/>
      <c r="I120" s="2877"/>
      <c r="J120" s="2876"/>
      <c r="K120" s="2876"/>
      <c r="L120" s="2877"/>
      <c r="M120" s="2876"/>
      <c r="N120" s="2876"/>
      <c r="O120" s="2877"/>
      <c r="P120" s="2876"/>
      <c r="Q120" s="2876"/>
      <c r="R120" s="2878"/>
    </row>
    <row r="121" s="2392" customFormat="1" spans="2:18">
      <c r="B121" s="2876"/>
      <c r="C121" s="2876"/>
      <c r="D121" s="2876"/>
      <c r="E121" s="2876"/>
      <c r="F121" s="2876"/>
      <c r="G121" s="2877"/>
      <c r="H121" s="2876"/>
      <c r="I121" s="2877"/>
      <c r="J121" s="2876"/>
      <c r="K121" s="2876"/>
      <c r="L121" s="2877"/>
      <c r="M121" s="2876"/>
      <c r="N121" s="2876"/>
      <c r="O121" s="2877"/>
      <c r="P121" s="2876"/>
      <c r="Q121" s="2876"/>
      <c r="R121" s="2878"/>
    </row>
    <row r="122" s="2392" customFormat="1" spans="2:18">
      <c r="B122" s="2876"/>
      <c r="C122" s="2876"/>
      <c r="D122" s="2876"/>
      <c r="E122" s="2876"/>
      <c r="F122" s="2876"/>
      <c r="G122" s="2877"/>
      <c r="H122" s="2876"/>
      <c r="I122" s="2877"/>
      <c r="J122" s="2876"/>
      <c r="K122" s="2876"/>
      <c r="L122" s="2877"/>
      <c r="M122" s="2876"/>
      <c r="N122" s="2876"/>
      <c r="O122" s="2877"/>
      <c r="P122" s="2876"/>
      <c r="Q122" s="2876"/>
      <c r="R122" s="2878"/>
    </row>
    <row r="123" s="2392" customFormat="1" spans="2:18">
      <c r="B123" s="2876"/>
      <c r="C123" s="2876"/>
      <c r="D123" s="2876"/>
      <c r="E123" s="2876"/>
      <c r="F123" s="2876"/>
      <c r="G123" s="2877"/>
      <c r="H123" s="2876"/>
      <c r="I123" s="2877"/>
      <c r="J123" s="2876"/>
      <c r="K123" s="2876"/>
      <c r="L123" s="2877"/>
      <c r="M123" s="2876"/>
      <c r="N123" s="2876"/>
      <c r="O123" s="2877"/>
      <c r="P123" s="2876"/>
      <c r="Q123" s="2876"/>
      <c r="R123" s="2878"/>
    </row>
    <row r="124" s="2392" customFormat="1" spans="2:18">
      <c r="B124" s="2876"/>
      <c r="C124" s="2876"/>
      <c r="D124" s="2876"/>
      <c r="E124" s="2876"/>
      <c r="F124" s="2876"/>
      <c r="G124" s="2877"/>
      <c r="H124" s="2876"/>
      <c r="I124" s="2877"/>
      <c r="J124" s="2876"/>
      <c r="K124" s="2876"/>
      <c r="L124" s="2877"/>
      <c r="M124" s="2876"/>
      <c r="N124" s="2876"/>
      <c r="O124" s="2877"/>
      <c r="P124" s="2876"/>
      <c r="Q124" s="2876"/>
      <c r="R124" s="2878"/>
    </row>
    <row r="125" s="2392" customFormat="1" spans="2:18">
      <c r="B125" s="2876"/>
      <c r="C125" s="2876"/>
      <c r="D125" s="2876"/>
      <c r="E125" s="2876"/>
      <c r="F125" s="2876"/>
      <c r="G125" s="2877"/>
      <c r="H125" s="2876"/>
      <c r="I125" s="2877"/>
      <c r="J125" s="2876"/>
      <c r="K125" s="2876"/>
      <c r="L125" s="2877"/>
      <c r="M125" s="2876"/>
      <c r="N125" s="2876"/>
      <c r="O125" s="2877"/>
      <c r="P125" s="2876"/>
      <c r="Q125" s="2876"/>
      <c r="R125" s="2878"/>
    </row>
    <row r="126" s="2392" customFormat="1" spans="2:18">
      <c r="B126" s="2876"/>
      <c r="C126" s="2876"/>
      <c r="D126" s="2876"/>
      <c r="E126" s="2876"/>
      <c r="F126" s="2876"/>
      <c r="G126" s="2877"/>
      <c r="H126" s="2876"/>
      <c r="I126" s="2877"/>
      <c r="J126" s="2876"/>
      <c r="K126" s="2876"/>
      <c r="L126" s="2877"/>
      <c r="M126" s="2876"/>
      <c r="N126" s="2876"/>
      <c r="O126" s="2877"/>
      <c r="P126" s="2876"/>
      <c r="Q126" s="2876"/>
      <c r="R126" s="2878"/>
    </row>
    <row r="127" s="2392" customFormat="1" spans="2:18">
      <c r="B127" s="2876"/>
      <c r="C127" s="2876"/>
      <c r="D127" s="2876"/>
      <c r="E127" s="2876"/>
      <c r="F127" s="2876"/>
      <c r="G127" s="2877"/>
      <c r="H127" s="2876"/>
      <c r="I127" s="2877"/>
      <c r="J127" s="2876"/>
      <c r="K127" s="2876"/>
      <c r="L127" s="2877"/>
      <c r="M127" s="2876"/>
      <c r="N127" s="2876"/>
      <c r="O127" s="2877"/>
      <c r="P127" s="2876"/>
      <c r="Q127" s="2876"/>
      <c r="R127" s="2878"/>
    </row>
    <row r="128" s="2392" customFormat="1" spans="2:18">
      <c r="B128" s="2876"/>
      <c r="C128" s="2876"/>
      <c r="D128" s="2876"/>
      <c r="E128" s="2876"/>
      <c r="F128" s="2876"/>
      <c r="G128" s="2877"/>
      <c r="H128" s="2876"/>
      <c r="I128" s="2877"/>
      <c r="J128" s="2876"/>
      <c r="K128" s="2876"/>
      <c r="L128" s="2877"/>
      <c r="M128" s="2876"/>
      <c r="N128" s="2876"/>
      <c r="O128" s="2877"/>
      <c r="P128" s="2876"/>
      <c r="Q128" s="2876"/>
      <c r="R128" s="2878"/>
    </row>
    <row r="129" s="2392" customFormat="1" spans="2:18">
      <c r="B129" s="2876"/>
      <c r="C129" s="2876"/>
      <c r="D129" s="2876"/>
      <c r="E129" s="2876"/>
      <c r="F129" s="2876"/>
      <c r="G129" s="2877"/>
      <c r="H129" s="2876"/>
      <c r="I129" s="2877"/>
      <c r="J129" s="2876"/>
      <c r="K129" s="2876"/>
      <c r="L129" s="2877"/>
      <c r="M129" s="2876"/>
      <c r="N129" s="2876"/>
      <c r="O129" s="2877"/>
      <c r="P129" s="2876"/>
      <c r="Q129" s="2876"/>
      <c r="R129" s="2878"/>
    </row>
    <row r="130" s="2392" customFormat="1" spans="2:18">
      <c r="B130" s="2876"/>
      <c r="C130" s="2876"/>
      <c r="D130" s="2876"/>
      <c r="E130" s="2876"/>
      <c r="F130" s="2876"/>
      <c r="G130" s="2877"/>
      <c r="H130" s="2876"/>
      <c r="I130" s="2877"/>
      <c r="J130" s="2876"/>
      <c r="K130" s="2876"/>
      <c r="L130" s="2877"/>
      <c r="M130" s="2876"/>
      <c r="N130" s="2876"/>
      <c r="O130" s="2877"/>
      <c r="P130" s="2876"/>
      <c r="Q130" s="2876"/>
      <c r="R130" s="2878"/>
    </row>
    <row r="131" s="2392" customFormat="1" spans="2:18">
      <c r="B131" s="2876"/>
      <c r="C131" s="2876"/>
      <c r="D131" s="2876"/>
      <c r="E131" s="2876"/>
      <c r="F131" s="2876"/>
      <c r="G131" s="2877"/>
      <c r="H131" s="2876"/>
      <c r="I131" s="2877"/>
      <c r="J131" s="2876"/>
      <c r="K131" s="2876"/>
      <c r="L131" s="2877"/>
      <c r="M131" s="2876"/>
      <c r="N131" s="2876"/>
      <c r="O131" s="2877"/>
      <c r="P131" s="2876"/>
      <c r="Q131" s="2876"/>
      <c r="R131" s="2878"/>
    </row>
    <row r="132" s="2392" customFormat="1" spans="2:18">
      <c r="B132" s="2876"/>
      <c r="C132" s="2876"/>
      <c r="D132" s="2876"/>
      <c r="E132" s="2876"/>
      <c r="F132" s="2876"/>
      <c r="G132" s="2877"/>
      <c r="H132" s="2876"/>
      <c r="I132" s="2877"/>
      <c r="J132" s="2876"/>
      <c r="K132" s="2876"/>
      <c r="L132" s="2877"/>
      <c r="M132" s="2876"/>
      <c r="N132" s="2876"/>
      <c r="O132" s="2877"/>
      <c r="P132" s="2876"/>
      <c r="Q132" s="2876"/>
      <c r="R132" s="2878"/>
    </row>
    <row r="133" s="2392" customFormat="1" spans="2:18">
      <c r="B133" s="2876"/>
      <c r="C133" s="2876"/>
      <c r="D133" s="2876"/>
      <c r="E133" s="2876"/>
      <c r="F133" s="2876"/>
      <c r="G133" s="2877"/>
      <c r="H133" s="2876"/>
      <c r="I133" s="2877"/>
      <c r="J133" s="2876"/>
      <c r="K133" s="2876"/>
      <c r="L133" s="2877"/>
      <c r="M133" s="2876"/>
      <c r="N133" s="2876"/>
      <c r="O133" s="2877"/>
      <c r="P133" s="2876"/>
      <c r="Q133" s="2876"/>
      <c r="R133" s="2878"/>
    </row>
    <row r="134" s="2392" customFormat="1" spans="2:18">
      <c r="B134" s="2876"/>
      <c r="C134" s="2876"/>
      <c r="D134" s="2876"/>
      <c r="E134" s="2876"/>
      <c r="F134" s="2876"/>
      <c r="G134" s="2877"/>
      <c r="H134" s="2876"/>
      <c r="I134" s="2877"/>
      <c r="J134" s="2876"/>
      <c r="K134" s="2876"/>
      <c r="L134" s="2877"/>
      <c r="M134" s="2876"/>
      <c r="N134" s="2876"/>
      <c r="O134" s="2877"/>
      <c r="P134" s="2876"/>
      <c r="Q134" s="2876"/>
      <c r="R134" s="2878"/>
    </row>
    <row r="135" s="2392" customFormat="1" spans="2:18">
      <c r="B135" s="2876"/>
      <c r="C135" s="2876"/>
      <c r="D135" s="2876"/>
      <c r="E135" s="2876"/>
      <c r="F135" s="2876"/>
      <c r="G135" s="2877"/>
      <c r="H135" s="2876"/>
      <c r="I135" s="2877"/>
      <c r="J135" s="2876"/>
      <c r="K135" s="2876"/>
      <c r="L135" s="2877"/>
      <c r="M135" s="2876"/>
      <c r="N135" s="2876"/>
      <c r="O135" s="2877"/>
      <c r="P135" s="2876"/>
      <c r="Q135" s="2876"/>
      <c r="R135" s="2878"/>
    </row>
    <row r="136" s="2392" customFormat="1" spans="2:18">
      <c r="B136" s="2876"/>
      <c r="C136" s="2876"/>
      <c r="D136" s="2876"/>
      <c r="E136" s="2876"/>
      <c r="F136" s="2876"/>
      <c r="G136" s="2877"/>
      <c r="H136" s="2876"/>
      <c r="I136" s="2877"/>
      <c r="J136" s="2876"/>
      <c r="K136" s="2876"/>
      <c r="L136" s="2877"/>
      <c r="M136" s="2876"/>
      <c r="N136" s="2876"/>
      <c r="O136" s="2877"/>
      <c r="P136" s="2876"/>
      <c r="Q136" s="2876"/>
      <c r="R136" s="2878"/>
    </row>
    <row r="137" s="2392" customFormat="1" spans="2:18">
      <c r="B137" s="2876"/>
      <c r="C137" s="2876"/>
      <c r="D137" s="2876"/>
      <c r="E137" s="2876"/>
      <c r="F137" s="2876"/>
      <c r="G137" s="2877"/>
      <c r="H137" s="2876"/>
      <c r="I137" s="2877"/>
      <c r="J137" s="2876"/>
      <c r="K137" s="2876"/>
      <c r="L137" s="2877"/>
      <c r="M137" s="2876"/>
      <c r="N137" s="2876"/>
      <c r="O137" s="2877"/>
      <c r="P137" s="2876"/>
      <c r="Q137" s="2876"/>
      <c r="R137" s="2878"/>
    </row>
    <row r="138" s="2392" customFormat="1" spans="2:18">
      <c r="B138" s="2876"/>
      <c r="C138" s="2876"/>
      <c r="D138" s="2876"/>
      <c r="E138" s="2876"/>
      <c r="F138" s="2876"/>
      <c r="G138" s="2877"/>
      <c r="H138" s="2876"/>
      <c r="I138" s="2877"/>
      <c r="J138" s="2876"/>
      <c r="K138" s="2876"/>
      <c r="L138" s="2877"/>
      <c r="M138" s="2876"/>
      <c r="N138" s="2876"/>
      <c r="O138" s="2877"/>
      <c r="P138" s="2876"/>
      <c r="Q138" s="2876"/>
      <c r="R138" s="2878"/>
    </row>
    <row r="139" s="2392" customFormat="1" spans="2:18">
      <c r="B139" s="2876"/>
      <c r="C139" s="2876"/>
      <c r="D139" s="2876"/>
      <c r="E139" s="2876"/>
      <c r="F139" s="2876"/>
      <c r="G139" s="2877"/>
      <c r="H139" s="2876"/>
      <c r="I139" s="2877"/>
      <c r="J139" s="2876"/>
      <c r="K139" s="2876"/>
      <c r="L139" s="2877"/>
      <c r="M139" s="2876"/>
      <c r="N139" s="2876"/>
      <c r="O139" s="2877"/>
      <c r="P139" s="2876"/>
      <c r="Q139" s="2876"/>
      <c r="R139" s="2878"/>
    </row>
    <row r="140" s="2392" customFormat="1" spans="2:18">
      <c r="B140" s="2876"/>
      <c r="C140" s="2876"/>
      <c r="D140" s="2876"/>
      <c r="E140" s="2876"/>
      <c r="F140" s="2876"/>
      <c r="G140" s="2877"/>
      <c r="H140" s="2876"/>
      <c r="I140" s="2877"/>
      <c r="J140" s="2876"/>
      <c r="K140" s="2876"/>
      <c r="L140" s="2877"/>
      <c r="M140" s="2876"/>
      <c r="N140" s="2876"/>
      <c r="O140" s="2877"/>
      <c r="P140" s="2876"/>
      <c r="Q140" s="2876"/>
      <c r="R140" s="2878"/>
    </row>
    <row r="141" s="2392" customFormat="1" spans="2:18">
      <c r="B141" s="2876"/>
      <c r="C141" s="2876"/>
      <c r="D141" s="2876"/>
      <c r="E141" s="2876"/>
      <c r="F141" s="2876"/>
      <c r="G141" s="2877"/>
      <c r="H141" s="2876"/>
      <c r="I141" s="2877"/>
      <c r="J141" s="2876"/>
      <c r="K141" s="2876"/>
      <c r="L141" s="2877"/>
      <c r="M141" s="2876"/>
      <c r="N141" s="2876"/>
      <c r="O141" s="2877"/>
      <c r="P141" s="2876"/>
      <c r="Q141" s="2876"/>
      <c r="R141" s="2878"/>
    </row>
    <row r="142" s="2392" customFormat="1" spans="2:18">
      <c r="B142" s="2876"/>
      <c r="C142" s="2876"/>
      <c r="D142" s="2876"/>
      <c r="E142" s="2876"/>
      <c r="F142" s="2876"/>
      <c r="G142" s="2877"/>
      <c r="H142" s="2876"/>
      <c r="I142" s="2877"/>
      <c r="J142" s="2876"/>
      <c r="K142" s="2876"/>
      <c r="L142" s="2877"/>
      <c r="M142" s="2876"/>
      <c r="N142" s="2876"/>
      <c r="O142" s="2877"/>
      <c r="P142" s="2876"/>
      <c r="Q142" s="2876"/>
      <c r="R142" s="2878"/>
    </row>
    <row r="143" s="2392" customFormat="1" spans="2:18">
      <c r="B143" s="2876"/>
      <c r="C143" s="2876"/>
      <c r="D143" s="2876"/>
      <c r="E143" s="2876"/>
      <c r="F143" s="2876"/>
      <c r="G143" s="2877"/>
      <c r="H143" s="2876"/>
      <c r="I143" s="2877"/>
      <c r="J143" s="2876"/>
      <c r="K143" s="2876"/>
      <c r="L143" s="2877"/>
      <c r="M143" s="2876"/>
      <c r="N143" s="2876"/>
      <c r="O143" s="2877"/>
      <c r="P143" s="2876"/>
      <c r="Q143" s="2876"/>
      <c r="R143" s="2878"/>
    </row>
    <row r="144" s="2392" customFormat="1" spans="2:18">
      <c r="B144" s="2876"/>
      <c r="C144" s="2876"/>
      <c r="D144" s="2876"/>
      <c r="E144" s="2876"/>
      <c r="F144" s="2876"/>
      <c r="G144" s="2877"/>
      <c r="H144" s="2876"/>
      <c r="I144" s="2877"/>
      <c r="J144" s="2876"/>
      <c r="K144" s="2876"/>
      <c r="L144" s="2877"/>
      <c r="M144" s="2876"/>
      <c r="N144" s="2876"/>
      <c r="O144" s="2877"/>
      <c r="P144" s="2876"/>
      <c r="Q144" s="2876"/>
      <c r="R144" s="2878"/>
    </row>
    <row r="145" s="2392" customFormat="1" spans="2:18">
      <c r="B145" s="2876"/>
      <c r="C145" s="2876"/>
      <c r="D145" s="2876"/>
      <c r="E145" s="2876"/>
      <c r="F145" s="2876"/>
      <c r="G145" s="2877"/>
      <c r="H145" s="2876"/>
      <c r="I145" s="2877"/>
      <c r="J145" s="2876"/>
      <c r="K145" s="2876"/>
      <c r="L145" s="2877"/>
      <c r="M145" s="2876"/>
      <c r="N145" s="2876"/>
      <c r="O145" s="2877"/>
      <c r="P145" s="2876"/>
      <c r="Q145" s="2876"/>
      <c r="R145" s="2878"/>
    </row>
    <row r="146" s="2392" customFormat="1" spans="2:18">
      <c r="B146" s="2876"/>
      <c r="C146" s="2876"/>
      <c r="D146" s="2876"/>
      <c r="E146" s="2876"/>
      <c r="F146" s="2876"/>
      <c r="G146" s="2877"/>
      <c r="H146" s="2876"/>
      <c r="I146" s="2877"/>
      <c r="J146" s="2876"/>
      <c r="K146" s="2876"/>
      <c r="L146" s="2877"/>
      <c r="M146" s="2876"/>
      <c r="N146" s="2876"/>
      <c r="O146" s="2877"/>
      <c r="P146" s="2876"/>
      <c r="Q146" s="2876"/>
      <c r="R146" s="2878"/>
    </row>
    <row r="147" s="2392" customFormat="1" spans="2:18">
      <c r="B147" s="2876"/>
      <c r="C147" s="2876"/>
      <c r="D147" s="2876"/>
      <c r="E147" s="2876"/>
      <c r="F147" s="2876"/>
      <c r="G147" s="2877"/>
      <c r="H147" s="2876"/>
      <c r="I147" s="2877"/>
      <c r="J147" s="2876"/>
      <c r="K147" s="2876"/>
      <c r="L147" s="2877"/>
      <c r="M147" s="2876"/>
      <c r="N147" s="2876"/>
      <c r="O147" s="2877"/>
      <c r="P147" s="2876"/>
      <c r="Q147" s="2876"/>
      <c r="R147" s="2878"/>
    </row>
    <row r="148" s="2392" customFormat="1" spans="2:18">
      <c r="B148" s="2876"/>
      <c r="C148" s="2876"/>
      <c r="D148" s="2876"/>
      <c r="E148" s="2876"/>
      <c r="F148" s="2876"/>
      <c r="G148" s="2877"/>
      <c r="H148" s="2876"/>
      <c r="I148" s="2877"/>
      <c r="J148" s="2876"/>
      <c r="K148" s="2876"/>
      <c r="L148" s="2877"/>
      <c r="M148" s="2876"/>
      <c r="N148" s="2876"/>
      <c r="O148" s="2877"/>
      <c r="P148" s="2876"/>
      <c r="Q148" s="2876"/>
      <c r="R148" s="2878"/>
    </row>
    <row r="149" s="2392" customFormat="1" spans="2:18">
      <c r="B149" s="2876"/>
      <c r="C149" s="2876"/>
      <c r="D149" s="2876"/>
      <c r="E149" s="2876"/>
      <c r="F149" s="2876"/>
      <c r="G149" s="2877"/>
      <c r="H149" s="2876"/>
      <c r="I149" s="2877"/>
      <c r="J149" s="2876"/>
      <c r="K149" s="2876"/>
      <c r="L149" s="2877"/>
      <c r="M149" s="2876"/>
      <c r="N149" s="2876"/>
      <c r="O149" s="2877"/>
      <c r="P149" s="2876"/>
      <c r="Q149" s="2876"/>
      <c r="R149" s="2878"/>
    </row>
    <row r="150" s="2392" customFormat="1" spans="2:18">
      <c r="B150" s="2876"/>
      <c r="C150" s="2876"/>
      <c r="D150" s="2876"/>
      <c r="E150" s="2876"/>
      <c r="F150" s="2876"/>
      <c r="G150" s="2877"/>
      <c r="H150" s="2876"/>
      <c r="I150" s="2877"/>
      <c r="J150" s="2876"/>
      <c r="K150" s="2876"/>
      <c r="L150" s="2877"/>
      <c r="M150" s="2876"/>
      <c r="N150" s="2876"/>
      <c r="O150" s="2877"/>
      <c r="P150" s="2876"/>
      <c r="Q150" s="2876"/>
      <c r="R150" s="2878"/>
    </row>
    <row r="151" s="2392" customFormat="1" spans="2:18">
      <c r="B151" s="2876"/>
      <c r="C151" s="2876"/>
      <c r="D151" s="2876"/>
      <c r="E151" s="2876"/>
      <c r="F151" s="2876"/>
      <c r="G151" s="2877"/>
      <c r="H151" s="2876"/>
      <c r="I151" s="2877"/>
      <c r="J151" s="2876"/>
      <c r="K151" s="2876"/>
      <c r="L151" s="2877"/>
      <c r="M151" s="2876"/>
      <c r="N151" s="2876"/>
      <c r="O151" s="2877"/>
      <c r="P151" s="2876"/>
      <c r="Q151" s="2876"/>
      <c r="R151" s="2878"/>
    </row>
    <row r="152" s="2392" customFormat="1" spans="2:18">
      <c r="B152" s="2876"/>
      <c r="C152" s="2876"/>
      <c r="D152" s="2876"/>
      <c r="E152" s="2876"/>
      <c r="F152" s="2876"/>
      <c r="G152" s="2877"/>
      <c r="H152" s="2876"/>
      <c r="I152" s="2877"/>
      <c r="J152" s="2876"/>
      <c r="K152" s="2876"/>
      <c r="L152" s="2877"/>
      <c r="M152" s="2876"/>
      <c r="N152" s="2876"/>
      <c r="O152" s="2877"/>
      <c r="P152" s="2876"/>
      <c r="Q152" s="2876"/>
      <c r="R152" s="2878"/>
    </row>
    <row r="153" s="2392" customFormat="1" spans="2:18">
      <c r="B153" s="2876"/>
      <c r="C153" s="2876"/>
      <c r="D153" s="2876"/>
      <c r="E153" s="2876"/>
      <c r="F153" s="2876"/>
      <c r="G153" s="2877"/>
      <c r="H153" s="2876"/>
      <c r="I153" s="2877"/>
      <c r="J153" s="2876"/>
      <c r="K153" s="2876"/>
      <c r="L153" s="2877"/>
      <c r="M153" s="2876"/>
      <c r="N153" s="2876"/>
      <c r="O153" s="2877"/>
      <c r="P153" s="2876"/>
      <c r="Q153" s="2876"/>
      <c r="R153" s="2878"/>
    </row>
    <row r="154" s="2392" customFormat="1" spans="2:18">
      <c r="B154" s="2876"/>
      <c r="C154" s="2876"/>
      <c r="D154" s="2876"/>
      <c r="E154" s="2876"/>
      <c r="F154" s="2876"/>
      <c r="G154" s="2877"/>
      <c r="H154" s="2876"/>
      <c r="I154" s="2877"/>
      <c r="J154" s="2876"/>
      <c r="K154" s="2876"/>
      <c r="L154" s="2877"/>
      <c r="M154" s="2876"/>
      <c r="N154" s="2876"/>
      <c r="O154" s="2877"/>
      <c r="P154" s="2876"/>
      <c r="Q154" s="2876"/>
      <c r="R154" s="2878"/>
    </row>
    <row r="155" s="2392" customFormat="1" spans="2:18">
      <c r="B155" s="2876"/>
      <c r="C155" s="2876"/>
      <c r="D155" s="2876"/>
      <c r="E155" s="2876"/>
      <c r="F155" s="2876"/>
      <c r="G155" s="2877"/>
      <c r="H155" s="2876"/>
      <c r="I155" s="2877"/>
      <c r="J155" s="2876"/>
      <c r="K155" s="2876"/>
      <c r="L155" s="2877"/>
      <c r="M155" s="2876"/>
      <c r="N155" s="2876"/>
      <c r="O155" s="2877"/>
      <c r="P155" s="2876"/>
      <c r="Q155" s="2876"/>
      <c r="R155" s="2878"/>
    </row>
    <row r="156" s="2392" customFormat="1" spans="2:18">
      <c r="B156" s="2876"/>
      <c r="C156" s="2876"/>
      <c r="D156" s="2876"/>
      <c r="E156" s="2876"/>
      <c r="F156" s="2876"/>
      <c r="G156" s="2877"/>
      <c r="H156" s="2876"/>
      <c r="I156" s="2877"/>
      <c r="J156" s="2876"/>
      <c r="K156" s="2876"/>
      <c r="L156" s="2877"/>
      <c r="M156" s="2876"/>
      <c r="N156" s="2876"/>
      <c r="O156" s="2877"/>
      <c r="P156" s="2876"/>
      <c r="Q156" s="2876"/>
      <c r="R156" s="2878"/>
    </row>
    <row r="157" s="2392" customFormat="1" spans="2:18">
      <c r="B157" s="2876"/>
      <c r="C157" s="2876"/>
      <c r="D157" s="2876"/>
      <c r="E157" s="2876"/>
      <c r="F157" s="2876"/>
      <c r="G157" s="2877"/>
      <c r="H157" s="2876"/>
      <c r="I157" s="2877"/>
      <c r="J157" s="2876"/>
      <c r="K157" s="2876"/>
      <c r="L157" s="2877"/>
      <c r="M157" s="2876"/>
      <c r="N157" s="2876"/>
      <c r="O157" s="2877"/>
      <c r="P157" s="2876"/>
      <c r="Q157" s="2876"/>
      <c r="R157" s="2878"/>
    </row>
    <row r="158" s="2392" customFormat="1" spans="2:18">
      <c r="B158" s="2876"/>
      <c r="C158" s="2876"/>
      <c r="D158" s="2876"/>
      <c r="E158" s="2876"/>
      <c r="F158" s="2876"/>
      <c r="G158" s="2877"/>
      <c r="H158" s="2876"/>
      <c r="I158" s="2877"/>
      <c r="J158" s="2876"/>
      <c r="K158" s="2876"/>
      <c r="L158" s="2877"/>
      <c r="M158" s="2876"/>
      <c r="N158" s="2876"/>
      <c r="O158" s="2877"/>
      <c r="P158" s="2876"/>
      <c r="Q158" s="2876"/>
      <c r="R158" s="2878"/>
    </row>
    <row r="159" s="2392" customFormat="1" spans="2:18">
      <c r="B159" s="2876"/>
      <c r="C159" s="2876"/>
      <c r="D159" s="2876"/>
      <c r="E159" s="2876"/>
      <c r="F159" s="2876"/>
      <c r="G159" s="2877"/>
      <c r="H159" s="2876"/>
      <c r="I159" s="2877"/>
      <c r="J159" s="2876"/>
      <c r="K159" s="2876"/>
      <c r="L159" s="2877"/>
      <c r="M159" s="2876"/>
      <c r="N159" s="2876"/>
      <c r="O159" s="2877"/>
      <c r="P159" s="2876"/>
      <c r="Q159" s="2876"/>
      <c r="R159" s="2878"/>
    </row>
    <row r="160" s="2392" customFormat="1" spans="2:18">
      <c r="B160" s="2876"/>
      <c r="C160" s="2876"/>
      <c r="D160" s="2876"/>
      <c r="E160" s="2876"/>
      <c r="F160" s="2876"/>
      <c r="G160" s="2877"/>
      <c r="H160" s="2876"/>
      <c r="I160" s="2877"/>
      <c r="J160" s="2876"/>
      <c r="K160" s="2876"/>
      <c r="L160" s="2877"/>
      <c r="M160" s="2876"/>
      <c r="N160" s="2876"/>
      <c r="O160" s="2877"/>
      <c r="P160" s="2876"/>
      <c r="Q160" s="2876"/>
      <c r="R160" s="2878"/>
    </row>
    <row r="161" s="2392" customFormat="1" spans="2:18">
      <c r="B161" s="2876"/>
      <c r="C161" s="2876"/>
      <c r="D161" s="2876"/>
      <c r="E161" s="2876"/>
      <c r="F161" s="2876"/>
      <c r="G161" s="2877"/>
      <c r="H161" s="2876"/>
      <c r="I161" s="2877"/>
      <c r="J161" s="2876"/>
      <c r="K161" s="2876"/>
      <c r="L161" s="2877"/>
      <c r="M161" s="2876"/>
      <c r="N161" s="2876"/>
      <c r="O161" s="2877"/>
      <c r="P161" s="2876"/>
      <c r="Q161" s="2876"/>
      <c r="R161" s="2878"/>
    </row>
    <row r="162" s="2392" customFormat="1" spans="2:18">
      <c r="B162" s="2876"/>
      <c r="C162" s="2876"/>
      <c r="D162" s="2876"/>
      <c r="E162" s="2876"/>
      <c r="F162" s="2876"/>
      <c r="G162" s="2877"/>
      <c r="H162" s="2876"/>
      <c r="I162" s="2877"/>
      <c r="J162" s="2876"/>
      <c r="K162" s="2876"/>
      <c r="L162" s="2877"/>
      <c r="M162" s="2876"/>
      <c r="N162" s="2876"/>
      <c r="O162" s="2877"/>
      <c r="P162" s="2876"/>
      <c r="Q162" s="2876"/>
      <c r="R162" s="2878"/>
    </row>
    <row r="163" s="2392" customFormat="1" spans="2:18">
      <c r="B163" s="2876"/>
      <c r="C163" s="2876"/>
      <c r="D163" s="2876"/>
      <c r="E163" s="2876"/>
      <c r="F163" s="2876"/>
      <c r="G163" s="2877"/>
      <c r="H163" s="2876"/>
      <c r="I163" s="2877"/>
      <c r="J163" s="2876"/>
      <c r="K163" s="2876"/>
      <c r="L163" s="2877"/>
      <c r="M163" s="2876"/>
      <c r="N163" s="2876"/>
      <c r="O163" s="2877"/>
      <c r="P163" s="2876"/>
      <c r="Q163" s="2876"/>
      <c r="R163" s="2878"/>
    </row>
    <row r="164" s="2392" customFormat="1" spans="2:18">
      <c r="B164" s="2876"/>
      <c r="C164" s="2876"/>
      <c r="D164" s="2876"/>
      <c r="E164" s="2876"/>
      <c r="F164" s="2876"/>
      <c r="G164" s="2877"/>
      <c r="H164" s="2876"/>
      <c r="I164" s="2877"/>
      <c r="J164" s="2876"/>
      <c r="K164" s="2876"/>
      <c r="L164" s="2877"/>
      <c r="M164" s="2876"/>
      <c r="N164" s="2876"/>
      <c r="O164" s="2877"/>
      <c r="P164" s="2876"/>
      <c r="Q164" s="2876"/>
      <c r="R164" s="2878"/>
    </row>
    <row r="165" s="2392" customFormat="1" spans="2:18">
      <c r="B165" s="2876"/>
      <c r="C165" s="2876"/>
      <c r="D165" s="2876"/>
      <c r="E165" s="2876"/>
      <c r="F165" s="2876"/>
      <c r="G165" s="2877"/>
      <c r="H165" s="2876"/>
      <c r="I165" s="2877"/>
      <c r="J165" s="2876"/>
      <c r="K165" s="2876"/>
      <c r="L165" s="2877"/>
      <c r="M165" s="2876"/>
      <c r="N165" s="2876"/>
      <c r="O165" s="2877"/>
      <c r="P165" s="2876"/>
      <c r="Q165" s="2876"/>
      <c r="R165" s="2878"/>
    </row>
    <row r="166" s="2392" customFormat="1" spans="2:18">
      <c r="B166" s="2876"/>
      <c r="C166" s="2876"/>
      <c r="D166" s="2876"/>
      <c r="E166" s="2876"/>
      <c r="F166" s="2876"/>
      <c r="G166" s="2877"/>
      <c r="H166" s="2876"/>
      <c r="I166" s="2877"/>
      <c r="J166" s="2876"/>
      <c r="K166" s="2876"/>
      <c r="L166" s="2877"/>
      <c r="M166" s="2876"/>
      <c r="N166" s="2876"/>
      <c r="O166" s="2877"/>
      <c r="P166" s="2876"/>
      <c r="Q166" s="2876"/>
      <c r="R166" s="2878"/>
    </row>
    <row r="167" s="2392" customFormat="1" spans="2:18">
      <c r="B167" s="2876"/>
      <c r="C167" s="2876"/>
      <c r="D167" s="2876"/>
      <c r="E167" s="2876"/>
      <c r="F167" s="2876"/>
      <c r="G167" s="2877"/>
      <c r="H167" s="2876"/>
      <c r="I167" s="2877"/>
      <c r="J167" s="2876"/>
      <c r="K167" s="2876"/>
      <c r="L167" s="2877"/>
      <c r="M167" s="2876"/>
      <c r="N167" s="2876"/>
      <c r="O167" s="2877"/>
      <c r="P167" s="2876"/>
      <c r="Q167" s="2876"/>
      <c r="R167" s="2878"/>
    </row>
    <row r="168" s="2392" customFormat="1" spans="2:18">
      <c r="B168" s="2876"/>
      <c r="C168" s="2876"/>
      <c r="D168" s="2876"/>
      <c r="E168" s="2876"/>
      <c r="F168" s="2876"/>
      <c r="G168" s="2877"/>
      <c r="H168" s="2876"/>
      <c r="I168" s="2877"/>
      <c r="J168" s="2876"/>
      <c r="K168" s="2876"/>
      <c r="L168" s="2877"/>
      <c r="M168" s="2876"/>
      <c r="N168" s="2876"/>
      <c r="O168" s="2877"/>
      <c r="P168" s="2876"/>
      <c r="Q168" s="2876"/>
      <c r="R168" s="2878"/>
    </row>
    <row r="169" s="2392" customFormat="1" spans="2:18">
      <c r="B169" s="2876"/>
      <c r="C169" s="2876"/>
      <c r="D169" s="2876"/>
      <c r="E169" s="2876"/>
      <c r="F169" s="2876"/>
      <c r="G169" s="2877"/>
      <c r="H169" s="2876"/>
      <c r="I169" s="2877"/>
      <c r="J169" s="2876"/>
      <c r="K169" s="2876"/>
      <c r="L169" s="2877"/>
      <c r="M169" s="2876"/>
      <c r="N169" s="2876"/>
      <c r="O169" s="2877"/>
      <c r="P169" s="2876"/>
      <c r="Q169" s="2876"/>
      <c r="R169" s="2878"/>
    </row>
    <row r="170" s="2392" customFormat="1" spans="2:18">
      <c r="B170" s="2876"/>
      <c r="C170" s="2876"/>
      <c r="D170" s="2876"/>
      <c r="E170" s="2876"/>
      <c r="F170" s="2876"/>
      <c r="G170" s="2877"/>
      <c r="H170" s="2876"/>
      <c r="I170" s="2877"/>
      <c r="J170" s="2876"/>
      <c r="K170" s="2876"/>
      <c r="L170" s="2877"/>
      <c r="M170" s="2876"/>
      <c r="N170" s="2876"/>
      <c r="O170" s="2877"/>
      <c r="P170" s="2876"/>
      <c r="Q170" s="2876"/>
      <c r="R170" s="2878"/>
    </row>
    <row r="171" s="2392" customFormat="1" spans="2:18">
      <c r="B171" s="2876"/>
      <c r="C171" s="2876"/>
      <c r="D171" s="2876"/>
      <c r="E171" s="2876"/>
      <c r="F171" s="2876"/>
      <c r="G171" s="2877"/>
      <c r="H171" s="2876"/>
      <c r="I171" s="2877"/>
      <c r="J171" s="2876"/>
      <c r="K171" s="2876"/>
      <c r="L171" s="2877"/>
      <c r="M171" s="2876"/>
      <c r="N171" s="2876"/>
      <c r="O171" s="2877"/>
      <c r="P171" s="2876"/>
      <c r="Q171" s="2876"/>
      <c r="R171" s="2878"/>
    </row>
    <row r="172" s="2392" customFormat="1" spans="2:18">
      <c r="B172" s="2876"/>
      <c r="C172" s="2876"/>
      <c r="D172" s="2876"/>
      <c r="E172" s="2876"/>
      <c r="F172" s="2876"/>
      <c r="G172" s="2877"/>
      <c r="H172" s="2876"/>
      <c r="I172" s="2877"/>
      <c r="J172" s="2876"/>
      <c r="K172" s="2876"/>
      <c r="L172" s="2877"/>
      <c r="M172" s="2876"/>
      <c r="N172" s="2876"/>
      <c r="O172" s="2877"/>
      <c r="P172" s="2876"/>
      <c r="Q172" s="2876"/>
      <c r="R172" s="2878"/>
    </row>
    <row r="173" s="2392" customFormat="1" spans="2:18">
      <c r="B173" s="2876"/>
      <c r="C173" s="2876"/>
      <c r="D173" s="2876"/>
      <c r="E173" s="2876"/>
      <c r="F173" s="2876"/>
      <c r="G173" s="2877"/>
      <c r="H173" s="2876"/>
      <c r="I173" s="2877"/>
      <c r="J173" s="2876"/>
      <c r="K173" s="2876"/>
      <c r="L173" s="2877"/>
      <c r="M173" s="2876"/>
      <c r="N173" s="2876"/>
      <c r="O173" s="2877"/>
      <c r="P173" s="2876"/>
      <c r="Q173" s="2876"/>
      <c r="R173" s="2878"/>
    </row>
    <row r="174" s="2392" customFormat="1" spans="2:18">
      <c r="B174" s="2876"/>
      <c r="C174" s="2876"/>
      <c r="D174" s="2876"/>
      <c r="E174" s="2876"/>
      <c r="F174" s="2876"/>
      <c r="G174" s="2877"/>
      <c r="H174" s="2876"/>
      <c r="I174" s="2877"/>
      <c r="J174" s="2876"/>
      <c r="K174" s="2876"/>
      <c r="L174" s="2877"/>
      <c r="M174" s="2876"/>
      <c r="N174" s="2876"/>
      <c r="O174" s="2877"/>
      <c r="P174" s="2876"/>
      <c r="Q174" s="2876"/>
      <c r="R174" s="2878"/>
    </row>
    <row r="175" s="2392" customFormat="1" spans="2:18">
      <c r="B175" s="2876"/>
      <c r="C175" s="2876"/>
      <c r="D175" s="2876"/>
      <c r="E175" s="2876"/>
      <c r="F175" s="2876"/>
      <c r="G175" s="2877"/>
      <c r="H175" s="2876"/>
      <c r="I175" s="2877"/>
      <c r="J175" s="2876"/>
      <c r="K175" s="2876"/>
      <c r="L175" s="2877"/>
      <c r="M175" s="2876"/>
      <c r="N175" s="2876"/>
      <c r="O175" s="2877"/>
      <c r="P175" s="2876"/>
      <c r="Q175" s="2876"/>
      <c r="R175" s="2878"/>
    </row>
    <row r="176" s="2392" customFormat="1" spans="2:18">
      <c r="B176" s="2876"/>
      <c r="C176" s="2876"/>
      <c r="D176" s="2876"/>
      <c r="E176" s="2876"/>
      <c r="F176" s="2876"/>
      <c r="G176" s="2877"/>
      <c r="H176" s="2876"/>
      <c r="I176" s="2877"/>
      <c r="J176" s="2876"/>
      <c r="K176" s="2876"/>
      <c r="L176" s="2877"/>
      <c r="M176" s="2876"/>
      <c r="N176" s="2876"/>
      <c r="O176" s="2877"/>
      <c r="P176" s="2876"/>
      <c r="Q176" s="2876"/>
      <c r="R176" s="2878"/>
    </row>
    <row r="177" s="2392" customFormat="1" spans="2:18">
      <c r="B177" s="2876"/>
      <c r="C177" s="2876"/>
      <c r="D177" s="2876"/>
      <c r="E177" s="2876"/>
      <c r="F177" s="2876"/>
      <c r="G177" s="2877"/>
      <c r="H177" s="2876"/>
      <c r="I177" s="2877"/>
      <c r="J177" s="2876"/>
      <c r="K177" s="2876"/>
      <c r="L177" s="2877"/>
      <c r="M177" s="2876"/>
      <c r="N177" s="2876"/>
      <c r="O177" s="2877"/>
      <c r="P177" s="2876"/>
      <c r="Q177" s="2876"/>
      <c r="R177" s="2878"/>
    </row>
    <row r="178" s="2392" customFormat="1" spans="2:18">
      <c r="B178" s="2876"/>
      <c r="C178" s="2876"/>
      <c r="D178" s="2876"/>
      <c r="E178" s="2876"/>
      <c r="F178" s="2876"/>
      <c r="G178" s="2877"/>
      <c r="H178" s="2876"/>
      <c r="I178" s="2877"/>
      <c r="J178" s="2876"/>
      <c r="K178" s="2876"/>
      <c r="L178" s="2877"/>
      <c r="M178" s="2876"/>
      <c r="N178" s="2876"/>
      <c r="O178" s="2877"/>
      <c r="P178" s="2876"/>
      <c r="Q178" s="2876"/>
      <c r="R178" s="2878"/>
    </row>
    <row r="179" s="2392" customFormat="1" spans="2:18">
      <c r="B179" s="2876"/>
      <c r="C179" s="2876"/>
      <c r="D179" s="2876"/>
      <c r="E179" s="2876"/>
      <c r="F179" s="2876"/>
      <c r="G179" s="2877"/>
      <c r="H179" s="2876"/>
      <c r="I179" s="2877"/>
      <c r="J179" s="2876"/>
      <c r="K179" s="2876"/>
      <c r="L179" s="2877"/>
      <c r="M179" s="2876"/>
      <c r="N179" s="2876"/>
      <c r="O179" s="2877"/>
      <c r="P179" s="2876"/>
      <c r="Q179" s="2876"/>
      <c r="R179" s="2878"/>
    </row>
    <row r="180" s="2392" customFormat="1" spans="2:18">
      <c r="B180" s="2876"/>
      <c r="C180" s="2876"/>
      <c r="D180" s="2876"/>
      <c r="E180" s="2876"/>
      <c r="F180" s="2876"/>
      <c r="G180" s="2877"/>
      <c r="H180" s="2876"/>
      <c r="I180" s="2877"/>
      <c r="J180" s="2876"/>
      <c r="K180" s="2876"/>
      <c r="L180" s="2877"/>
      <c r="M180" s="2876"/>
      <c r="N180" s="2876"/>
      <c r="O180" s="2877"/>
      <c r="P180" s="2876"/>
      <c r="Q180" s="2876"/>
      <c r="R180" s="2878"/>
    </row>
    <row r="181" s="2392" customFormat="1" spans="2:18">
      <c r="B181" s="2876"/>
      <c r="C181" s="2876"/>
      <c r="D181" s="2876"/>
      <c r="E181" s="2876"/>
      <c r="F181" s="2876"/>
      <c r="G181" s="2877"/>
      <c r="H181" s="2876"/>
      <c r="I181" s="2877"/>
      <c r="J181" s="2876"/>
      <c r="K181" s="2876"/>
      <c r="L181" s="2877"/>
      <c r="M181" s="2876"/>
      <c r="N181" s="2876"/>
      <c r="O181" s="2877"/>
      <c r="P181" s="2876"/>
      <c r="Q181" s="2876"/>
      <c r="R181" s="2878"/>
    </row>
    <row r="182" s="2392" customFormat="1" spans="2:18">
      <c r="B182" s="2876"/>
      <c r="C182" s="2876"/>
      <c r="D182" s="2876"/>
      <c r="E182" s="2876"/>
      <c r="F182" s="2876"/>
      <c r="G182" s="2877"/>
      <c r="H182" s="2876"/>
      <c r="I182" s="2877"/>
      <c r="J182" s="2876"/>
      <c r="K182" s="2876"/>
      <c r="L182" s="2877"/>
      <c r="M182" s="2876"/>
      <c r="N182" s="2876"/>
      <c r="O182" s="2877"/>
      <c r="P182" s="2876"/>
      <c r="Q182" s="2876"/>
      <c r="R182" s="2878"/>
    </row>
    <row r="183" s="2392" customFormat="1" spans="2:18">
      <c r="B183" s="2876"/>
      <c r="C183" s="2876"/>
      <c r="D183" s="2876"/>
      <c r="E183" s="2876"/>
      <c r="F183" s="2876"/>
      <c r="G183" s="2877"/>
      <c r="H183" s="2876"/>
      <c r="I183" s="2877"/>
      <c r="J183" s="2876"/>
      <c r="K183" s="2876"/>
      <c r="L183" s="2877"/>
      <c r="M183" s="2876"/>
      <c r="N183" s="2876"/>
      <c r="O183" s="2877"/>
      <c r="P183" s="2876"/>
      <c r="Q183" s="2876"/>
      <c r="R183" s="2878"/>
    </row>
    <row r="184" s="2392" customFormat="1" spans="2:18">
      <c r="B184" s="2876"/>
      <c r="C184" s="2876"/>
      <c r="D184" s="2876"/>
      <c r="E184" s="2876"/>
      <c r="F184" s="2876"/>
      <c r="G184" s="2877"/>
      <c r="H184" s="2876"/>
      <c r="I184" s="2877"/>
      <c r="J184" s="2876"/>
      <c r="K184" s="2876"/>
      <c r="L184" s="2877"/>
      <c r="M184" s="2876"/>
      <c r="N184" s="2876"/>
      <c r="O184" s="2877"/>
      <c r="P184" s="2876"/>
      <c r="Q184" s="2876"/>
      <c r="R184" s="2878"/>
    </row>
    <row r="185" s="2392"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2"/>
      <c r="B186" s="2876"/>
      <c r="C186" s="2876"/>
      <c r="E186" s="2876"/>
      <c r="F186" s="2876"/>
      <c r="G186" s="2877"/>
    </row>
    <row r="187" spans="1:7">
      <c r="A187" s="2392"/>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C1" workbookViewId="0">
      <selection activeCell="D14" sqref="D14"/>
    </sheetView>
  </sheetViews>
  <sheetFormatPr defaultColWidth="9" defaultRowHeight="13.5"/>
  <cols>
    <col min="1" max="1" width="25" style="2854" customWidth="1"/>
    <col min="2" max="9" width="15.75" style="2854" customWidth="1"/>
    <col min="10" max="16384" width="9" style="2854"/>
  </cols>
  <sheetData>
    <row r="1" ht="16.5" spans="1:11">
      <c r="A1" s="2855" t="s">
        <v>741</v>
      </c>
      <c r="B1" s="2855">
        <f>SUM(B14:B23)</f>
        <v>69.7</v>
      </c>
      <c r="C1" s="2856"/>
      <c r="D1" s="2856"/>
      <c r="E1" s="2856"/>
      <c r="F1" s="2856"/>
      <c r="G1" s="2857"/>
      <c r="H1" s="2858"/>
      <c r="I1" s="2858"/>
      <c r="J1" s="2858"/>
      <c r="K1" s="2858"/>
    </row>
    <row r="2" ht="16.5" spans="1:11">
      <c r="A2" s="2855" t="s">
        <v>742</v>
      </c>
      <c r="B2" s="2855">
        <f>SUM(C14:C23)</f>
        <v>0</v>
      </c>
      <c r="C2" s="2856"/>
      <c r="D2" s="2856"/>
      <c r="E2" s="2856"/>
      <c r="F2" s="2856"/>
      <c r="G2" s="2857"/>
      <c r="H2" s="2858"/>
      <c r="I2" s="2858"/>
      <c r="J2" s="2858"/>
      <c r="K2" s="2858"/>
    </row>
    <row r="3" ht="16.5" spans="1:11">
      <c r="A3" s="2855" t="s">
        <v>743</v>
      </c>
      <c r="B3" s="2859">
        <f>项目基本情况!D3</f>
        <v>44977</v>
      </c>
      <c r="C3" s="2856"/>
      <c r="D3" s="2856"/>
      <c r="E3" s="2856"/>
      <c r="F3" s="2856"/>
      <c r="G3" s="2857"/>
      <c r="H3" s="2858"/>
      <c r="I3" s="2858"/>
      <c r="J3" s="2858"/>
      <c r="K3" s="2858"/>
    </row>
    <row r="4" ht="33" spans="1:11">
      <c r="A4" s="2855" t="s">
        <v>744</v>
      </c>
      <c r="B4" s="2855" t="s">
        <v>745</v>
      </c>
      <c r="C4" s="2855" t="s">
        <v>746</v>
      </c>
      <c r="D4" s="2855" t="s">
        <v>747</v>
      </c>
      <c r="E4" s="2856"/>
      <c r="F4" s="2857"/>
      <c r="G4" s="2857"/>
      <c r="H4" s="2858"/>
      <c r="I4" s="2858"/>
      <c r="J4" s="2858"/>
      <c r="K4" s="2858"/>
    </row>
    <row r="5" ht="16.5" spans="1:11">
      <c r="A5" s="2855" t="s">
        <v>748</v>
      </c>
      <c r="B5" s="2855">
        <f ca="1">SUM(D14:D23)</f>
        <v>878.7358</v>
      </c>
      <c r="C5" s="2855">
        <f ca="1">IF(B5=D14,结果表!H102,ROUND(B5*10000/$B$1,0))</f>
        <v>0</v>
      </c>
      <c r="D5" s="2855" t="e">
        <f ca="1">ROUND(B5*10000/$B$2,0)</f>
        <v>#DIV/0!</v>
      </c>
      <c r="E5" s="2856"/>
      <c r="F5" s="2857"/>
      <c r="G5" s="2857"/>
      <c r="H5" s="2858"/>
      <c r="I5" s="2858"/>
      <c r="J5" s="2858"/>
      <c r="K5" s="2858"/>
    </row>
    <row r="6" ht="16.5" spans="1:11">
      <c r="A6" s="2855" t="s">
        <v>749</v>
      </c>
      <c r="B6" s="2855">
        <f ca="1">SUM(G14:G23)</f>
        <v>878.6271</v>
      </c>
      <c r="C6" s="2855">
        <f ca="1">IF(B6=G14,结果表!H108,ROUND(B6*10000/$B$1,0))</f>
        <v>0</v>
      </c>
      <c r="D6" s="2855" t="e">
        <f ca="1">ROUND(B6*10000/$B$2,0)</f>
        <v>#DIV/0!</v>
      </c>
      <c r="E6" s="2856"/>
      <c r="F6" s="2857"/>
      <c r="G6" s="2857"/>
      <c r="H6" s="2858"/>
      <c r="I6" s="2858"/>
      <c r="J6" s="2858"/>
      <c r="K6" s="2858"/>
    </row>
    <row r="7" ht="16.5" spans="1:11">
      <c r="A7" s="2855" t="s">
        <v>750</v>
      </c>
      <c r="B7" s="2855">
        <f>SUM(H14:H23)</f>
        <v>0</v>
      </c>
      <c r="C7" s="2855" t="str">
        <f ca="1">IF(B7=H14,结果表!H110,ROUND(B7*10000/$B$1,0))</f>
        <v>——</v>
      </c>
      <c r="D7" s="2855" t="e">
        <f>ROUND(B7*10000/$B$2,0)</f>
        <v>#DIV/0!</v>
      </c>
      <c r="E7" s="2856"/>
      <c r="F7" s="2857"/>
      <c r="G7" s="2857"/>
      <c r="H7" s="2858"/>
      <c r="I7" s="2858"/>
      <c r="J7" s="2858"/>
      <c r="K7" s="2858"/>
    </row>
    <row r="8" ht="16.5" spans="1:11">
      <c r="A8" s="2855" t="s">
        <v>336</v>
      </c>
      <c r="B8" s="2855">
        <f>SUM(I14:I23)</f>
        <v>0</v>
      </c>
      <c r="C8" s="2855" t="str">
        <f ca="1">IF(B8=I14,结果表!H112,ROUND(B8*10000/$B$1,0))</f>
        <v>——</v>
      </c>
      <c r="D8" s="2855" t="e">
        <f>ROUND(B8*10000/$B$2,0)</f>
        <v>#DIV/0!</v>
      </c>
      <c r="E8" s="2856"/>
      <c r="F8" s="2857"/>
      <c r="G8" s="2857"/>
      <c r="H8" s="2858"/>
      <c r="I8" s="2858"/>
      <c r="J8" s="2858"/>
      <c r="K8" s="2858"/>
    </row>
    <row r="9" ht="16.5" spans="1:11">
      <c r="A9" s="2855" t="s">
        <v>751</v>
      </c>
      <c r="B9" s="2860"/>
      <c r="C9" s="2856"/>
      <c r="D9" s="2856"/>
      <c r="E9" s="2856"/>
      <c r="F9" s="2857"/>
      <c r="G9" s="2857"/>
      <c r="H9" s="2858"/>
      <c r="I9" s="2858"/>
      <c r="J9" s="2858"/>
      <c r="K9" s="2858"/>
    </row>
    <row r="10" ht="16.5" spans="1:11">
      <c r="A10" s="2855" t="s">
        <v>752</v>
      </c>
      <c r="B10" s="2855">
        <f>IF(E10="",0,ROUND(B1*(E10*365/G10)/10000,0))</f>
        <v>0</v>
      </c>
      <c r="C10" s="2855" t="s">
        <v>753</v>
      </c>
      <c r="D10" s="2855" t="s">
        <v>752</v>
      </c>
      <c r="E10" s="2861"/>
      <c r="F10" s="2862" t="s">
        <v>754</v>
      </c>
      <c r="G10" s="2863"/>
      <c r="H10" s="2858"/>
      <c r="I10" s="2858"/>
      <c r="J10" s="2858"/>
      <c r="K10" s="2858"/>
    </row>
    <row r="11" ht="16.5" spans="1:11">
      <c r="A11" s="2855" t="s">
        <v>755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756</v>
      </c>
      <c r="B13" s="2865" t="s">
        <v>741</v>
      </c>
      <c r="C13" s="2865" t="s">
        <v>742</v>
      </c>
      <c r="D13" s="2865" t="s">
        <v>757</v>
      </c>
      <c r="E13" s="2855" t="s">
        <v>746</v>
      </c>
      <c r="F13" s="2855" t="s">
        <v>747</v>
      </c>
      <c r="G13" s="2865" t="s">
        <v>758</v>
      </c>
      <c r="H13" s="2865" t="s">
        <v>759</v>
      </c>
      <c r="I13" s="2865" t="s">
        <v>760</v>
      </c>
      <c r="J13" s="2857"/>
      <c r="K13" s="2858"/>
    </row>
    <row r="14" ht="16.5" spans="1:11">
      <c r="A14" s="2866" t="s">
        <v>761</v>
      </c>
      <c r="B14" s="2867">
        <f>'数据-汇总表'!F19</f>
        <v>69.7</v>
      </c>
      <c r="C14" s="2867"/>
      <c r="D14" s="2867">
        <f ca="1">ROUND(E14*B14/10000,4)</f>
        <v>878.7358</v>
      </c>
      <c r="E14" s="2867">
        <f ca="1">结果表!G20</f>
        <v>126074</v>
      </c>
      <c r="F14" s="2867" t="e">
        <f ca="1">ROUND(D14*10000/C14,0)</f>
        <v>#DIV/0!</v>
      </c>
      <c r="G14" s="2867">
        <f ca="1">(D14*10000-结果表!D30)/10000</f>
        <v>878.6271</v>
      </c>
      <c r="H14" s="2867"/>
      <c r="I14" s="2867"/>
      <c r="J14" s="2857"/>
      <c r="K14" s="2858"/>
    </row>
    <row r="15" ht="16.5" spans="1:11">
      <c r="A15" s="2866" t="s">
        <v>762</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763</v>
      </c>
      <c r="B16" s="2868"/>
      <c r="C16" s="2868"/>
      <c r="D16" s="2868"/>
      <c r="E16" s="2867" t="e">
        <f t="shared" si="0"/>
        <v>#DIV/0!</v>
      </c>
      <c r="F16" s="2867" t="e">
        <f t="shared" si="1"/>
        <v>#DIV/0!</v>
      </c>
      <c r="G16" s="2869"/>
      <c r="H16" s="2869"/>
      <c r="I16" s="2868"/>
      <c r="J16" s="2858"/>
      <c r="K16" s="2858"/>
    </row>
    <row r="17" ht="16.5" spans="1:11">
      <c r="A17" s="2866" t="s">
        <v>764</v>
      </c>
      <c r="B17" s="2868"/>
      <c r="C17" s="2868"/>
      <c r="D17" s="2868"/>
      <c r="E17" s="2867" t="e">
        <f t="shared" si="0"/>
        <v>#DIV/0!</v>
      </c>
      <c r="F17" s="2867" t="e">
        <f t="shared" si="1"/>
        <v>#DIV/0!</v>
      </c>
      <c r="G17" s="2869"/>
      <c r="H17" s="2869"/>
      <c r="I17" s="2868"/>
      <c r="J17" s="2858"/>
      <c r="K17" s="2858"/>
    </row>
    <row r="18" ht="16.5" spans="1:11">
      <c r="A18" s="2866" t="s">
        <v>765</v>
      </c>
      <c r="B18" s="2868"/>
      <c r="C18" s="2868"/>
      <c r="D18" s="2868"/>
      <c r="E18" s="2867" t="e">
        <f t="shared" si="0"/>
        <v>#DIV/0!</v>
      </c>
      <c r="F18" s="2867" t="e">
        <f t="shared" si="1"/>
        <v>#DIV/0!</v>
      </c>
      <c r="G18" s="2868"/>
      <c r="H18" s="2868"/>
      <c r="I18" s="2868"/>
      <c r="J18" s="2858"/>
      <c r="K18" s="2858"/>
    </row>
    <row r="19" ht="16.5" spans="1:11">
      <c r="A19" s="2866" t="s">
        <v>766</v>
      </c>
      <c r="B19" s="2868"/>
      <c r="C19" s="2868"/>
      <c r="D19" s="2868"/>
      <c r="E19" s="2867" t="e">
        <f t="shared" si="0"/>
        <v>#DIV/0!</v>
      </c>
      <c r="F19" s="2867" t="e">
        <f t="shared" si="1"/>
        <v>#DIV/0!</v>
      </c>
      <c r="G19" s="2868"/>
      <c r="H19" s="2868"/>
      <c r="I19" s="2868"/>
      <c r="J19" s="2858"/>
      <c r="K19" s="2858"/>
    </row>
    <row r="20" ht="16.5" spans="1:11">
      <c r="A20" s="2866" t="s">
        <v>767</v>
      </c>
      <c r="B20" s="2868"/>
      <c r="C20" s="2868"/>
      <c r="D20" s="2868"/>
      <c r="E20" s="2867" t="e">
        <f t="shared" si="0"/>
        <v>#DIV/0!</v>
      </c>
      <c r="F20" s="2867" t="e">
        <f t="shared" si="1"/>
        <v>#DIV/0!</v>
      </c>
      <c r="G20" s="2868"/>
      <c r="H20" s="2868"/>
      <c r="I20" s="2868"/>
      <c r="J20" s="2858"/>
      <c r="K20" s="2858"/>
    </row>
    <row r="21" ht="16.5" spans="1:11">
      <c r="A21" s="2866" t="s">
        <v>768</v>
      </c>
      <c r="B21" s="2868"/>
      <c r="C21" s="2868"/>
      <c r="D21" s="2868"/>
      <c r="E21" s="2867" t="e">
        <f t="shared" si="0"/>
        <v>#DIV/0!</v>
      </c>
      <c r="F21" s="2867" t="e">
        <f t="shared" si="1"/>
        <v>#DIV/0!</v>
      </c>
      <c r="G21" s="2868"/>
      <c r="H21" s="2868"/>
      <c r="I21" s="2868"/>
      <c r="J21" s="2858"/>
      <c r="K21" s="2858"/>
    </row>
    <row r="22" ht="16.5" spans="1:11">
      <c r="A22" s="2866" t="s">
        <v>769</v>
      </c>
      <c r="B22" s="2868"/>
      <c r="C22" s="2868"/>
      <c r="D22" s="2868"/>
      <c r="E22" s="2867" t="e">
        <f t="shared" si="0"/>
        <v>#DIV/0!</v>
      </c>
      <c r="F22" s="2867" t="e">
        <f t="shared" si="1"/>
        <v>#DIV/0!</v>
      </c>
      <c r="G22" s="2868"/>
      <c r="H22" s="2868"/>
      <c r="I22" s="2868"/>
      <c r="J22" s="2858"/>
      <c r="K22" s="2858"/>
    </row>
    <row r="23" ht="16.5" spans="1:11">
      <c r="A23" s="2866" t="s">
        <v>770</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5" sqref="G25"/>
    </sheetView>
  </sheetViews>
  <sheetFormatPr defaultColWidth="12.625" defaultRowHeight="21.75" customHeight="1"/>
  <cols>
    <col min="1" max="2" width="12.625" style="2503"/>
    <col min="3" max="4" width="12.625" style="2503" customWidth="1"/>
    <col min="5" max="9" width="12.625" style="2503"/>
    <col min="10" max="11" width="12.625" style="993" customWidth="1"/>
    <col min="12" max="12" width="12.625" style="993"/>
    <col min="13" max="13" width="14.125" style="993" customWidth="1"/>
    <col min="14" max="26" width="12.625" style="993"/>
    <col min="27" max="35" width="12.625" style="2502"/>
    <col min="36" max="16384" width="12.625" style="2503"/>
  </cols>
  <sheetData>
    <row r="1" customHeight="1" spans="1:9">
      <c r="A1" s="2504" t="s">
        <v>771</v>
      </c>
      <c r="B1" s="2505"/>
      <c r="C1" s="2506">
        <v>602</v>
      </c>
      <c r="D1" s="2505"/>
      <c r="E1" s="2505"/>
      <c r="F1" s="2507" t="s">
        <v>772</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773</v>
      </c>
      <c r="B3" s="2079"/>
      <c r="C3" s="2079"/>
      <c r="D3" s="2079"/>
      <c r="E3" s="2079"/>
      <c r="F3" s="2079"/>
      <c r="G3" s="2079"/>
      <c r="H3" s="2079"/>
      <c r="I3" s="2079"/>
    </row>
    <row r="4" ht="14.25" spans="1:12">
      <c r="A4" s="2513" t="s">
        <v>774</v>
      </c>
      <c r="B4" s="2514" t="s">
        <v>775</v>
      </c>
      <c r="C4" s="2515" t="s">
        <v>266</v>
      </c>
      <c r="D4" s="2515" t="s">
        <v>776</v>
      </c>
      <c r="E4" s="2516" t="s">
        <v>777</v>
      </c>
      <c r="F4" s="2517"/>
      <c r="G4" s="2517"/>
      <c r="H4" s="2517"/>
      <c r="I4" s="2670"/>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8" t="s">
        <v>778</v>
      </c>
      <c r="B5" s="1361">
        <v>25</v>
      </c>
      <c r="C5" s="2519"/>
      <c r="D5" s="2520"/>
      <c r="E5" s="2068" t="s">
        <v>779</v>
      </c>
      <c r="F5" s="2521"/>
      <c r="G5" s="2521"/>
      <c r="H5" s="2521"/>
      <c r="I5" s="2285"/>
    </row>
    <row r="6" ht="13.5" spans="1:9">
      <c r="A6" s="2518"/>
      <c r="B6" s="1361"/>
      <c r="C6" s="2522"/>
      <c r="D6" s="2520"/>
      <c r="E6" s="2068" t="s">
        <v>780</v>
      </c>
      <c r="F6" s="2521"/>
      <c r="G6" s="2521"/>
      <c r="H6" s="2521"/>
      <c r="I6" s="2285"/>
    </row>
    <row r="7" ht="13.5" spans="1:9">
      <c r="A7" s="2518"/>
      <c r="B7" s="1361"/>
      <c r="C7" s="2523"/>
      <c r="D7" s="2520"/>
      <c r="E7" s="2068" t="s">
        <v>781</v>
      </c>
      <c r="F7" s="2521"/>
      <c r="G7" s="2521"/>
      <c r="H7" s="2521"/>
      <c r="I7" s="2285"/>
    </row>
    <row r="8" ht="13.5" spans="1:9">
      <c r="A8" s="2518" t="s">
        <v>782</v>
      </c>
      <c r="B8" s="1361">
        <v>15</v>
      </c>
      <c r="C8" s="2519"/>
      <c r="D8" s="2520"/>
      <c r="E8" s="2068" t="s">
        <v>783</v>
      </c>
      <c r="F8" s="2521"/>
      <c r="G8" s="2521"/>
      <c r="H8" s="2521"/>
      <c r="I8" s="2285"/>
    </row>
    <row r="9" ht="13.5" spans="1:9">
      <c r="A9" s="2518"/>
      <c r="B9" s="1361"/>
      <c r="C9" s="2523"/>
      <c r="D9" s="2520"/>
      <c r="E9" s="2068" t="s">
        <v>784</v>
      </c>
      <c r="F9" s="2521"/>
      <c r="G9" s="2521"/>
      <c r="H9" s="2521"/>
      <c r="I9" s="2285"/>
    </row>
    <row r="10" ht="13.5" spans="1:9">
      <c r="A10" s="2518" t="s">
        <v>785</v>
      </c>
      <c r="B10" s="1361">
        <v>15</v>
      </c>
      <c r="C10" s="2519"/>
      <c r="D10" s="2520"/>
      <c r="E10" s="2068" t="s">
        <v>786</v>
      </c>
      <c r="F10" s="2521"/>
      <c r="G10" s="2521"/>
      <c r="H10" s="2521"/>
      <c r="I10" s="2285"/>
    </row>
    <row r="11" ht="13.5" spans="1:9">
      <c r="A11" s="2518"/>
      <c r="B11" s="1361"/>
      <c r="C11" s="2523"/>
      <c r="D11" s="2520"/>
      <c r="E11" s="2068" t="s">
        <v>787</v>
      </c>
      <c r="F11" s="2521"/>
      <c r="G11" s="2521"/>
      <c r="H11" s="2521"/>
      <c r="I11" s="2285"/>
    </row>
    <row r="12" ht="13.5" spans="1:9">
      <c r="A12" s="2518" t="s">
        <v>788</v>
      </c>
      <c r="B12" s="1361">
        <v>15</v>
      </c>
      <c r="C12" s="2519"/>
      <c r="D12" s="2520"/>
      <c r="E12" s="2068" t="s">
        <v>789</v>
      </c>
      <c r="F12" s="2521"/>
      <c r="G12" s="2521"/>
      <c r="H12" s="2521"/>
      <c r="I12" s="2285"/>
    </row>
    <row r="13" ht="13.5" spans="1:9">
      <c r="A13" s="2518"/>
      <c r="B13" s="1361"/>
      <c r="C13" s="2523"/>
      <c r="D13" s="2520"/>
      <c r="E13" s="2068" t="s">
        <v>790</v>
      </c>
      <c r="F13" s="2521"/>
      <c r="G13" s="2521"/>
      <c r="H13" s="2521"/>
      <c r="I13" s="2285"/>
    </row>
    <row r="14" ht="13.5" spans="1:9">
      <c r="A14" s="2518" t="s">
        <v>791</v>
      </c>
      <c r="B14" s="1361">
        <v>30</v>
      </c>
      <c r="C14" s="2519">
        <v>2</v>
      </c>
      <c r="D14" s="2520">
        <v>8</v>
      </c>
      <c r="E14" s="2068" t="s">
        <v>792</v>
      </c>
      <c r="F14" s="2521"/>
      <c r="G14" s="2521"/>
      <c r="H14" s="2521"/>
      <c r="I14" s="2285"/>
    </row>
    <row r="15" ht="13.5" spans="1:9">
      <c r="A15" s="2518"/>
      <c r="B15" s="1361"/>
      <c r="C15" s="2522"/>
      <c r="D15" s="2520"/>
      <c r="E15" s="2068" t="s">
        <v>793</v>
      </c>
      <c r="F15" s="2521"/>
      <c r="G15" s="2521"/>
      <c r="H15" s="2521"/>
      <c r="I15" s="2285"/>
    </row>
    <row r="16" ht="13.5" spans="1:9">
      <c r="A16" s="2518"/>
      <c r="B16" s="1361"/>
      <c r="C16" s="2523"/>
      <c r="D16" s="2520"/>
      <c r="E16" s="2068" t="s">
        <v>794</v>
      </c>
      <c r="F16" s="2521"/>
      <c r="G16" s="2521"/>
      <c r="H16" s="2521"/>
      <c r="I16" s="2285"/>
    </row>
    <row r="17" ht="14.25" spans="1:13">
      <c r="A17" s="2524" t="s">
        <v>795</v>
      </c>
      <c r="B17" s="2525"/>
      <c r="C17" s="2526">
        <f>SUM(C5:C16)</f>
        <v>2</v>
      </c>
      <c r="D17" s="2526">
        <f>SUM(D5:D16)</f>
        <v>8</v>
      </c>
      <c r="E17" s="1037"/>
      <c r="F17" s="1037"/>
      <c r="G17" s="1037"/>
      <c r="H17" s="1037"/>
      <c r="I17" s="1037"/>
      <c r="K17" s="2026"/>
      <c r="L17" s="2026" t="s">
        <v>796</v>
      </c>
      <c r="M17" s="2026" t="s">
        <v>797</v>
      </c>
    </row>
    <row r="18" ht="31.9" customHeight="1" spans="1:13">
      <c r="A18" s="2527" t="s">
        <v>798</v>
      </c>
      <c r="B18" s="2528"/>
      <c r="C18" s="2529">
        <f>ROUND(C17/SUM(C17:D17),2)</f>
        <v>0.2</v>
      </c>
      <c r="D18" s="2529">
        <f>1-C18</f>
        <v>0.8</v>
      </c>
      <c r="E18" s="2530" t="s">
        <v>799</v>
      </c>
      <c r="F18" s="2531"/>
      <c r="G18" s="2531"/>
      <c r="H18" s="2531"/>
      <c r="I18" s="2531"/>
      <c r="K18" s="2026" t="s">
        <v>458</v>
      </c>
      <c r="L18" s="2026">
        <f>IF(C1="",'数据-汇总表'!E3,SUMIF(项目类型,C1,'数据-汇总表'!E17:E26)+SUMIF(项目类型,C1,'数据-汇总表'!I17:I26))</f>
        <v>0</v>
      </c>
      <c r="M18" s="2026">
        <f>IF(C1="",'数据-汇总表'!E3,SUMIF(项目类型,C1,'数据-汇总表'!E17:E26))</f>
        <v>0</v>
      </c>
    </row>
    <row r="19" ht="14.25" spans="1:13">
      <c r="A19" s="2532" t="s">
        <v>800</v>
      </c>
      <c r="B19" s="2533" t="s">
        <v>801</v>
      </c>
      <c r="C19" s="2534">
        <f ca="1">SUMIF(INDIRECT("'"&amp;C4&amp;"'"&amp;"!A:A"),结果表!B19,INDIRECT("'"&amp;C4&amp;"'"&amp;"!B:B"))</f>
        <v>396.735</v>
      </c>
      <c r="D19" s="1518">
        <f ca="1">SUMIF(INDIRECT("'"&amp;D4&amp;"'"&amp;"!A:A"),结果表!B19,INDIRECT("'"&amp;D4&amp;"'"&amp;"!B:B"))</f>
        <v>999.2401</v>
      </c>
      <c r="E19" s="2532" t="s">
        <v>802</v>
      </c>
      <c r="F19" s="2533" t="s">
        <v>801</v>
      </c>
      <c r="G19" s="2535">
        <f ca="1">ROUND(C19*$C$18+D19*$D$18,0)</f>
        <v>879</v>
      </c>
      <c r="H19" s="2536" t="s">
        <v>803</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7"/>
      <c r="B20" s="2538" t="s">
        <v>804</v>
      </c>
      <c r="C20" s="2356">
        <f ca="1">SUMIF(INDIRECT("'"&amp;C4&amp;"'"&amp;"!A:A"),结果表!B20,INDIRECT("'"&amp;C4&amp;"'"&amp;"!B:B"))</f>
        <v>56920</v>
      </c>
      <c r="D20" s="2359">
        <f ca="1">SUMIF(INDIRECT("'"&amp;D4&amp;"'"&amp;"!A:A"),结果表!B20,INDIRECT("'"&amp;D4&amp;"'"&amp;"!B:B"))</f>
        <v>143363</v>
      </c>
      <c r="E20" s="2537"/>
      <c r="F20" s="2538" t="s">
        <v>804</v>
      </c>
      <c r="G20" s="2539">
        <f ca="1">ROUND(C20*$C$18+D20*$D$18,0)</f>
        <v>126074</v>
      </c>
      <c r="H20" s="2184" t="s">
        <v>805</v>
      </c>
      <c r="I20" s="1037"/>
    </row>
    <row r="21" ht="15" customHeight="1" spans="1:14">
      <c r="A21" s="2467"/>
      <c r="B21" s="2540" t="s">
        <v>806</v>
      </c>
      <c r="C21" s="2541" t="e">
        <f ca="1">ROUND(C19*10000/L19,0)</f>
        <v>#DIV/0!</v>
      </c>
      <c r="D21" s="2542" t="e">
        <f ca="1">ROUND(D19*10000/L19,0)</f>
        <v>#DIV/0!</v>
      </c>
      <c r="E21" s="2467"/>
      <c r="F21" s="2540" t="s">
        <v>806</v>
      </c>
      <c r="G21" s="2543" t="e">
        <f ca="1">ROUND(G19*10000/L19,0)</f>
        <v>#DIV/0!</v>
      </c>
      <c r="H21" s="2544" t="s">
        <v>805</v>
      </c>
      <c r="I21" s="1037"/>
      <c r="L21" s="2671" t="s">
        <v>807</v>
      </c>
      <c r="M21" s="2671" t="s">
        <v>808</v>
      </c>
      <c r="N21" s="2671" t="s">
        <v>809</v>
      </c>
    </row>
    <row r="22" ht="15" spans="1:14">
      <c r="A22" s="2545" t="s">
        <v>810</v>
      </c>
      <c r="B22" s="2546"/>
      <c r="C22" s="2547"/>
      <c r="D22" s="2548">
        <f ca="1">IF(C19&lt;D19,D19/C19-1,C19/D19-1)</f>
        <v>1.5186588024752</v>
      </c>
      <c r="E22" s="1037"/>
      <c r="F22" s="1037"/>
      <c r="G22" s="1037"/>
      <c r="H22" s="1037"/>
      <c r="I22" s="1037"/>
      <c r="L22" s="2672">
        <f ca="1">ROUND(G20*L18,0)</f>
        <v>0</v>
      </c>
      <c r="M22" s="2672">
        <f>D27</f>
        <v>1087</v>
      </c>
      <c r="N22" s="2672">
        <f ca="1">L22-M22</f>
        <v>-1087</v>
      </c>
    </row>
    <row r="23" ht="14.25" spans="1:9">
      <c r="A23" s="2505"/>
      <c r="B23" s="2505"/>
      <c r="C23" s="2505"/>
      <c r="D23" s="2505"/>
      <c r="E23" s="1037"/>
      <c r="F23" s="1037"/>
      <c r="G23" s="1037"/>
      <c r="H23" s="1037"/>
      <c r="I23" s="1037"/>
    </row>
    <row r="24" ht="14.25" spans="1:9">
      <c r="A24" s="2549" t="s">
        <v>811</v>
      </c>
      <c r="B24" s="2533" t="s">
        <v>801</v>
      </c>
      <c r="C24" s="2535">
        <f>IF(B30=0,0,D30)</f>
        <v>0</v>
      </c>
      <c r="D24" s="2550"/>
      <c r="E24" s="1037"/>
      <c r="F24" s="1037"/>
      <c r="G24" s="1037"/>
      <c r="H24" s="1037"/>
      <c r="I24" s="1037"/>
    </row>
    <row r="25" ht="14.25" spans="1:9">
      <c r="A25" s="2551"/>
      <c r="B25" s="2538" t="s">
        <v>804</v>
      </c>
      <c r="C25" s="2552">
        <f>IF(B30=0,0,C30)</f>
        <v>0</v>
      </c>
      <c r="D25" s="2553"/>
      <c r="E25" s="1037"/>
      <c r="F25" s="1037"/>
      <c r="G25" s="1037"/>
      <c r="H25" s="1037"/>
      <c r="I25" s="1037"/>
    </row>
    <row r="26" ht="13.5" customHeight="1" spans="1:9">
      <c r="A26" s="2554" t="s">
        <v>812</v>
      </c>
      <c r="B26" s="2555" t="s">
        <v>813</v>
      </c>
      <c r="C26" s="2555" t="s">
        <v>814</v>
      </c>
      <c r="D26" s="2556" t="s">
        <v>815</v>
      </c>
      <c r="E26" s="1037"/>
      <c r="F26" s="1037"/>
      <c r="G26" s="1037"/>
      <c r="H26" s="1037"/>
      <c r="I26" s="1037"/>
    </row>
    <row r="27" ht="14.25" spans="1:9">
      <c r="A27" s="2554"/>
      <c r="B27" s="2555">
        <f>'数据-汇总表'!F19</f>
        <v>69.7</v>
      </c>
      <c r="C27" s="2555">
        <v>15.6</v>
      </c>
      <c r="D27" s="2556">
        <f>ROUND(C27*B27,0)</f>
        <v>1087</v>
      </c>
      <c r="E27" s="1037"/>
      <c r="F27" s="1037"/>
      <c r="G27" s="1037"/>
      <c r="H27" s="1037"/>
      <c r="I27" s="1037"/>
    </row>
    <row r="28" ht="14.25" spans="1:9">
      <c r="A28" s="2554"/>
      <c r="B28" s="2555"/>
      <c r="C28" s="2555"/>
      <c r="D28" s="2556"/>
      <c r="E28" s="1037"/>
      <c r="F28" s="1037"/>
      <c r="G28" s="1037"/>
      <c r="H28" s="1037"/>
      <c r="I28" s="1037"/>
    </row>
    <row r="29" ht="14.25" spans="1:9">
      <c r="A29" s="2554"/>
      <c r="B29" s="2555"/>
      <c r="C29" s="2555"/>
      <c r="D29" s="2556"/>
      <c r="E29" s="1037"/>
      <c r="F29" s="1037"/>
      <c r="G29" s="1037"/>
      <c r="H29" s="1037"/>
      <c r="I29" s="1037"/>
    </row>
    <row r="30" ht="15" spans="1:9">
      <c r="A30" s="2555" t="s">
        <v>816</v>
      </c>
      <c r="B30" s="2555"/>
      <c r="C30" s="2555"/>
      <c r="D30" s="2555">
        <f>D27</f>
        <v>1087</v>
      </c>
      <c r="E30" s="2557" t="s">
        <v>817</v>
      </c>
      <c r="F30" s="1037"/>
      <c r="G30" s="1037"/>
      <c r="H30" s="1037"/>
      <c r="I30" s="1037"/>
    </row>
    <row r="31" s="2499" customFormat="1" ht="26.45" customHeight="1" spans="1:36">
      <c r="A31" s="2558"/>
      <c r="B31" s="2559"/>
      <c r="C31" s="2559"/>
      <c r="D31" s="2559"/>
      <c r="E31" s="2559"/>
      <c r="F31" s="2559"/>
      <c r="G31" s="2559"/>
      <c r="H31" s="2559"/>
      <c r="I31" s="2673" t="s">
        <v>818</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0" t="s">
        <v>819</v>
      </c>
      <c r="B32" s="2561"/>
      <c r="C32" s="2562">
        <f ca="1">IF(D32="总价",G19-C24,G20-C25)</f>
        <v>126074</v>
      </c>
      <c r="D32" s="2563"/>
      <c r="E32" s="1037"/>
      <c r="F32" s="1037"/>
      <c r="G32" s="1037"/>
      <c r="H32" s="1037"/>
      <c r="I32" s="1037"/>
    </row>
    <row r="33" ht="15" spans="1:9">
      <c r="A33" s="2408" t="s">
        <v>820</v>
      </c>
      <c r="B33" s="2564"/>
      <c r="C33" s="2565"/>
      <c r="D33" s="2566"/>
      <c r="E33" s="2567" t="s">
        <v>821</v>
      </c>
      <c r="F33" s="2568" t="str">
        <f>IF(D32="楼面单价","取值（单价）","取值（总价）")</f>
        <v>取值（总价）</v>
      </c>
      <c r="G33" s="1037"/>
      <c r="H33" s="1037"/>
      <c r="I33" s="1037"/>
    </row>
    <row r="34" ht="15" spans="1:9">
      <c r="A34" s="2569"/>
      <c r="B34" s="2570" t="s">
        <v>822</v>
      </c>
      <c r="C34" s="2571" t="e">
        <f ca="1">IF(C33="自定义",F34,C32-C35)</f>
        <v>#REF!</v>
      </c>
      <c r="D34" s="2572" t="e">
        <f ca="1">IF(C33="自定义",ROUND(C34/C32,3),IF(C33="收益比率",SUMIF(INDIRECT("'"&amp;D33&amp;"'"&amp;"!b:b"),"土地收益比率",INDIRECT("'"&amp;D33&amp;"'"&amp;"!c:c")),SUMIF(INDIRECT("'"&amp;D33&amp;"'"&amp;"!b:b"),"土地成本比率",INDIRECT("'"&amp;D33&amp;"'"&amp;"!c:c"))))</f>
        <v>#REF!</v>
      </c>
      <c r="E34" s="2573" t="s">
        <v>823</v>
      </c>
      <c r="F34" s="2574"/>
      <c r="G34" s="1037"/>
      <c r="H34" s="1037"/>
      <c r="I34" s="1037"/>
    </row>
    <row r="35" ht="15.75" spans="1:9">
      <c r="A35" s="2575"/>
      <c r="B35" s="2576" t="s">
        <v>824</v>
      </c>
      <c r="C35" s="2577" t="e">
        <f ca="1">IF(C33="自定义",F35,ROUND(C32*D35,0))</f>
        <v>#REF!</v>
      </c>
      <c r="D35" s="2578" t="e">
        <f ca="1">IF(C33="自定义",ROUND(C35/C32,3),IF(C33="收益比率",SUMIF(INDIRECT("'"&amp;D33&amp;"'"&amp;"!b:b"),"建筑物收益比率",INDIRECT("'"&amp;D33&amp;"'"&amp;"!c:c")),SUMIF(INDIRECT("'"&amp;D33&amp;"'"&amp;"!b:b"),"建筑物成本比率",INDIRECT("'"&amp;D33&amp;"'"&amp;"!c:c"))))</f>
        <v>#REF!</v>
      </c>
      <c r="E35" s="2579" t="s">
        <v>825</v>
      </c>
      <c r="F35" s="2580"/>
      <c r="G35" s="1037"/>
      <c r="H35" s="1037"/>
      <c r="I35" s="1037"/>
    </row>
    <row r="36" ht="15.75" spans="1:9">
      <c r="A36" s="2581" t="s">
        <v>826</v>
      </c>
      <c r="B36" s="2582" t="s">
        <v>827</v>
      </c>
      <c r="C36" s="2583"/>
      <c r="D36" s="2584"/>
      <c r="E36" s="2585"/>
      <c r="F36" s="2586"/>
      <c r="G36" s="1037"/>
      <c r="H36" s="1037"/>
      <c r="I36" s="1037"/>
    </row>
    <row r="37" ht="15.75" spans="1:9">
      <c r="A37" s="2587"/>
      <c r="B37" s="2588" t="s">
        <v>828</v>
      </c>
      <c r="C37" s="2589"/>
      <c r="D37" s="2590"/>
      <c r="E37" s="2590"/>
      <c r="F37" s="2586"/>
      <c r="G37" s="1037"/>
      <c r="H37" s="1037"/>
      <c r="I37" s="1037"/>
    </row>
    <row r="38" ht="15.75" spans="1:9">
      <c r="A38" s="2591"/>
      <c r="B38" s="2592" t="s">
        <v>829</v>
      </c>
      <c r="C38" s="2593"/>
      <c r="D38" s="2594" t="s">
        <v>830</v>
      </c>
      <c r="E38" s="2590"/>
      <c r="F38" s="2586"/>
      <c r="G38" s="1037"/>
      <c r="H38" s="1037"/>
      <c r="I38" s="1037"/>
    </row>
    <row r="39" ht="14.25" spans="1:9">
      <c r="A39" s="2537" t="s">
        <v>831</v>
      </c>
      <c r="B39" s="2595" t="s">
        <v>813</v>
      </c>
      <c r="C39" s="2596" t="s">
        <v>814</v>
      </c>
      <c r="D39" s="2596" t="s">
        <v>832</v>
      </c>
      <c r="E39" s="2597" t="s">
        <v>815</v>
      </c>
      <c r="F39" s="2586"/>
      <c r="G39" s="1037"/>
      <c r="H39" s="1037"/>
      <c r="I39" s="1037"/>
    </row>
    <row r="40" ht="14.25" spans="1:9">
      <c r="A40" s="2598" t="s">
        <v>833</v>
      </c>
      <c r="B40" s="2599"/>
      <c r="C40" s="1055"/>
      <c r="D40" s="1055"/>
      <c r="E40" s="2600"/>
      <c r="F40" s="2586"/>
      <c r="G40" s="1037"/>
      <c r="H40" s="1037"/>
      <c r="I40" s="1037"/>
    </row>
    <row r="41" ht="14.25" spans="1:9">
      <c r="A41" s="2598" t="s">
        <v>834</v>
      </c>
      <c r="B41" s="2599"/>
      <c r="C41" s="1055"/>
      <c r="D41" s="1055"/>
      <c r="E41" s="2600"/>
      <c r="F41" s="2586"/>
      <c r="G41" s="1037"/>
      <c r="H41" s="1037"/>
      <c r="I41" s="1037"/>
    </row>
    <row r="42" ht="15" spans="1:9">
      <c r="A42" s="2601"/>
      <c r="B42" s="2602"/>
      <c r="C42" s="2603"/>
      <c r="D42" s="2603"/>
      <c r="E42" s="2580"/>
      <c r="F42" s="2586"/>
      <c r="G42" s="1037"/>
      <c r="H42" s="1037"/>
      <c r="I42" s="1037"/>
    </row>
    <row r="43" ht="13.5" spans="1:9">
      <c r="A43" s="2604"/>
      <c r="B43" s="2604"/>
      <c r="C43" s="2604"/>
      <c r="D43" s="2604"/>
      <c r="E43" s="2604"/>
      <c r="F43" s="2605"/>
      <c r="G43" s="2605"/>
      <c r="H43" s="2605"/>
      <c r="I43" s="2676"/>
    </row>
    <row r="44" ht="18.75" spans="1:15">
      <c r="A44" s="2606" t="s">
        <v>835</v>
      </c>
      <c r="B44" s="2607"/>
      <c r="C44" s="2607"/>
      <c r="D44" s="2608"/>
      <c r="E44" s="2608"/>
      <c r="F44" s="2609"/>
      <c r="G44" s="2609"/>
      <c r="H44" s="2609"/>
      <c r="I44" s="2609"/>
      <c r="J44" s="2677" t="s">
        <v>836</v>
      </c>
      <c r="K44" s="2678"/>
      <c r="L44" s="2678"/>
      <c r="M44" s="2678"/>
      <c r="N44" s="2678"/>
      <c r="O44" s="2678"/>
    </row>
    <row r="45" ht="14.25" customHeight="1" spans="1:15">
      <c r="A45" s="2610" t="s">
        <v>837</v>
      </c>
      <c r="B45" s="2611"/>
      <c r="C45" s="2612"/>
      <c r="D45" s="2025" t="e">
        <f ca="1">ROUND(H101*F45,0)</f>
        <v>#REF!</v>
      </c>
      <c r="E45" s="2613" t="s">
        <v>838</v>
      </c>
      <c r="F45" s="2614">
        <v>1</v>
      </c>
      <c r="G45" s="2615" t="s">
        <v>839</v>
      </c>
      <c r="H45" s="1037"/>
      <c r="I45" s="1037"/>
      <c r="J45" s="2679" t="s">
        <v>840</v>
      </c>
      <c r="K45" s="2679"/>
      <c r="L45" s="2679"/>
      <c r="M45" s="2679"/>
      <c r="N45" s="2679"/>
      <c r="O45" s="2679"/>
    </row>
    <row r="46" ht="14.25" customHeight="1" spans="1:15">
      <c r="A46" s="2616" t="s">
        <v>841</v>
      </c>
      <c r="B46" s="2617"/>
      <c r="C46" s="2617"/>
      <c r="D46" s="2617"/>
      <c r="E46" s="2617"/>
      <c r="F46" s="2617"/>
      <c r="G46" s="2618"/>
      <c r="H46" s="2619"/>
      <c r="I46" s="1038"/>
      <c r="J46" s="650">
        <v>1</v>
      </c>
      <c r="K46" s="2680" t="s">
        <v>842</v>
      </c>
      <c r="L46" s="2680"/>
      <c r="M46" s="2681"/>
      <c r="N46" s="2681"/>
      <c r="O46" s="2681"/>
    </row>
    <row r="47" ht="12" customHeight="1" spans="1:15">
      <c r="A47" s="2620" t="s">
        <v>843</v>
      </c>
      <c r="B47" s="2621"/>
      <c r="C47" s="2622"/>
      <c r="D47" s="2078" t="s">
        <v>844</v>
      </c>
      <c r="E47" s="2026" t="s">
        <v>845</v>
      </c>
      <c r="F47" s="2623" t="s">
        <v>846</v>
      </c>
      <c r="G47" s="2624" t="s">
        <v>847</v>
      </c>
      <c r="H47" s="2625"/>
      <c r="I47" s="1038"/>
      <c r="J47" s="650">
        <v>2</v>
      </c>
      <c r="K47" s="2680" t="s">
        <v>848</v>
      </c>
      <c r="L47" s="2680"/>
      <c r="M47" s="2682">
        <f>'数据-取费表'!B2</f>
        <v>44977</v>
      </c>
      <c r="N47" s="2682"/>
      <c r="O47" s="2682"/>
    </row>
    <row r="48" ht="24.75" spans="1:15">
      <c r="A48" s="2626" t="s">
        <v>849</v>
      </c>
      <c r="B48" s="2082"/>
      <c r="C48" s="2082"/>
      <c r="D48" s="2182" t="b">
        <f ca="1">IF(H48="情况1",0,IF(H48="情况2",D52,IF(H48="情况3",D53,IF(H48="情况4",D54))))</f>
        <v>0</v>
      </c>
      <c r="E48" s="2082" t="str">
        <f>IF(H48="情况4","(销售额-原购置价)×税（费）率","销售额×税（费）率")</f>
        <v>销售额×税（费）率</v>
      </c>
      <c r="F48" s="2627">
        <f>IF(H48="情况1","免征",'数据-取费表'!B41)</f>
        <v>0.056</v>
      </c>
      <c r="G48" s="2628" t="s">
        <v>850</v>
      </c>
      <c r="H48" s="2629"/>
      <c r="I48" s="2619"/>
      <c r="J48" s="650">
        <v>3</v>
      </c>
      <c r="K48" s="2680" t="s">
        <v>851</v>
      </c>
      <c r="L48" s="2680"/>
      <c r="M48" s="2683" t="e">
        <f ca="1">H101</f>
        <v>#REF!</v>
      </c>
      <c r="N48" s="2683"/>
      <c r="O48" s="2683"/>
    </row>
    <row r="49" ht="25.5" customHeight="1" spans="1:15">
      <c r="A49" s="2626" t="s">
        <v>852</v>
      </c>
      <c r="B49" s="2060" t="s">
        <v>853</v>
      </c>
      <c r="C49" s="2060"/>
      <c r="D49" s="2630">
        <v>0</v>
      </c>
      <c r="E49" s="2088" t="s">
        <v>854</v>
      </c>
      <c r="F49" s="2631" t="s">
        <v>124</v>
      </c>
      <c r="G49" s="2632"/>
      <c r="H49" s="2633" t="s">
        <v>855</v>
      </c>
      <c r="I49" s="2684"/>
      <c r="J49" s="650">
        <v>4</v>
      </c>
      <c r="K49" s="2680" t="str">
        <f>IF(项目基本情况!E8="房地产抵押价值","房地产抵押价值","抵押担保权已注销时的房地产抵押价值")</f>
        <v>抵押担保权已注销时的房地产抵押价值</v>
      </c>
      <c r="L49" s="2680"/>
      <c r="M49" s="2683" t="str">
        <f ca="1">IF(项目基本情况!E8="房地产抵押价值",H107,H109)</f>
        <v>——</v>
      </c>
      <c r="N49" s="2683"/>
      <c r="O49" s="2683"/>
    </row>
    <row r="50" ht="25.5" customHeight="1" spans="1:15">
      <c r="A50" s="2634"/>
      <c r="B50" s="2060" t="s">
        <v>856</v>
      </c>
      <c r="C50" s="2060"/>
      <c r="D50" s="2635"/>
      <c r="E50" s="2103"/>
      <c r="F50" s="2631"/>
      <c r="G50" s="2636"/>
      <c r="H50" s="2637" t="s">
        <v>857</v>
      </c>
      <c r="I50" s="2684"/>
      <c r="J50" s="2679" t="s">
        <v>858</v>
      </c>
      <c r="K50" s="2679"/>
      <c r="L50" s="2679"/>
      <c r="M50" s="2679"/>
      <c r="N50" s="2679"/>
      <c r="O50" s="2679"/>
    </row>
    <row r="51" ht="20.45" customHeight="1" spans="1:15">
      <c r="A51" s="2638"/>
      <c r="B51" s="2060" t="s">
        <v>859</v>
      </c>
      <c r="C51" s="2060"/>
      <c r="D51" s="2078"/>
      <c r="E51" s="2092"/>
      <c r="F51" s="2631"/>
      <c r="G51" s="2639"/>
      <c r="H51" s="2637" t="s">
        <v>860</v>
      </c>
      <c r="I51" s="2684"/>
      <c r="J51" s="2680" t="s">
        <v>861</v>
      </c>
      <c r="K51" s="2680" t="s">
        <v>862</v>
      </c>
      <c r="L51" s="2680"/>
      <c r="M51" s="2680" t="s">
        <v>863</v>
      </c>
      <c r="N51" s="2680" t="s">
        <v>864</v>
      </c>
      <c r="O51" s="2680" t="s">
        <v>865</v>
      </c>
    </row>
    <row r="52" ht="24" customHeight="1" spans="1:15">
      <c r="A52" s="2640" t="s">
        <v>866</v>
      </c>
      <c r="B52" s="2060" t="s">
        <v>867</v>
      </c>
      <c r="C52" s="2060"/>
      <c r="D52" s="2078" t="e">
        <f ca="1">ROUND(D45*'数据-取费表'!B41/(1+'数据-取费表'!C42),0)</f>
        <v>#REF!</v>
      </c>
      <c r="E52" s="2082" t="s">
        <v>868</v>
      </c>
      <c r="F52" s="2641">
        <f>'数据-取费表'!B41</f>
        <v>0.056</v>
      </c>
      <c r="G52" s="2642"/>
      <c r="H52" s="2198"/>
      <c r="I52" s="2685"/>
      <c r="J52" s="650">
        <v>1</v>
      </c>
      <c r="K52" s="650" t="s">
        <v>869</v>
      </c>
      <c r="L52" s="650"/>
      <c r="M52" s="2686" t="b">
        <f ca="1">D48</f>
        <v>0</v>
      </c>
      <c r="N52" s="650" t="str">
        <f>E48</f>
        <v>销售额×税（费）率</v>
      </c>
      <c r="O52" s="2687">
        <f>F48</f>
        <v>0.056</v>
      </c>
    </row>
    <row r="53" ht="12" customHeight="1" spans="1:15">
      <c r="A53" s="2640" t="s">
        <v>870</v>
      </c>
      <c r="B53" s="2059" t="s">
        <v>871</v>
      </c>
      <c r="C53" s="2643"/>
      <c r="D53" s="2078" t="e">
        <f ca="1">ROUND(D45*'数据-取费表'!B41/(1+'数据-取费表'!C42),0)</f>
        <v>#REF!</v>
      </c>
      <c r="E53" s="2082" t="s">
        <v>868</v>
      </c>
      <c r="F53" s="2641">
        <f>'数据-取费表'!B41</f>
        <v>0.056</v>
      </c>
      <c r="G53" s="2642"/>
      <c r="H53" s="2198"/>
      <c r="I53" s="2685"/>
      <c r="J53" s="650">
        <v>2</v>
      </c>
      <c r="K53" s="650" t="s">
        <v>872</v>
      </c>
      <c r="L53" s="650"/>
      <c r="M53" s="2686" t="e">
        <f ca="1" t="shared" ref="M53:O54" si="0">D55</f>
        <v>#REF!</v>
      </c>
      <c r="N53" s="650" t="str">
        <f t="shared" si="0"/>
        <v>销售额×税（费）率</v>
      </c>
      <c r="O53" s="2687" t="str">
        <f t="shared" si="0"/>
        <v>免征</v>
      </c>
    </row>
    <row r="54" ht="12" customHeight="1" spans="1:15">
      <c r="A54" s="2640" t="s">
        <v>873</v>
      </c>
      <c r="B54" s="2059" t="s">
        <v>874</v>
      </c>
      <c r="C54" s="2643"/>
      <c r="D54" s="2078" t="e">
        <f ca="1">C68</f>
        <v>#REF!</v>
      </c>
      <c r="E54" s="2092" t="s">
        <v>875</v>
      </c>
      <c r="F54" s="2641">
        <f>'数据-取费表'!B41</f>
        <v>0.056</v>
      </c>
      <c r="G54" s="2642"/>
      <c r="H54" s="2644"/>
      <c r="I54" s="2685"/>
      <c r="J54" s="650">
        <v>3</v>
      </c>
      <c r="K54" s="650" t="s">
        <v>876</v>
      </c>
      <c r="L54" s="650"/>
      <c r="M54" s="2686" t="e">
        <f ca="1" t="shared" si="0"/>
        <v>#REF!</v>
      </c>
      <c r="N54" s="650" t="str">
        <f t="shared" si="0"/>
        <v>增值额×税（费）率</v>
      </c>
      <c r="O54" s="2688" t="str">
        <f t="shared" si="0"/>
        <v>免征</v>
      </c>
    </row>
    <row r="55" ht="24" customHeight="1" spans="1:15">
      <c r="A55" s="2640" t="s">
        <v>877</v>
      </c>
      <c r="B55" s="2082"/>
      <c r="C55" s="2082"/>
      <c r="D55" s="2182" t="e">
        <f ca="1">IF(H55="个人住宅",0,ROUND(D45*I55,0))</f>
        <v>#REF!</v>
      </c>
      <c r="E55" s="2082" t="s">
        <v>878</v>
      </c>
      <c r="F55" s="2641" t="str">
        <f>IF(H55="正常",I55,"免征")</f>
        <v>免征</v>
      </c>
      <c r="G55" s="2642"/>
      <c r="H55" s="2629"/>
      <c r="I55" s="2689">
        <f>'数据-取费表'!B49</f>
        <v>0.0005</v>
      </c>
      <c r="J55" s="650">
        <f>IF(H59="非个人房产","",4)</f>
        <v>4</v>
      </c>
      <c r="K55" s="650" t="str">
        <f>IF(H59="非个人房产","——","个人所得税")</f>
        <v>个人所得税</v>
      </c>
      <c r="L55" s="650"/>
      <c r="M55" s="2690" t="e">
        <f ca="1">D59</f>
        <v>#REF!</v>
      </c>
      <c r="N55" s="631" t="str">
        <f>E59</f>
        <v>差额计税</v>
      </c>
      <c r="O55" s="2691">
        <f>F59</f>
        <v>0.01</v>
      </c>
    </row>
    <row r="56" ht="24.75" spans="1:15">
      <c r="A56" s="2640" t="s">
        <v>879</v>
      </c>
      <c r="B56" s="2082"/>
      <c r="C56" s="2082"/>
      <c r="D56" s="2182" t="e">
        <f ca="1">IF(H56="个人住宅",D57,D58)</f>
        <v>#REF!</v>
      </c>
      <c r="E56" s="2082" t="s">
        <v>880</v>
      </c>
      <c r="F56" s="2641" t="str">
        <f>IF(H56="正常",F58,"免征")</f>
        <v>免征</v>
      </c>
      <c r="G56" s="2645" t="s">
        <v>881</v>
      </c>
      <c r="H56" s="2646"/>
      <c r="I56" s="2657"/>
      <c r="J56" s="650" t="str">
        <f>IF(项目基本情况!K6="上海银行",IF(J55="",4,J55+1),"")</f>
        <v/>
      </c>
      <c r="K56" s="2182" t="str">
        <f>IF(项目基本情况!K6="上海银行","其他处置费用","")</f>
        <v/>
      </c>
      <c r="L56" s="2435"/>
      <c r="M56" s="2686" t="str">
        <f ca="1">IF(项目基本情况!K6="上海银行",M69,"")</f>
        <v/>
      </c>
      <c r="N56" s="2182" t="str">
        <f>IF(项目基本情况!K6="上海银行","包含处置中涉及的律师、诉讼、拍卖、评估等费用","")</f>
        <v/>
      </c>
      <c r="O56" s="2032"/>
    </row>
    <row r="57" ht="13.5" spans="1:16">
      <c r="A57" s="2640" t="s">
        <v>852</v>
      </c>
      <c r="B57" s="2059" t="s">
        <v>882</v>
      </c>
      <c r="C57" s="2643"/>
      <c r="D57" s="2630">
        <v>0</v>
      </c>
      <c r="E57" s="2088" t="s">
        <v>854</v>
      </c>
      <c r="F57" s="2026"/>
      <c r="G57" s="2642"/>
      <c r="H57" s="2647"/>
      <c r="I57" s="2657"/>
      <c r="J57" s="650">
        <f>IF(AND(J55="",J56=""),4,IF(项目基本情况!K6="上海银行",结果表!J56+1,结果表!J55+1))</f>
        <v>5</v>
      </c>
      <c r="K57" s="650" t="s">
        <v>883</v>
      </c>
      <c r="L57" s="2692" t="s">
        <v>884</v>
      </c>
      <c r="M57" s="2693"/>
      <c r="N57" s="2694">
        <f ca="1">SUMIF(M52:M56,"&lt;9e307")</f>
        <v>0</v>
      </c>
      <c r="O57" s="2695"/>
      <c r="P57" s="2696" t="e">
        <f ca="1">N57/M49</f>
        <v>#VALUE!</v>
      </c>
    </row>
    <row r="58" ht="24.75" spans="1:15">
      <c r="A58" s="2640" t="s">
        <v>866</v>
      </c>
      <c r="B58" s="2059" t="s">
        <v>885</v>
      </c>
      <c r="C58" s="2060"/>
      <c r="D58" s="2182" t="e">
        <f ca="1">IF(H58="转让取得",C81,C97)</f>
        <v>#REF!</v>
      </c>
      <c r="E58" s="2082" t="s">
        <v>880</v>
      </c>
      <c r="F58" s="2026" t="s">
        <v>124</v>
      </c>
      <c r="G58" s="2642"/>
      <c r="H58" s="2646"/>
      <c r="I58" s="2657"/>
      <c r="J58" s="650"/>
      <c r="K58" s="650"/>
      <c r="L58" s="2692" t="s">
        <v>886</v>
      </c>
      <c r="M58" s="2697"/>
      <c r="N58" s="2698" t="str">
        <f ca="1">NUMBERSTRING(INT(N57*10000),2)&amp;"元整"</f>
        <v>零元整</v>
      </c>
      <c r="O58" s="2699"/>
    </row>
    <row r="59" ht="24.75" spans="1:15">
      <c r="A59" s="2648" t="s">
        <v>887</v>
      </c>
      <c r="B59" s="2649"/>
      <c r="C59" s="2649"/>
      <c r="D59" s="2650" t="e">
        <f ca="1">IF(H59="非个人房产","——",IF(H59="个人住宅（满五唯一有凭证）",0,IF(H59="个人其他（无凭证）",ROUND(D45*F59,0),ROUND(C67*F59,0))))</f>
        <v>#REF!</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881</v>
      </c>
      <c r="H59" s="2654"/>
      <c r="I59" s="2700" t="s">
        <v>888</v>
      </c>
      <c r="J59" s="631">
        <f>J57+1</f>
        <v>6</v>
      </c>
      <c r="K59" s="650" t="s">
        <v>889</v>
      </c>
      <c r="L59" s="650" t="s">
        <v>884</v>
      </c>
      <c r="M59" s="2701"/>
      <c r="N59" s="2702" t="e">
        <f ca="1">M49-N57</f>
        <v>#VALUE!</v>
      </c>
      <c r="O59" s="2703"/>
    </row>
    <row r="60" ht="12" customHeight="1" spans="1:15">
      <c r="A60" s="2655"/>
      <c r="B60" s="2505"/>
      <c r="C60" s="2505"/>
      <c r="D60" s="2505"/>
      <c r="E60" s="2656"/>
      <c r="F60" s="2657"/>
      <c r="G60" s="2657"/>
      <c r="H60" s="2658"/>
      <c r="I60" s="1037"/>
      <c r="J60" s="636"/>
      <c r="K60" s="650"/>
      <c r="L60" s="2692" t="s">
        <v>886</v>
      </c>
      <c r="M60" s="2697"/>
      <c r="N60" s="2698" t="e">
        <f ca="1">NUMBERSTRING(INT(N59*10000),2)&amp;"元整"</f>
        <v>#VALUE!</v>
      </c>
      <c r="O60" s="2699"/>
    </row>
    <row r="61" ht="14.25" spans="1:15">
      <c r="A61" s="2659" t="s">
        <v>890</v>
      </c>
      <c r="B61" s="2659"/>
      <c r="C61" s="2659"/>
      <c r="D61" s="2659"/>
      <c r="E61" s="2659"/>
      <c r="F61" s="2657"/>
      <c r="G61" s="2657"/>
      <c r="H61" s="2658"/>
      <c r="I61" s="1037"/>
      <c r="J61" s="650">
        <f>J59+1</f>
        <v>7</v>
      </c>
      <c r="K61" s="650" t="s">
        <v>891</v>
      </c>
      <c r="L61" s="650"/>
      <c r="M61" s="2704"/>
      <c r="N61" s="2705" t="e">
        <f ca="1">ROUND(N59*10000/'数据-汇总表'!E3,0)</f>
        <v>#VALUE!</v>
      </c>
      <c r="O61" s="2706"/>
    </row>
    <row r="62" ht="13.5" spans="1:9">
      <c r="A62" s="2660" t="s">
        <v>892</v>
      </c>
      <c r="B62" s="601"/>
      <c r="C62" s="601"/>
      <c r="D62" s="601" t="s">
        <v>893</v>
      </c>
      <c r="E62" s="2661" t="s">
        <v>847</v>
      </c>
      <c r="F62" s="2657"/>
      <c r="G62" s="2657"/>
      <c r="H62" s="2658"/>
      <c r="I62" s="1037"/>
    </row>
    <row r="63" ht="13.5" spans="1:35">
      <c r="A63" s="2662" t="s">
        <v>894</v>
      </c>
      <c r="B63" s="661" t="s">
        <v>895</v>
      </c>
      <c r="C63" s="2663" t="e">
        <f ca="1">ROUND((C64+C65)/(1+'数据-取费表'!C42),0)</f>
        <v>#REF!</v>
      </c>
      <c r="D63" s="661"/>
      <c r="E63" s="2664"/>
      <c r="F63" s="2657"/>
      <c r="G63" s="2657"/>
      <c r="H63" s="2658"/>
      <c r="I63" s="1037"/>
      <c r="J63" s="2707" t="s">
        <v>896</v>
      </c>
      <c r="K63" s="2707" t="s">
        <v>897</v>
      </c>
      <c r="L63" s="2707" t="e">
        <f ca="1">IF(M49&gt;10000,M49*0.5%,IF(AND(M49&gt;1000,M49&lt;=10000),M49*1%,IF(AND(M49&gt;100,M49&lt;=1000),M49*3%,IF(AND(M49&gt;10,M49&lt;=100),M49*5%,M49*8%))))</f>
        <v>#VALUE!</v>
      </c>
      <c r="M63" s="2026" t="e">
        <f ca="1">ROUND(L63,1)</f>
        <v>#VALUE!</v>
      </c>
      <c r="N63" s="2708"/>
      <c r="Z63" s="2502"/>
      <c r="AI63" s="2503"/>
    </row>
    <row r="64" ht="14.25" customHeight="1" spans="1:35">
      <c r="A64" s="2665" t="s">
        <v>898</v>
      </c>
      <c r="B64" s="584" t="s">
        <v>899</v>
      </c>
      <c r="C64" s="2666" t="e">
        <f ca="1">D45</f>
        <v>#REF!</v>
      </c>
      <c r="D64" s="584" t="s">
        <v>124</v>
      </c>
      <c r="E64" s="2667"/>
      <c r="F64" s="2657"/>
      <c r="G64" s="2657"/>
      <c r="H64" s="2658"/>
      <c r="I64" s="1037"/>
      <c r="J64" s="2707"/>
      <c r="K64" s="2707" t="s">
        <v>900</v>
      </c>
      <c r="L64" s="2707"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901</v>
      </c>
      <c r="Z64" s="2502"/>
      <c r="AI64" s="2503"/>
    </row>
    <row r="65" ht="14.25" customHeight="1" spans="1:35">
      <c r="A65" s="2665" t="s">
        <v>902</v>
      </c>
      <c r="B65" s="584" t="s">
        <v>903</v>
      </c>
      <c r="C65" s="2710"/>
      <c r="D65" s="584"/>
      <c r="E65" s="2667"/>
      <c r="F65" s="2657"/>
      <c r="G65" s="2657"/>
      <c r="H65" s="2658"/>
      <c r="I65" s="1037"/>
      <c r="J65" s="2707"/>
      <c r="K65" s="2707" t="s">
        <v>904</v>
      </c>
      <c r="L65" s="2707" t="e">
        <f ca="1">IF(M49&gt;1000,M49*0.1%,IF(AND(M49&gt;500,M49&lt;=1000),M49*0.5%,IF(AND(M49&gt;50,M49&lt;=500),M49*1%,IF(AND(M49&gt;1,M49&lt;=50),M49*1.5%))))</f>
        <v>#VALUE!</v>
      </c>
      <c r="M65" s="2026" t="e">
        <f ca="1" t="shared" si="1"/>
        <v>#VALUE!</v>
      </c>
      <c r="N65" s="2198" t="s">
        <v>901</v>
      </c>
      <c r="Z65" s="2502"/>
      <c r="AI65" s="2503"/>
    </row>
    <row r="66" ht="14.25" customHeight="1" spans="1:35">
      <c r="A66" s="2662" t="s">
        <v>905</v>
      </c>
      <c r="B66" s="2711" t="s">
        <v>906</v>
      </c>
      <c r="C66" s="2712"/>
      <c r="D66" s="2711" t="s">
        <v>124</v>
      </c>
      <c r="E66" s="2713" t="s">
        <v>907</v>
      </c>
      <c r="F66" s="2657"/>
      <c r="G66" s="2657"/>
      <c r="H66" s="2658"/>
      <c r="I66" s="1037"/>
      <c r="J66" s="2707"/>
      <c r="K66" s="2707" t="s">
        <v>908</v>
      </c>
      <c r="L66" s="2707" t="e">
        <f ca="1">M49*0.5%</f>
        <v>#VALUE!</v>
      </c>
      <c r="M66" s="2026" t="e">
        <f ca="1">IF(L66&gt;0.5,0.5,ROUND(L66,0))</f>
        <v>#VALUE!</v>
      </c>
      <c r="N66" s="2198" t="s">
        <v>909</v>
      </c>
      <c r="Z66" s="2502"/>
      <c r="AI66" s="2503"/>
    </row>
    <row r="67" ht="14.25" customHeight="1" spans="1:35">
      <c r="A67" s="2662" t="s">
        <v>910</v>
      </c>
      <c r="B67" s="2711" t="s">
        <v>911</v>
      </c>
      <c r="C67" s="2714" t="e">
        <f ca="1">C63-C66</f>
        <v>#REF!</v>
      </c>
      <c r="D67" s="584" t="s">
        <v>124</v>
      </c>
      <c r="E67" s="2667"/>
      <c r="F67" s="2657"/>
      <c r="G67" s="2657"/>
      <c r="H67" s="2658"/>
      <c r="I67" s="1037"/>
      <c r="J67" s="2707"/>
      <c r="K67" s="2707" t="s">
        <v>912</v>
      </c>
      <c r="L67" s="2707"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8"/>
      <c r="Z67" s="2502"/>
      <c r="AI67" s="2503"/>
    </row>
    <row r="68" ht="14.25" customHeight="1" spans="1:35">
      <c r="A68" s="2715" t="s">
        <v>913</v>
      </c>
      <c r="B68" s="2716" t="s">
        <v>914</v>
      </c>
      <c r="C68" s="2717" t="e">
        <f ca="1">IF(C67&lt;=0,0,ROUND(C67*D68,0))</f>
        <v>#REF!</v>
      </c>
      <c r="D68" s="859">
        <f>'数据-取费表'!B41</f>
        <v>0.056</v>
      </c>
      <c r="E68" s="2718"/>
      <c r="F68" s="2657"/>
      <c r="G68" s="2657"/>
      <c r="H68" s="2658"/>
      <c r="I68" s="1037"/>
      <c r="J68" s="2707"/>
      <c r="K68" s="2707" t="s">
        <v>915</v>
      </c>
      <c r="L68" s="2707" t="e">
        <f ca="1">IF(M49&gt;10000,M49*0.5%,IF(AND(M49&gt;5000,M49&lt;=10000),M49*1%,IF(AND(M49&gt;1000,M49&lt;=5000),M49*2%,IF(AND(M49&gt;200,M49&lt;=1000),M49*3%,M49*5%))))</f>
        <v>#VALUE!</v>
      </c>
      <c r="M68" s="2026" t="e">
        <f ca="1">ROUND(L68,1)</f>
        <v>#VALUE!</v>
      </c>
      <c r="N68" s="2708"/>
      <c r="Z68" s="2502"/>
      <c r="AI68" s="2503"/>
    </row>
    <row r="69" s="2500" customFormat="1" ht="16.5" customHeight="1" spans="1:34">
      <c r="A69" s="2719"/>
      <c r="B69" s="2720"/>
      <c r="C69" s="2721"/>
      <c r="D69" s="775"/>
      <c r="E69" s="2722"/>
      <c r="F69" s="2656"/>
      <c r="G69" s="2656"/>
      <c r="H69" s="2604"/>
      <c r="I69" s="2505"/>
      <c r="J69" s="2707"/>
      <c r="K69" s="2707" t="s">
        <v>916</v>
      </c>
      <c r="L69" s="2707"/>
      <c r="M69" s="2026" t="e">
        <f ca="1">ROUND(SUM(M63:M68),0)</f>
        <v>#VALUE!</v>
      </c>
      <c r="N69" s="2820" t="e">
        <f ca="1">M69/M49</f>
        <v>#VALUE!</v>
      </c>
      <c r="O69" s="993"/>
      <c r="P69" s="993"/>
      <c r="Q69" s="993"/>
      <c r="R69" s="993"/>
      <c r="S69" s="993"/>
      <c r="T69" s="993"/>
      <c r="U69" s="993"/>
      <c r="V69" s="993"/>
      <c r="W69" s="993"/>
      <c r="X69" s="993"/>
      <c r="Y69" s="993"/>
      <c r="Z69" s="2502"/>
      <c r="AA69" s="2502"/>
      <c r="AB69" s="2502"/>
      <c r="AC69" s="2502"/>
      <c r="AD69" s="2502"/>
      <c r="AE69" s="2502"/>
      <c r="AF69" s="2502"/>
      <c r="AG69" s="2502"/>
      <c r="AH69" s="2502"/>
    </row>
    <row r="70" s="2501" customFormat="1" ht="15" spans="1:35">
      <c r="A70" s="2723" t="s">
        <v>917</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1" customFormat="1" ht="14.25" spans="1:35">
      <c r="A71" s="2660" t="s">
        <v>892</v>
      </c>
      <c r="B71" s="601"/>
      <c r="C71" s="601"/>
      <c r="D71" s="601" t="s">
        <v>893</v>
      </c>
      <c r="E71" s="2725" t="s">
        <v>847</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1" customFormat="1" ht="14.25" spans="1:35">
      <c r="A72" s="2662" t="s">
        <v>894</v>
      </c>
      <c r="B72" s="2711" t="s">
        <v>918</v>
      </c>
      <c r="C72" s="2714" t="e">
        <f ca="1">ROUND(D45/(1+'数据-取费表'!C42),0)</f>
        <v>#REF!</v>
      </c>
      <c r="D72" s="584" t="s">
        <v>124</v>
      </c>
      <c r="E72" s="2059"/>
      <c r="F72" s="2060"/>
      <c r="G72" s="2060"/>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1" customFormat="1" ht="14.25" spans="1:35">
      <c r="A73" s="2662" t="s">
        <v>905</v>
      </c>
      <c r="B73" s="2623" t="s">
        <v>919</v>
      </c>
      <c r="C73" s="2714" t="e">
        <f ca="1">C74+C78</f>
        <v>#REF!</v>
      </c>
      <c r="D73" s="584" t="s">
        <v>124</v>
      </c>
      <c r="E73" s="2059"/>
      <c r="F73" s="2060"/>
      <c r="G73" s="2060"/>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1" customFormat="1" ht="24" spans="1:35">
      <c r="A74" s="2665" t="s">
        <v>898</v>
      </c>
      <c r="B74" s="584" t="s">
        <v>920</v>
      </c>
      <c r="C74" s="584">
        <f>ROUND(IF(G77="2016年5月1日后购买",C75/(1+'数据-取费表'!C42)+C76+C77,C75+C76+C77),0)</f>
        <v>0</v>
      </c>
      <c r="D74" s="584" t="s">
        <v>124</v>
      </c>
      <c r="E74" s="2059"/>
      <c r="F74" s="2060"/>
      <c r="G74" s="2060"/>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1" customFormat="1" ht="14.25" spans="1:35">
      <c r="A75" s="2665" t="s">
        <v>921</v>
      </c>
      <c r="B75" s="584" t="s">
        <v>922</v>
      </c>
      <c r="C75" s="2729"/>
      <c r="D75" s="584" t="s">
        <v>124</v>
      </c>
      <c r="E75" s="2730" t="s">
        <v>923</v>
      </c>
      <c r="F75" s="2731"/>
      <c r="G75" s="2730" t="s">
        <v>924</v>
      </c>
      <c r="H75" s="2732"/>
      <c r="I75" s="878"/>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1" customFormat="1" ht="24.75" customHeight="1" spans="1:35">
      <c r="A76" s="2665" t="s">
        <v>925</v>
      </c>
      <c r="B76" s="2733" t="s">
        <v>926</v>
      </c>
      <c r="C76" s="584">
        <f>IF(F75="购房发票",ROUND(C75*H75*D76,0),0)</f>
        <v>0</v>
      </c>
      <c r="D76" s="2734">
        <v>0.05</v>
      </c>
      <c r="E76" s="2059" t="s">
        <v>927</v>
      </c>
      <c r="F76" s="2060"/>
      <c r="G76" s="2060"/>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1" customFormat="1" ht="24.75" customHeight="1" spans="1:35">
      <c r="A77" s="2665" t="s">
        <v>928</v>
      </c>
      <c r="B77" s="584" t="s">
        <v>929</v>
      </c>
      <c r="C77" s="584">
        <f>ROUND(IF(G77="个人住宅",0,IF(G77="2016年5月1日前购买",C75*D77,C75*D77/(1+'数据-取费表'!C42))),0)</f>
        <v>0</v>
      </c>
      <c r="D77" s="2736">
        <f>'数据-取费表'!B48+'数据-取费表'!B49</f>
        <v>0.0305</v>
      </c>
      <c r="E77" s="2182" t="s">
        <v>930</v>
      </c>
      <c r="F77" s="2737"/>
      <c r="G77" s="2738"/>
      <c r="H77" s="2735" t="str">
        <f>IF(G77="个人买卖住房","免征印花税"," ")</f>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1" customFormat="1" ht="24.75" customHeight="1" spans="1:35">
      <c r="A78" s="2665" t="s">
        <v>902</v>
      </c>
      <c r="B78" s="584" t="s">
        <v>931</v>
      </c>
      <c r="C78" s="2739" t="e">
        <f ca="1">ROUND(D45*D78/(1+'数据-取费表'!C42),0)</f>
        <v>#REF!</v>
      </c>
      <c r="D78" s="2740">
        <f>'数据-取费表'!B43</f>
        <v>0.006</v>
      </c>
      <c r="E78" s="2741" t="s">
        <v>932</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1" customFormat="1" ht="14.25" spans="1:35">
      <c r="A79" s="2662" t="s">
        <v>910</v>
      </c>
      <c r="B79" s="2711" t="s">
        <v>933</v>
      </c>
      <c r="C79" s="2714" t="e">
        <f ca="1">C72-C73</f>
        <v>#REF!</v>
      </c>
      <c r="D79" s="584" t="s">
        <v>124</v>
      </c>
      <c r="E79" s="2059"/>
      <c r="F79" s="2060"/>
      <c r="G79" s="2060"/>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1" customFormat="1" ht="24" spans="1:35">
      <c r="A80" s="2662" t="s">
        <v>913</v>
      </c>
      <c r="B80" s="2711" t="s">
        <v>934</v>
      </c>
      <c r="C80" s="2744"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1" customFormat="1" ht="24.75" spans="1:35">
      <c r="A81" s="2715" t="s">
        <v>935</v>
      </c>
      <c r="B81" s="2716" t="s">
        <v>936</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1" customFormat="1" ht="7.5" customHeight="1" spans="1:35">
      <c r="A82" s="2750"/>
      <c r="B82" s="2751"/>
      <c r="C82" s="759"/>
      <c r="D82" s="759"/>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1" customFormat="1" ht="15" spans="1:35">
      <c r="A83" s="2723" t="s">
        <v>937</v>
      </c>
      <c r="B83" s="2724"/>
      <c r="C83" s="2724"/>
      <c r="D83" s="2724"/>
      <c r="E83" s="2724"/>
      <c r="F83" s="2724"/>
      <c r="G83" s="2724"/>
      <c r="H83" s="2724"/>
      <c r="I83" s="878"/>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1" customFormat="1" ht="14.25" spans="1:35">
      <c r="A84" s="2660" t="s">
        <v>892</v>
      </c>
      <c r="B84" s="601"/>
      <c r="C84" s="601"/>
      <c r="D84" s="601" t="s">
        <v>893</v>
      </c>
      <c r="E84" s="2725" t="s">
        <v>847</v>
      </c>
      <c r="F84" s="2726"/>
      <c r="G84" s="2726"/>
      <c r="H84" s="2753"/>
      <c r="I84" s="878"/>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1" customFormat="1" ht="14.25" spans="1:35">
      <c r="A85" s="2662" t="s">
        <v>894</v>
      </c>
      <c r="B85" s="2711" t="s">
        <v>918</v>
      </c>
      <c r="C85" s="2714" t="e">
        <f ca="1">ROUND(D45/(1+'数据-取费表'!C42),0)</f>
        <v>#REF!</v>
      </c>
      <c r="D85" s="584" t="s">
        <v>124</v>
      </c>
      <c r="E85" s="2059"/>
      <c r="F85" s="2060"/>
      <c r="G85" s="2060"/>
      <c r="H85" s="2754"/>
      <c r="I85" s="878"/>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1" customFormat="1" ht="14.25" spans="1:35">
      <c r="A86" s="2662" t="s">
        <v>905</v>
      </c>
      <c r="B86" s="2623" t="s">
        <v>919</v>
      </c>
      <c r="C86" s="2714" t="e">
        <f ca="1">IF(H88="仅含出让金",C87+C90+C91+C92+C93+C94,C87+C91+C92+C93+C94)</f>
        <v>#REF!</v>
      </c>
      <c r="D86" s="2755"/>
      <c r="E86" s="2059"/>
      <c r="F86" s="2060"/>
      <c r="G86" s="2060"/>
      <c r="H86" s="2754"/>
      <c r="I86" s="878"/>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1" customFormat="1" ht="14.25" spans="1:35">
      <c r="A87" s="2665" t="s">
        <v>898</v>
      </c>
      <c r="B87" s="584" t="s">
        <v>938</v>
      </c>
      <c r="C87" s="2739">
        <f>C88+C89</f>
        <v>0</v>
      </c>
      <c r="D87" s="2740"/>
      <c r="E87" s="2741"/>
      <c r="F87" s="2742"/>
      <c r="G87" s="2742"/>
      <c r="H87" s="2743"/>
      <c r="I87" s="878"/>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1" customFormat="1" ht="14.25" spans="1:35">
      <c r="A88" s="2665" t="s">
        <v>921</v>
      </c>
      <c r="B88" s="584" t="s">
        <v>939</v>
      </c>
      <c r="C88" s="2756"/>
      <c r="D88" s="2740"/>
      <c r="E88" s="2757" t="s">
        <v>940</v>
      </c>
      <c r="F88" s="2742"/>
      <c r="G88" s="2758" t="s">
        <v>941</v>
      </c>
      <c r="H88" s="2759"/>
      <c r="I88" s="878"/>
      <c r="J88" s="2826" t="s">
        <v>942</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1" customFormat="1" ht="14.25" spans="1:35">
      <c r="A89" s="2665" t="s">
        <v>925</v>
      </c>
      <c r="B89" s="584" t="s">
        <v>929</v>
      </c>
      <c r="C89" s="2739">
        <f>ROUND(C88*D89,0)</f>
        <v>0</v>
      </c>
      <c r="D89" s="2740">
        <f>'数据-取费表'!B48+'数据-取费表'!B49</f>
        <v>0.0305</v>
      </c>
      <c r="E89" s="2757" t="s">
        <v>943</v>
      </c>
      <c r="F89" s="2742"/>
      <c r="G89" s="2742"/>
      <c r="H89" s="2743"/>
      <c r="I89" s="878"/>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1" customFormat="1" ht="14.25" spans="1:35">
      <c r="A90" s="2665" t="s">
        <v>902</v>
      </c>
      <c r="B90" s="584" t="s">
        <v>944</v>
      </c>
      <c r="C90" s="2756"/>
      <c r="D90" s="2740"/>
      <c r="E90" s="2757" t="str">
        <f>IF(H88="-","土地取得成本中已包含该笔费用"," ")</f>
        <v/>
      </c>
      <c r="F90" s="2742"/>
      <c r="G90" s="2760" t="s">
        <v>945</v>
      </c>
      <c r="H90" s="2761"/>
      <c r="I90" s="878"/>
      <c r="J90" s="2826" t="s">
        <v>946</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1" customFormat="1" ht="27.75" customHeight="1" spans="1:35">
      <c r="A91" s="2665" t="s">
        <v>947</v>
      </c>
      <c r="B91" s="584" t="s">
        <v>948</v>
      </c>
      <c r="C91" s="2739">
        <f ca="1">IF(H91="——",成本法!C33,I91)</f>
        <v>0</v>
      </c>
      <c r="D91" s="2740"/>
      <c r="E91" s="2741" t="s">
        <v>949</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1" customFormat="1" ht="25.5" customHeight="1" spans="1:35">
      <c r="A92" s="2665" t="s">
        <v>950</v>
      </c>
      <c r="B92" s="584" t="s">
        <v>951</v>
      </c>
      <c r="C92" s="2739">
        <f ca="1">ROUND((C87+C90+C91)*D92,0)</f>
        <v>0</v>
      </c>
      <c r="D92" s="2763"/>
      <c r="E92" s="2741" t="s">
        <v>952</v>
      </c>
      <c r="F92" s="2742"/>
      <c r="G92" s="2742"/>
      <c r="H92" s="2743"/>
      <c r="I92" s="878"/>
      <c r="J92" s="2828" t="s">
        <v>953</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1" customFormat="1" ht="25.5" customHeight="1" spans="1:35">
      <c r="A93" s="2665" t="s">
        <v>954</v>
      </c>
      <c r="B93" s="584" t="s">
        <v>931</v>
      </c>
      <c r="C93" s="2739" t="e">
        <f ca="1">ROUND(D45*D93/(1+'数据-取费表'!C42),0)</f>
        <v>#REF!</v>
      </c>
      <c r="D93" s="2740">
        <f>'数据-取费表'!B43</f>
        <v>0.006</v>
      </c>
      <c r="E93" s="2741" t="s">
        <v>932</v>
      </c>
      <c r="F93" s="2742"/>
      <c r="G93" s="2742"/>
      <c r="H93" s="2743"/>
      <c r="I93" s="878"/>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1" customFormat="1" ht="36.75" customHeight="1" spans="1:35">
      <c r="A94" s="2665" t="s">
        <v>955</v>
      </c>
      <c r="B94" s="584" t="s">
        <v>956</v>
      </c>
      <c r="C94" s="2756">
        <f ca="1">ROUND((C87+C90+C91)*D94,0)</f>
        <v>0</v>
      </c>
      <c r="D94" s="2740">
        <v>0.2</v>
      </c>
      <c r="E94" s="2764" t="s">
        <v>957</v>
      </c>
      <c r="F94" s="2765"/>
      <c r="G94" s="2765"/>
      <c r="H94" s="2766"/>
      <c r="I94" s="878"/>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1" customFormat="1" ht="14.25" spans="1:35">
      <c r="A95" s="2662" t="s">
        <v>910</v>
      </c>
      <c r="B95" s="2711" t="s">
        <v>933</v>
      </c>
      <c r="C95" s="2714" t="e">
        <f ca="1">ROUND(C85-C86,0)</f>
        <v>#REF!</v>
      </c>
      <c r="D95" s="584" t="s">
        <v>124</v>
      </c>
      <c r="E95" s="2059"/>
      <c r="F95" s="2060"/>
      <c r="G95" s="2060"/>
      <c r="H95" s="2754"/>
      <c r="I95" s="878"/>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1" customFormat="1" ht="24" spans="1:35">
      <c r="A96" s="2662" t="s">
        <v>913</v>
      </c>
      <c r="B96" s="2711" t="s">
        <v>934</v>
      </c>
      <c r="C96" s="2744"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4"/>
      <c r="I96" s="878"/>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1" customFormat="1" ht="24.75" spans="1:35">
      <c r="A97" s="2715" t="s">
        <v>935</v>
      </c>
      <c r="B97" s="2716" t="s">
        <v>936</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878"/>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5"/>
      <c r="B98" s="2505"/>
      <c r="C98" s="2505"/>
      <c r="D98" s="2505"/>
      <c r="E98" s="2656"/>
      <c r="F98" s="2656"/>
      <c r="G98" s="2656"/>
      <c r="H98" s="2604"/>
      <c r="I98" s="1037"/>
    </row>
    <row r="99" customHeight="1" spans="1:9">
      <c r="A99" s="2606" t="s">
        <v>958</v>
      </c>
      <c r="B99" s="2505"/>
      <c r="C99" s="2505"/>
      <c r="D99" s="2505"/>
      <c r="E99" s="2656"/>
      <c r="F99" s="2656"/>
      <c r="G99" s="2656"/>
      <c r="H99" s="2604"/>
      <c r="I99" s="1037"/>
    </row>
    <row r="100" ht="18.75" customHeight="1" spans="1:9">
      <c r="A100" s="2768" t="s">
        <v>959</v>
      </c>
      <c r="B100" s="2769"/>
      <c r="C100" s="2769"/>
      <c r="D100" s="2770"/>
      <c r="E100" s="2769" t="s">
        <v>960</v>
      </c>
      <c r="F100" s="2769"/>
      <c r="G100" s="2769"/>
      <c r="H100" s="2770"/>
      <c r="I100" s="1037"/>
    </row>
    <row r="101" ht="18.75" customHeight="1" spans="1:9">
      <c r="A101" s="2771" t="s">
        <v>961</v>
      </c>
      <c r="B101" s="2772"/>
      <c r="C101" s="2773" t="str">
        <f>C4</f>
        <v>收益法 (元)</v>
      </c>
      <c r="D101" s="2774" t="str">
        <f>D4</f>
        <v>比较法-住宅</v>
      </c>
      <c r="E101" s="2775" t="s">
        <v>962</v>
      </c>
      <c r="F101" s="2776"/>
      <c r="G101" s="2777" t="s">
        <v>963</v>
      </c>
      <c r="H101" s="2778" t="e">
        <f ca="1">H118</f>
        <v>#REF!</v>
      </c>
      <c r="I101" s="1037"/>
    </row>
    <row r="102" ht="18.75" customHeight="1" spans="1:9">
      <c r="A102" s="2779" t="s">
        <v>964</v>
      </c>
      <c r="B102" s="2780" t="s">
        <v>963</v>
      </c>
      <c r="C102" s="2773">
        <f ca="1">IF(D32="楼面单价",ROUND(C19,0),C19)</f>
        <v>396.735</v>
      </c>
      <c r="D102" s="2774">
        <f ca="1">IF(D32="楼面单价",ROUND(D19,0),D19)</f>
        <v>999.2401</v>
      </c>
      <c r="E102" s="2775"/>
      <c r="F102" s="2776"/>
      <c r="G102" s="2777" t="s">
        <v>99</v>
      </c>
      <c r="H102" s="2642" t="e">
        <f ca="1">I118</f>
        <v>#REF!</v>
      </c>
      <c r="I102" s="1037"/>
    </row>
    <row r="103" ht="42.75" customHeight="1" spans="1:9">
      <c r="A103" s="2779"/>
      <c r="B103" s="2780" t="s">
        <v>99</v>
      </c>
      <c r="C103" s="2781">
        <f ca="1">C20</f>
        <v>56920</v>
      </c>
      <c r="D103" s="2782">
        <f ca="1">D20</f>
        <v>143363</v>
      </c>
      <c r="E103" s="2783" t="s">
        <v>965</v>
      </c>
      <c r="F103" s="2784"/>
      <c r="G103" s="2785" t="s">
        <v>102</v>
      </c>
      <c r="H103" s="2778">
        <f>IF(D36="正常操作",H104+H105+H106,H105+H106)</f>
        <v>0</v>
      </c>
      <c r="I103" s="1037"/>
    </row>
    <row r="104" ht="18.75" customHeight="1" spans="1:9">
      <c r="A104" s="2779" t="s">
        <v>966</v>
      </c>
      <c r="B104" s="2786" t="s">
        <v>963</v>
      </c>
      <c r="C104" s="2787" t="e">
        <f ca="1">H118</f>
        <v>#REF!</v>
      </c>
      <c r="D104" s="2788"/>
      <c r="E104" s="2588" t="s">
        <v>967</v>
      </c>
      <c r="F104" s="2789"/>
      <c r="G104" s="2785" t="s">
        <v>102</v>
      </c>
      <c r="H104" s="2790">
        <f>IF(D36="同一抵押权人同一抵押物续贷",C36&amp;"（续贷，未扣减，详见特别提示）",C36)</f>
        <v>0</v>
      </c>
      <c r="I104" s="1037"/>
    </row>
    <row r="105" ht="18.75" customHeight="1" spans="1:9">
      <c r="A105" s="2791"/>
      <c r="B105" s="2792" t="s">
        <v>99</v>
      </c>
      <c r="C105" s="2793" t="e">
        <f ca="1">I118</f>
        <v>#REF!</v>
      </c>
      <c r="D105" s="2794"/>
      <c r="E105" s="2588" t="s">
        <v>968</v>
      </c>
      <c r="F105" s="2789"/>
      <c r="G105" s="2785" t="s">
        <v>102</v>
      </c>
      <c r="H105" s="2795">
        <f>C37</f>
        <v>0</v>
      </c>
      <c r="I105" s="1037"/>
    </row>
    <row r="106" ht="18.75" customHeight="1" spans="1:9">
      <c r="A106" s="2505" t="s">
        <v>969</v>
      </c>
      <c r="B106" s="2505"/>
      <c r="C106" s="2505"/>
      <c r="D106" s="2505"/>
      <c r="E106" s="2796" t="s">
        <v>970</v>
      </c>
      <c r="F106" s="2789"/>
      <c r="G106" s="2785" t="s">
        <v>102</v>
      </c>
      <c r="H106" s="2795">
        <f>C38</f>
        <v>0</v>
      </c>
      <c r="I106" s="1037"/>
    </row>
    <row r="107" ht="18.75" customHeight="1" spans="1:9">
      <c r="A107" s="1037"/>
      <c r="B107" s="1037"/>
      <c r="C107" s="1037"/>
      <c r="D107" s="1037"/>
      <c r="E107" s="2797" t="str">
        <f>IF(项目基本情况!E8="已注销","——","3.房地产抵押价值")</f>
        <v>——</v>
      </c>
      <c r="F107" s="2776"/>
      <c r="G107" s="2777" t="s">
        <v>963</v>
      </c>
      <c r="H107" s="2778" t="str">
        <f ca="1">IF(E107="——","——",H101-H103)</f>
        <v>——</v>
      </c>
      <c r="I107" s="1037"/>
    </row>
    <row r="108" ht="18.75" customHeight="1" spans="1:9">
      <c r="A108" s="1037"/>
      <c r="B108" s="1037"/>
      <c r="C108" s="1037"/>
      <c r="D108" s="1037"/>
      <c r="E108" s="2797"/>
      <c r="F108" s="2776"/>
      <c r="G108" s="2777" t="s">
        <v>99</v>
      </c>
      <c r="H108" s="2642">
        <f ca="1">IF(H107=H101,H102,ROUND(H107*10000/'数据-汇总表'!E3,0))</f>
        <v>0</v>
      </c>
      <c r="I108" s="1037"/>
    </row>
    <row r="109" ht="18.75" customHeight="1" spans="1:9">
      <c r="A109" s="1037"/>
      <c r="B109" s="1037"/>
      <c r="C109" s="1037"/>
      <c r="D109" s="1037"/>
      <c r="E109" s="2797" t="str">
        <f>IF(项目基本情况!E8="已注销及未注销","4.抵押担保权已注销时的房地产抵押价值",IF(项目基本情况!E8="已注销","3.抵押担保权已注销时的房地产抵押价值","——"))</f>
        <v>3.抵押担保权已注销时的房地产抵押价值</v>
      </c>
      <c r="F109" s="2776"/>
      <c r="G109" s="2777" t="s">
        <v>963</v>
      </c>
      <c r="H109" s="2798" t="str">
        <f ca="1">IF(E109="——","——",H101-H105-H106)</f>
        <v>——</v>
      </c>
      <c r="I109" s="1037"/>
    </row>
    <row r="110" ht="18.75" customHeight="1" spans="1:9">
      <c r="A110" s="1037"/>
      <c r="B110" s="1037"/>
      <c r="C110" s="1037"/>
      <c r="D110" s="1037"/>
      <c r="E110" s="2797"/>
      <c r="F110" s="2776"/>
      <c r="G110" s="2777" t="s">
        <v>99</v>
      </c>
      <c r="H110" s="2642" t="str">
        <f ca="1">IF(H109="——","——",ROUND(H109*10000/'数据-汇总表'!E3,0))</f>
        <v>——</v>
      </c>
      <c r="I110" s="1037"/>
    </row>
    <row r="111" ht="18.75" customHeight="1" spans="1:9">
      <c r="A111" s="1037"/>
      <c r="B111" s="1037"/>
      <c r="C111" s="1037"/>
      <c r="D111" s="1037"/>
      <c r="E111" s="2799" t="str">
        <f>IF(项目基本情况!E9="抵押净值",IF(OR(项目基本情况!E8="已注销",项目基本情况!E8="房地产抵押价值"),"4.抵押净值","5.抵押净值"),"——")</f>
        <v>——</v>
      </c>
      <c r="F111" s="2800"/>
      <c r="G111" s="2777" t="s">
        <v>963</v>
      </c>
      <c r="H111" s="2778" t="str">
        <f ca="1">IF(E111="——","——",N59)</f>
        <v>——</v>
      </c>
      <c r="I111" s="1037"/>
    </row>
    <row r="112" ht="18.75" customHeight="1" spans="1:9">
      <c r="A112" s="1037"/>
      <c r="B112" s="1037"/>
      <c r="C112" s="1037"/>
      <c r="D112" s="1037"/>
      <c r="E112" s="2801"/>
      <c r="F112" s="2802"/>
      <c r="G112" s="2803" t="s">
        <v>99</v>
      </c>
      <c r="H112" s="2804" t="str">
        <f ca="1">IF(E111="——","——",N61)</f>
        <v>——</v>
      </c>
      <c r="I112" s="1037"/>
    </row>
    <row r="113" ht="18.75" customHeight="1" spans="1:9">
      <c r="A113" s="1037"/>
      <c r="B113" s="1037"/>
      <c r="C113" s="1037"/>
      <c r="D113" s="1037"/>
      <c r="E113" s="2805" t="s">
        <v>969</v>
      </c>
      <c r="F113" s="2805"/>
      <c r="G113" s="2805"/>
      <c r="H113" s="2805"/>
      <c r="I113" s="1037"/>
    </row>
    <row r="114" ht="3.75" customHeight="1" spans="1:9">
      <c r="A114" s="2505"/>
      <c r="B114" s="2505"/>
      <c r="C114" s="2505"/>
      <c r="D114" s="2505"/>
      <c r="E114" s="2655"/>
      <c r="F114" s="2655"/>
      <c r="G114" s="2655"/>
      <c r="H114" s="2655"/>
      <c r="I114" s="2505"/>
    </row>
    <row r="115" ht="18.75" customHeight="1" spans="1:9">
      <c r="A115" s="2806" t="s">
        <v>971</v>
      </c>
      <c r="B115" s="2807"/>
      <c r="C115" s="2807"/>
      <c r="D115" s="2807"/>
      <c r="E115" s="2807"/>
      <c r="F115" s="2807"/>
      <c r="G115" s="2807"/>
      <c r="H115" s="2807"/>
      <c r="I115" s="2829"/>
    </row>
    <row r="116" ht="27" customHeight="1" spans="1:9">
      <c r="A116" s="2518" t="s">
        <v>972</v>
      </c>
      <c r="B116" s="2808" t="s">
        <v>973</v>
      </c>
      <c r="C116" s="2808" t="s">
        <v>974</v>
      </c>
      <c r="D116" s="2809" t="s">
        <v>975</v>
      </c>
      <c r="E116" s="2810"/>
      <c r="F116" s="2811" t="s">
        <v>976</v>
      </c>
      <c r="G116" s="2811"/>
      <c r="H116" s="2518" t="s">
        <v>977</v>
      </c>
      <c r="I116" s="2518"/>
    </row>
    <row r="117" ht="18.75" customHeight="1" spans="1:9">
      <c r="A117" s="2518"/>
      <c r="B117" s="2812"/>
      <c r="C117" s="2812"/>
      <c r="D117" s="2518" t="s">
        <v>978</v>
      </c>
      <c r="E117" s="2518" t="s">
        <v>804</v>
      </c>
      <c r="F117" s="2518" t="s">
        <v>978</v>
      </c>
      <c r="G117" s="2518" t="s">
        <v>804</v>
      </c>
      <c r="H117" s="2518" t="s">
        <v>978</v>
      </c>
      <c r="I117" s="2518" t="s">
        <v>804</v>
      </c>
    </row>
    <row r="118" ht="24.75" customHeight="1" spans="1:9">
      <c r="A118" s="2813" t="str">
        <f>项目基本情况!S2</f>
        <v>北京市房地产</v>
      </c>
      <c r="B118" s="2518">
        <f>M18</f>
        <v>0</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9">
      <c r="A119" s="2518" t="s">
        <v>979</v>
      </c>
      <c r="B119" s="2518"/>
      <c r="C119" s="2518"/>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
      </c>
      <c r="B120" s="2817"/>
      <c r="C120" s="2818"/>
      <c r="D120" s="2816">
        <f>H103</f>
        <v>0</v>
      </c>
      <c r="E120" s="2817"/>
      <c r="F120" s="2817"/>
      <c r="G120" s="2817"/>
      <c r="H120" s="2817"/>
      <c r="I120" s="2818"/>
      <c r="J120" s="2502"/>
      <c r="K120" s="2502" t="str">
        <f>IF(D120=0,"故，本次评估不存在"&amp;A120,"故，本次评估"&amp;A120&amp;"为人民币"&amp;D120&amp;"万元整。")</f>
        <v>故，本次评估不存在</v>
      </c>
      <c r="L120" s="2502"/>
      <c r="M120" s="2502"/>
      <c r="N120" s="2502"/>
      <c r="O120" s="2502"/>
      <c r="P120" s="2502"/>
      <c r="Q120" s="2502"/>
      <c r="R120" s="2502"/>
      <c r="S120" s="2502"/>
    </row>
    <row r="121" ht="18.75" customHeight="1" spans="1:27">
      <c r="A121" s="2814" t="s">
        <v>979</v>
      </c>
      <c r="B121" s="2819"/>
      <c r="C121" s="2815"/>
      <c r="D121" s="2814" t="str">
        <f>IF(D120=0,"零元整",NUMBERSTRING(INT(D120*10000),2)&amp;"元整")</f>
        <v>零元整</v>
      </c>
      <c r="E121" s="2819"/>
      <c r="F121" s="2819"/>
      <c r="G121" s="2819"/>
      <c r="H121" s="2819"/>
      <c r="I121" s="2815"/>
      <c r="AA121" s="993"/>
    </row>
    <row r="122" ht="18.75" customHeight="1" spans="1:27">
      <c r="A122" s="2800" t="str">
        <f>IF(项目基本情况!B9="房地产市场价值","",MID(E107,3,LEN(E107)-2))</f>
        <v/>
      </c>
      <c r="B122" s="2800"/>
      <c r="C122" s="2800"/>
      <c r="D122" s="2816" t="str">
        <f ca="1">H107</f>
        <v>——</v>
      </c>
      <c r="E122" s="2817"/>
      <c r="F122" s="2817"/>
      <c r="G122" s="2817"/>
      <c r="H122" s="2817"/>
      <c r="I122" s="2818"/>
      <c r="AA122" s="993"/>
    </row>
    <row r="123" ht="18.75" customHeight="1" spans="1:27">
      <c r="A123" s="2518" t="s">
        <v>979</v>
      </c>
      <c r="B123" s="2518"/>
      <c r="C123" s="2518"/>
      <c r="D123" s="2814" t="e">
        <f ca="1">NUMBERSTRING(INT(D122*10000),2)&amp;"元整"</f>
        <v>#VALUE!</v>
      </c>
      <c r="E123" s="2819"/>
      <c r="F123" s="2819"/>
      <c r="G123" s="2819"/>
      <c r="H123" s="2819"/>
      <c r="I123" s="2815"/>
      <c r="AA123" s="993"/>
    </row>
    <row r="124" ht="18.75" customHeight="1" spans="1:27">
      <c r="A124" s="2800" t="str">
        <f>IF(项目基本情况!B9="房地产市场价值","",MID(E109,3,LEN(E109)-2))</f>
        <v/>
      </c>
      <c r="B124" s="2800"/>
      <c r="C124" s="2800"/>
      <c r="D124" s="2816" t="str">
        <f ca="1">H109</f>
        <v>——</v>
      </c>
      <c r="E124" s="2817"/>
      <c r="F124" s="2817"/>
      <c r="G124" s="2817"/>
      <c r="H124" s="2817"/>
      <c r="I124" s="2818"/>
      <c r="AA124" s="993"/>
    </row>
    <row r="125" ht="18.75" customHeight="1" spans="1:27">
      <c r="A125" s="2518" t="s">
        <v>979</v>
      </c>
      <c r="B125" s="2518"/>
      <c r="C125" s="2518"/>
      <c r="D125" s="2814" t="e">
        <f ca="1">NUMBERSTRING(INT(D124*10000),2)&amp;"元整"</f>
        <v>#VALUE!</v>
      </c>
      <c r="E125" s="2819"/>
      <c r="F125" s="2819"/>
      <c r="G125" s="2819"/>
      <c r="H125" s="2819"/>
      <c r="I125" s="2815"/>
      <c r="AA125" s="993"/>
    </row>
    <row r="126" ht="18.75" customHeight="1" spans="1:27">
      <c r="A126" s="2800" t="str">
        <f>IF(项目基本情况!B9="房地产市场价值","",MID(E111,3,LEN(E111)-2))</f>
        <v/>
      </c>
      <c r="B126" s="2800"/>
      <c r="C126" s="2800"/>
      <c r="D126" s="2816" t="str">
        <f ca="1">H111</f>
        <v>——</v>
      </c>
      <c r="E126" s="2817"/>
      <c r="F126" s="2817"/>
      <c r="G126" s="2817"/>
      <c r="H126" s="2817"/>
      <c r="I126" s="2818"/>
      <c r="AA126" s="993"/>
    </row>
    <row r="127" ht="18.75" customHeight="1" spans="1:27">
      <c r="A127" s="2518" t="s">
        <v>979</v>
      </c>
      <c r="B127" s="2518"/>
      <c r="C127" s="2518"/>
      <c r="D127" s="2814" t="e">
        <f ca="1">NUMBERSTRING(INT(D126*10000),2)&amp;"元整"</f>
        <v>#VALUE!</v>
      </c>
      <c r="E127" s="2819"/>
      <c r="F127" s="2819"/>
      <c r="G127" s="2819"/>
      <c r="H127" s="2819"/>
      <c r="I127" s="2815"/>
      <c r="AA127" s="993"/>
    </row>
    <row r="128" customHeight="1" spans="1:27">
      <c r="A128" s="2147" t="s">
        <v>113</v>
      </c>
      <c r="B128" s="2147"/>
      <c r="C128" s="2147"/>
      <c r="D128" s="2147"/>
      <c r="E128" s="2147"/>
      <c r="F128" s="2147"/>
      <c r="G128" s="2147"/>
      <c r="H128" s="2147"/>
      <c r="I128" s="2147"/>
      <c r="AA128" s="993"/>
    </row>
    <row r="129" customHeight="1" spans="1:27">
      <c r="A129" s="2831" t="s">
        <v>980</v>
      </c>
      <c r="B129" s="2832"/>
      <c r="C129" s="2833" t="s">
        <v>981</v>
      </c>
      <c r="D129" s="2834"/>
      <c r="E129" s="2834"/>
      <c r="F129" s="2834"/>
      <c r="G129" s="2834"/>
      <c r="H129" s="2835"/>
      <c r="I129" s="2850"/>
      <c r="AA129" s="993"/>
    </row>
    <row r="130" customHeight="1" spans="1:27">
      <c r="A130" s="2836">
        <v>1</v>
      </c>
      <c r="B130" s="2837"/>
      <c r="C130" s="2837"/>
      <c r="D130" s="2838"/>
      <c r="E130" s="2838"/>
      <c r="F130" s="2838"/>
      <c r="G130" s="2838"/>
      <c r="H130" s="2839"/>
      <c r="I130" s="2851"/>
      <c r="AA130" s="993"/>
    </row>
    <row r="131" customHeight="1" spans="1:27">
      <c r="A131" s="2836">
        <v>2</v>
      </c>
      <c r="B131" s="2837"/>
      <c r="C131" s="2837"/>
      <c r="D131" s="2838"/>
      <c r="E131" s="2838"/>
      <c r="F131" s="2838"/>
      <c r="G131" s="2838"/>
      <c r="H131" s="2839"/>
      <c r="I131" s="2851"/>
      <c r="AA131" s="993"/>
    </row>
    <row r="132" customHeight="1" spans="1:27">
      <c r="A132" s="2836">
        <v>3</v>
      </c>
      <c r="B132" s="2837"/>
      <c r="C132" s="2837"/>
      <c r="D132" s="2838"/>
      <c r="E132" s="2838"/>
      <c r="F132" s="2838"/>
      <c r="G132" s="2838"/>
      <c r="H132" s="2839"/>
      <c r="I132" s="2851"/>
      <c r="AA132" s="993"/>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993"/>
    </row>
    <row r="135" customHeight="1" spans="1:9">
      <c r="A135" s="993"/>
      <c r="B135" s="993"/>
      <c r="C135" s="993"/>
      <c r="D135" s="993"/>
      <c r="E135" s="993"/>
      <c r="F135" s="2844" t="s">
        <v>982</v>
      </c>
      <c r="G135" s="2845"/>
      <c r="H135" s="2845"/>
      <c r="I135" s="2853" t="s">
        <v>983</v>
      </c>
    </row>
    <row r="136" customHeight="1" spans="1:9">
      <c r="A136" s="993"/>
      <c r="B136" s="2846" t="s">
        <v>984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5"/>
      <c r="C138" s="2845"/>
      <c r="D138" s="2845"/>
      <c r="E138" s="2845"/>
      <c r="F138" s="2845"/>
      <c r="G138" s="2845"/>
      <c r="H138" s="2845"/>
      <c r="I138" s="2853" t="s">
        <v>985</v>
      </c>
    </row>
    <row r="139" customHeight="1" spans="1:9">
      <c r="A139" s="993"/>
      <c r="B139" s="2846" t="s">
        <v>986</v>
      </c>
      <c r="C139" s="993"/>
      <c r="D139" s="993"/>
      <c r="E139" s="993"/>
      <c r="F139" s="993"/>
      <c r="G139" s="993"/>
      <c r="H139" s="993"/>
      <c r="I139" s="993"/>
    </row>
    <row r="140" customHeight="1" spans="1:9">
      <c r="A140" s="993"/>
      <c r="B140" s="2846"/>
      <c r="C140" s="993"/>
      <c r="D140" s="993"/>
      <c r="E140" s="993"/>
      <c r="F140" s="993"/>
      <c r="G140" s="993"/>
      <c r="H140" s="993"/>
      <c r="I140" s="993"/>
    </row>
    <row r="141" customHeight="1" spans="1:9">
      <c r="A141" s="993"/>
      <c r="B141" s="2845"/>
      <c r="C141" s="2845"/>
      <c r="D141" s="2845"/>
      <c r="E141" s="2845"/>
      <c r="F141" s="2845"/>
      <c r="G141" s="2845"/>
      <c r="H141" s="2845"/>
      <c r="I141" s="2853" t="s">
        <v>985</v>
      </c>
    </row>
    <row r="142" customHeight="1" spans="1:9">
      <c r="A142" s="993"/>
      <c r="B142" s="2846"/>
      <c r="C142" s="2847"/>
      <c r="D142" s="2848"/>
      <c r="E142" s="2848"/>
      <c r="F142" s="2849"/>
      <c r="G142" s="993"/>
      <c r="H142" s="993"/>
      <c r="I142" s="993"/>
    </row>
    <row r="143" s="990" customFormat="1" customHeight="1" spans="1:35">
      <c r="A143" s="993"/>
      <c r="B143" s="2846"/>
      <c r="C143" s="2847"/>
      <c r="D143" s="2848"/>
      <c r="E143" s="2848"/>
      <c r="F143" s="284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2" customFormat="1" customHeight="1" spans="10:26">
      <c r="J409" s="993"/>
      <c r="K409" s="993"/>
      <c r="L409" s="993"/>
      <c r="M409" s="993"/>
      <c r="N409" s="993"/>
      <c r="O409" s="993"/>
      <c r="P409" s="993"/>
      <c r="Q409" s="993"/>
      <c r="R409" s="993"/>
      <c r="S409" s="993"/>
      <c r="T409" s="993"/>
      <c r="U409" s="993"/>
      <c r="V409" s="993"/>
      <c r="W409" s="993"/>
      <c r="X409" s="993"/>
      <c r="Y409" s="993"/>
      <c r="Z409" s="993"/>
    </row>
    <row r="410" s="2502" customFormat="1" customHeight="1" spans="10:26">
      <c r="J410" s="993"/>
      <c r="K410" s="993"/>
      <c r="L410" s="993"/>
      <c r="M410" s="993"/>
      <c r="N410" s="993"/>
      <c r="O410" s="993"/>
      <c r="P410" s="993"/>
      <c r="Q410" s="993"/>
      <c r="R410" s="993"/>
      <c r="S410" s="993"/>
      <c r="T410" s="993"/>
      <c r="U410" s="993"/>
      <c r="V410" s="993"/>
      <c r="W410" s="993"/>
      <c r="X410" s="993"/>
      <c r="Y410" s="993"/>
      <c r="Z410" s="993"/>
    </row>
    <row r="411" s="2502" customFormat="1" customHeight="1" spans="10:26">
      <c r="J411" s="993"/>
      <c r="K411" s="993"/>
      <c r="L411" s="993"/>
      <c r="M411" s="993"/>
      <c r="N411" s="993"/>
      <c r="O411" s="993"/>
      <c r="P411" s="993"/>
      <c r="Q411" s="993"/>
      <c r="R411" s="993"/>
      <c r="S411" s="993"/>
      <c r="T411" s="993"/>
      <c r="U411" s="993"/>
      <c r="V411" s="993"/>
      <c r="W411" s="993"/>
      <c r="X411" s="993"/>
      <c r="Y411" s="993"/>
      <c r="Z411" s="993"/>
    </row>
    <row r="412" s="2502" customFormat="1" customHeight="1" spans="10:26">
      <c r="J412" s="993"/>
      <c r="K412" s="993"/>
      <c r="L412" s="993"/>
      <c r="M412" s="993"/>
      <c r="N412" s="993"/>
      <c r="O412" s="993"/>
      <c r="P412" s="993"/>
      <c r="Q412" s="993"/>
      <c r="R412" s="993"/>
      <c r="S412" s="993"/>
      <c r="T412" s="993"/>
      <c r="U412" s="993"/>
      <c r="V412" s="993"/>
      <c r="W412" s="993"/>
      <c r="X412" s="993"/>
      <c r="Y412" s="993"/>
      <c r="Z412" s="993"/>
    </row>
    <row r="413" s="2502" customFormat="1" customHeight="1" spans="10:26">
      <c r="J413" s="993"/>
      <c r="K413" s="993"/>
      <c r="L413" s="993"/>
      <c r="M413" s="993"/>
      <c r="N413" s="993"/>
      <c r="O413" s="993"/>
      <c r="P413" s="993"/>
      <c r="Q413" s="993"/>
      <c r="R413" s="993"/>
      <c r="S413" s="993"/>
      <c r="T413" s="993"/>
      <c r="U413" s="993"/>
      <c r="V413" s="993"/>
      <c r="W413" s="993"/>
      <c r="X413" s="993"/>
      <c r="Y413" s="993"/>
      <c r="Z413" s="993"/>
    </row>
    <row r="414" s="2502" customFormat="1" customHeight="1" spans="10:26">
      <c r="J414" s="993"/>
      <c r="K414" s="993"/>
      <c r="L414" s="993"/>
      <c r="M414" s="993"/>
      <c r="N414" s="993"/>
      <c r="O414" s="993"/>
      <c r="P414" s="993"/>
      <c r="Q414" s="993"/>
      <c r="R414" s="993"/>
      <c r="S414" s="993"/>
      <c r="T414" s="993"/>
      <c r="U414" s="993"/>
      <c r="V414" s="993"/>
      <c r="W414" s="993"/>
      <c r="X414" s="993"/>
      <c r="Y414" s="993"/>
      <c r="Z414" s="993"/>
    </row>
    <row r="415" s="2502" customFormat="1" customHeight="1" spans="10:26">
      <c r="J415" s="993"/>
      <c r="K415" s="993"/>
      <c r="L415" s="993"/>
      <c r="M415" s="993"/>
      <c r="N415" s="993"/>
      <c r="O415" s="993"/>
      <c r="P415" s="993"/>
      <c r="Q415" s="993"/>
      <c r="R415" s="993"/>
      <c r="S415" s="993"/>
      <c r="T415" s="993"/>
      <c r="U415" s="993"/>
      <c r="V415" s="993"/>
      <c r="W415" s="993"/>
      <c r="X415" s="993"/>
      <c r="Y415" s="993"/>
      <c r="Z415" s="993"/>
    </row>
    <row r="416" s="2502" customFormat="1" customHeight="1" spans="10:26">
      <c r="J416" s="993"/>
      <c r="K416" s="993"/>
      <c r="L416" s="993"/>
      <c r="M416" s="993"/>
      <c r="N416" s="993"/>
      <c r="O416" s="993"/>
      <c r="P416" s="993"/>
      <c r="Q416" s="993"/>
      <c r="R416" s="993"/>
      <c r="S416" s="993"/>
      <c r="T416" s="993"/>
      <c r="U416" s="993"/>
      <c r="V416" s="993"/>
      <c r="W416" s="993"/>
      <c r="X416" s="993"/>
      <c r="Y416" s="993"/>
      <c r="Z416" s="993"/>
    </row>
    <row r="417" s="2502" customFormat="1" customHeight="1" spans="10:26">
      <c r="J417" s="993"/>
      <c r="K417" s="993"/>
      <c r="L417" s="993"/>
      <c r="M417" s="993"/>
      <c r="N417" s="993"/>
      <c r="O417" s="993"/>
      <c r="P417" s="993"/>
      <c r="Q417" s="993"/>
      <c r="R417" s="993"/>
      <c r="S417" s="993"/>
      <c r="T417" s="993"/>
      <c r="U417" s="993"/>
      <c r="V417" s="993"/>
      <c r="W417" s="993"/>
      <c r="X417" s="993"/>
      <c r="Y417" s="993"/>
      <c r="Z417" s="993"/>
    </row>
    <row r="418" s="2502" customFormat="1" customHeight="1" spans="10:26">
      <c r="J418" s="993"/>
      <c r="K418" s="993"/>
      <c r="L418" s="993"/>
      <c r="M418" s="993"/>
      <c r="N418" s="993"/>
      <c r="O418" s="993"/>
      <c r="P418" s="993"/>
      <c r="Q418" s="993"/>
      <c r="R418" s="993"/>
      <c r="S418" s="993"/>
      <c r="T418" s="993"/>
      <c r="U418" s="993"/>
      <c r="V418" s="993"/>
      <c r="W418" s="993"/>
      <c r="X418" s="993"/>
      <c r="Y418" s="993"/>
      <c r="Z418" s="993"/>
    </row>
    <row r="419" s="2502" customFormat="1" customHeight="1" spans="10:26">
      <c r="J419" s="993"/>
      <c r="K419" s="993"/>
      <c r="L419" s="993"/>
      <c r="M419" s="993"/>
      <c r="N419" s="993"/>
      <c r="O419" s="993"/>
      <c r="P419" s="993"/>
      <c r="Q419" s="993"/>
      <c r="R419" s="993"/>
      <c r="S419" s="993"/>
      <c r="T419" s="993"/>
      <c r="U419" s="993"/>
      <c r="V419" s="993"/>
      <c r="W419" s="993"/>
      <c r="X419" s="993"/>
      <c r="Y419" s="993"/>
      <c r="Z419" s="993"/>
    </row>
    <row r="420" s="2502" customFormat="1" customHeight="1" spans="10:26">
      <c r="J420" s="993"/>
      <c r="K420" s="993"/>
      <c r="L420" s="993"/>
      <c r="M420" s="993"/>
      <c r="N420" s="993"/>
      <c r="O420" s="993"/>
      <c r="P420" s="993"/>
      <c r="Q420" s="993"/>
      <c r="R420" s="993"/>
      <c r="S420" s="993"/>
      <c r="T420" s="993"/>
      <c r="U420" s="993"/>
      <c r="V420" s="993"/>
      <c r="W420" s="993"/>
      <c r="X420" s="993"/>
      <c r="Y420" s="993"/>
      <c r="Z420" s="993"/>
    </row>
    <row r="421" s="2502" customFormat="1" customHeight="1" spans="10:26">
      <c r="J421" s="993"/>
      <c r="K421" s="993"/>
      <c r="L421" s="993"/>
      <c r="M421" s="993"/>
      <c r="N421" s="993"/>
      <c r="O421" s="993"/>
      <c r="P421" s="993"/>
      <c r="Q421" s="993"/>
      <c r="R421" s="993"/>
      <c r="S421" s="993"/>
      <c r="T421" s="993"/>
      <c r="U421" s="993"/>
      <c r="V421" s="993"/>
      <c r="W421" s="993"/>
      <c r="X421" s="993"/>
      <c r="Y421" s="993"/>
      <c r="Z421" s="993"/>
    </row>
    <row r="422" s="2502" customFormat="1" customHeight="1" spans="10:26">
      <c r="J422" s="993"/>
      <c r="K422" s="993"/>
      <c r="L422" s="993"/>
      <c r="M422" s="993"/>
      <c r="N422" s="993"/>
      <c r="O422" s="993"/>
      <c r="P422" s="993"/>
      <c r="Q422" s="993"/>
      <c r="R422" s="993"/>
      <c r="S422" s="993"/>
      <c r="T422" s="993"/>
      <c r="U422" s="993"/>
      <c r="V422" s="993"/>
      <c r="W422" s="993"/>
      <c r="X422" s="993"/>
      <c r="Y422" s="993"/>
      <c r="Z422" s="993"/>
    </row>
    <row r="423" s="2502" customFormat="1" customHeight="1" spans="10:26">
      <c r="J423" s="993"/>
      <c r="K423" s="993"/>
      <c r="L423" s="993"/>
      <c r="M423" s="993"/>
      <c r="N423" s="993"/>
      <c r="O423" s="993"/>
      <c r="P423" s="993"/>
      <c r="Q423" s="993"/>
      <c r="R423" s="993"/>
      <c r="S423" s="993"/>
      <c r="T423" s="993"/>
      <c r="U423" s="993"/>
      <c r="V423" s="993"/>
      <c r="W423" s="993"/>
      <c r="X423" s="993"/>
      <c r="Y423" s="993"/>
      <c r="Z423" s="993"/>
    </row>
    <row r="424" s="2502" customFormat="1" customHeight="1" spans="10:26">
      <c r="J424" s="993"/>
      <c r="K424" s="993"/>
      <c r="L424" s="993"/>
      <c r="M424" s="993"/>
      <c r="N424" s="993"/>
      <c r="O424" s="993"/>
      <c r="P424" s="993"/>
      <c r="Q424" s="993"/>
      <c r="R424" s="993"/>
      <c r="S424" s="993"/>
      <c r="T424" s="993"/>
      <c r="U424" s="993"/>
      <c r="V424" s="993"/>
      <c r="W424" s="993"/>
      <c r="X424" s="993"/>
      <c r="Y424" s="993"/>
      <c r="Z424" s="993"/>
    </row>
    <row r="425" s="2502" customFormat="1" customHeight="1" spans="10:26">
      <c r="J425" s="993"/>
      <c r="K425" s="993"/>
      <c r="L425" s="993"/>
      <c r="M425" s="993"/>
      <c r="N425" s="993"/>
      <c r="O425" s="993"/>
      <c r="P425" s="993"/>
      <c r="Q425" s="993"/>
      <c r="R425" s="993"/>
      <c r="S425" s="993"/>
      <c r="T425" s="993"/>
      <c r="U425" s="993"/>
      <c r="V425" s="993"/>
      <c r="W425" s="993"/>
      <c r="X425" s="993"/>
      <c r="Y425" s="993"/>
      <c r="Z425" s="993"/>
    </row>
    <row r="426" s="2502" customFormat="1" customHeight="1" spans="10:26">
      <c r="J426" s="993"/>
      <c r="K426" s="993"/>
      <c r="L426" s="993"/>
      <c r="M426" s="993"/>
      <c r="N426" s="993"/>
      <c r="O426" s="993"/>
      <c r="P426" s="993"/>
      <c r="Q426" s="993"/>
      <c r="R426" s="993"/>
      <c r="S426" s="993"/>
      <c r="T426" s="993"/>
      <c r="U426" s="993"/>
      <c r="V426" s="993"/>
      <c r="W426" s="993"/>
      <c r="X426" s="993"/>
      <c r="Y426" s="993"/>
      <c r="Z426" s="993"/>
    </row>
    <row r="427" s="2502" customFormat="1" customHeight="1" spans="10:26">
      <c r="J427" s="993"/>
      <c r="K427" s="993"/>
      <c r="L427" s="993"/>
      <c r="M427" s="993"/>
      <c r="N427" s="993"/>
      <c r="O427" s="993"/>
      <c r="P427" s="993"/>
      <c r="Q427" s="993"/>
      <c r="R427" s="993"/>
      <c r="S427" s="993"/>
      <c r="T427" s="993"/>
      <c r="U427" s="993"/>
      <c r="V427" s="993"/>
      <c r="W427" s="993"/>
      <c r="X427" s="993"/>
      <c r="Y427" s="993"/>
      <c r="Z427" s="993"/>
    </row>
    <row r="428" s="2502" customFormat="1" customHeight="1" spans="10:26">
      <c r="J428" s="993"/>
      <c r="K428" s="993"/>
      <c r="L428" s="993"/>
      <c r="M428" s="993"/>
      <c r="N428" s="993"/>
      <c r="O428" s="993"/>
      <c r="P428" s="993"/>
      <c r="Q428" s="993"/>
      <c r="R428" s="993"/>
      <c r="S428" s="993"/>
      <c r="T428" s="993"/>
      <c r="U428" s="993"/>
      <c r="V428" s="993"/>
      <c r="W428" s="993"/>
      <c r="X428" s="993"/>
      <c r="Y428" s="993"/>
      <c r="Z428" s="993"/>
    </row>
    <row r="429" s="2502" customFormat="1" customHeight="1" spans="10:26">
      <c r="J429" s="993"/>
      <c r="K429" s="993"/>
      <c r="L429" s="993"/>
      <c r="M429" s="993"/>
      <c r="N429" s="993"/>
      <c r="O429" s="993"/>
      <c r="P429" s="993"/>
      <c r="Q429" s="993"/>
      <c r="R429" s="993"/>
      <c r="S429" s="993"/>
      <c r="T429" s="993"/>
      <c r="U429" s="993"/>
      <c r="V429" s="993"/>
      <c r="W429" s="993"/>
      <c r="X429" s="993"/>
      <c r="Y429" s="993"/>
      <c r="Z429" s="993"/>
    </row>
    <row r="430" s="2502" customFormat="1" customHeight="1" spans="10:26">
      <c r="J430" s="993"/>
      <c r="K430" s="993"/>
      <c r="L430" s="993"/>
      <c r="M430" s="993"/>
      <c r="N430" s="993"/>
      <c r="O430" s="993"/>
      <c r="P430" s="993"/>
      <c r="Q430" s="993"/>
      <c r="R430" s="993"/>
      <c r="S430" s="993"/>
      <c r="T430" s="993"/>
      <c r="U430" s="993"/>
      <c r="V430" s="993"/>
      <c r="W430" s="993"/>
      <c r="X430" s="993"/>
      <c r="Y430" s="993"/>
      <c r="Z430" s="993"/>
    </row>
    <row r="431" s="2502" customFormat="1" customHeight="1" spans="10:26">
      <c r="J431" s="993"/>
      <c r="K431" s="993"/>
      <c r="L431" s="993"/>
      <c r="M431" s="993"/>
      <c r="N431" s="993"/>
      <c r="O431" s="993"/>
      <c r="P431" s="993"/>
      <c r="Q431" s="993"/>
      <c r="R431" s="993"/>
      <c r="S431" s="993"/>
      <c r="T431" s="993"/>
      <c r="U431" s="993"/>
      <c r="V431" s="993"/>
      <c r="W431" s="993"/>
      <c r="X431" s="993"/>
      <c r="Y431" s="993"/>
      <c r="Z431" s="993"/>
    </row>
    <row r="432" s="2502" customFormat="1" customHeight="1" spans="10:26">
      <c r="J432" s="993"/>
      <c r="K432" s="993"/>
      <c r="L432" s="993"/>
      <c r="M432" s="993"/>
      <c r="N432" s="993"/>
      <c r="O432" s="993"/>
      <c r="P432" s="993"/>
      <c r="Q432" s="993"/>
      <c r="R432" s="993"/>
      <c r="S432" s="993"/>
      <c r="T432" s="993"/>
      <c r="U432" s="993"/>
      <c r="V432" s="993"/>
      <c r="W432" s="993"/>
      <c r="X432" s="993"/>
      <c r="Y432" s="993"/>
      <c r="Z432" s="993"/>
    </row>
    <row r="433" s="2502" customFormat="1" customHeight="1" spans="10:26">
      <c r="J433" s="993"/>
      <c r="K433" s="993"/>
      <c r="L433" s="993"/>
      <c r="M433" s="993"/>
      <c r="N433" s="993"/>
      <c r="O433" s="993"/>
      <c r="P433" s="993"/>
      <c r="Q433" s="993"/>
      <c r="R433" s="993"/>
      <c r="S433" s="993"/>
      <c r="T433" s="993"/>
      <c r="U433" s="993"/>
      <c r="V433" s="993"/>
      <c r="W433" s="993"/>
      <c r="X433" s="993"/>
      <c r="Y433" s="993"/>
      <c r="Z433" s="993"/>
    </row>
    <row r="434" s="2502" customFormat="1" customHeight="1" spans="10:26">
      <c r="J434" s="993"/>
      <c r="K434" s="993"/>
      <c r="L434" s="993"/>
      <c r="M434" s="993"/>
      <c r="N434" s="993"/>
      <c r="O434" s="993"/>
      <c r="P434" s="993"/>
      <c r="Q434" s="993"/>
      <c r="R434" s="993"/>
      <c r="S434" s="993"/>
      <c r="T434" s="993"/>
      <c r="U434" s="993"/>
      <c r="V434" s="993"/>
      <c r="W434" s="993"/>
      <c r="X434" s="993"/>
      <c r="Y434" s="993"/>
      <c r="Z434" s="993"/>
    </row>
    <row r="435" s="2502" customFormat="1" customHeight="1" spans="10:26">
      <c r="J435" s="993"/>
      <c r="K435" s="993"/>
      <c r="L435" s="993"/>
      <c r="M435" s="993"/>
      <c r="N435" s="993"/>
      <c r="O435" s="993"/>
      <c r="P435" s="993"/>
      <c r="Q435" s="993"/>
      <c r="R435" s="993"/>
      <c r="S435" s="993"/>
      <c r="T435" s="993"/>
      <c r="U435" s="993"/>
      <c r="V435" s="993"/>
      <c r="W435" s="993"/>
      <c r="X435" s="993"/>
      <c r="Y435" s="993"/>
      <c r="Z435" s="993"/>
    </row>
    <row r="436" s="2502" customFormat="1" customHeight="1" spans="10:26">
      <c r="J436" s="993"/>
      <c r="K436" s="993"/>
      <c r="L436" s="993"/>
      <c r="M436" s="993"/>
      <c r="N436" s="993"/>
      <c r="O436" s="993"/>
      <c r="P436" s="993"/>
      <c r="Q436" s="993"/>
      <c r="R436" s="993"/>
      <c r="S436" s="993"/>
      <c r="T436" s="993"/>
      <c r="U436" s="993"/>
      <c r="V436" s="993"/>
      <c r="W436" s="993"/>
      <c r="X436" s="993"/>
      <c r="Y436" s="993"/>
      <c r="Z436" s="993"/>
    </row>
    <row r="437" s="2502" customFormat="1" customHeight="1" spans="10:26">
      <c r="J437" s="993"/>
      <c r="K437" s="993"/>
      <c r="L437" s="993"/>
      <c r="M437" s="993"/>
      <c r="N437" s="993"/>
      <c r="O437" s="993"/>
      <c r="P437" s="993"/>
      <c r="Q437" s="993"/>
      <c r="R437" s="993"/>
      <c r="S437" s="993"/>
      <c r="T437" s="993"/>
      <c r="U437" s="993"/>
      <c r="V437" s="993"/>
      <c r="W437" s="993"/>
      <c r="X437" s="993"/>
      <c r="Y437" s="993"/>
      <c r="Z437" s="993"/>
    </row>
    <row r="438" s="2502" customFormat="1" customHeight="1" spans="10:26">
      <c r="J438" s="993"/>
      <c r="K438" s="993"/>
      <c r="L438" s="993"/>
      <c r="M438" s="993"/>
      <c r="N438" s="993"/>
      <c r="O438" s="993"/>
      <c r="P438" s="993"/>
      <c r="Q438" s="993"/>
      <c r="R438" s="993"/>
      <c r="S438" s="993"/>
      <c r="T438" s="993"/>
      <c r="U438" s="993"/>
      <c r="V438" s="993"/>
      <c r="W438" s="993"/>
      <c r="X438" s="993"/>
      <c r="Y438" s="993"/>
      <c r="Z438" s="993"/>
    </row>
    <row r="439" s="2502" customFormat="1" customHeight="1" spans="10:26">
      <c r="J439" s="993"/>
      <c r="K439" s="993"/>
      <c r="L439" s="993"/>
      <c r="M439" s="993"/>
      <c r="N439" s="993"/>
      <c r="O439" s="993"/>
      <c r="P439" s="993"/>
      <c r="Q439" s="993"/>
      <c r="R439" s="993"/>
      <c r="S439" s="993"/>
      <c r="T439" s="993"/>
      <c r="U439" s="993"/>
      <c r="V439" s="993"/>
      <c r="W439" s="993"/>
      <c r="X439" s="993"/>
      <c r="Y439" s="993"/>
      <c r="Z439" s="993"/>
    </row>
    <row r="440" s="2502" customFormat="1" customHeight="1" spans="10:26">
      <c r="J440" s="993"/>
      <c r="K440" s="993"/>
      <c r="L440" s="993"/>
      <c r="M440" s="993"/>
      <c r="N440" s="993"/>
      <c r="O440" s="993"/>
      <c r="P440" s="993"/>
      <c r="Q440" s="993"/>
      <c r="R440" s="993"/>
      <c r="S440" s="993"/>
      <c r="T440" s="993"/>
      <c r="U440" s="993"/>
      <c r="V440" s="993"/>
      <c r="W440" s="993"/>
      <c r="X440" s="993"/>
      <c r="Y440" s="993"/>
      <c r="Z440" s="993"/>
    </row>
    <row r="441" s="2502" customFormat="1" customHeight="1" spans="10:26">
      <c r="J441" s="993"/>
      <c r="K441" s="993"/>
      <c r="L441" s="993"/>
      <c r="M441" s="993"/>
      <c r="N441" s="993"/>
      <c r="O441" s="993"/>
      <c r="P441" s="993"/>
      <c r="Q441" s="993"/>
      <c r="R441" s="993"/>
      <c r="S441" s="993"/>
      <c r="T441" s="993"/>
      <c r="U441" s="993"/>
      <c r="V441" s="993"/>
      <c r="W441" s="993"/>
      <c r="X441" s="993"/>
      <c r="Y441" s="993"/>
      <c r="Z441" s="993"/>
    </row>
    <row r="442" s="2502" customFormat="1" customHeight="1" spans="10:26">
      <c r="J442" s="993"/>
      <c r="K442" s="993"/>
      <c r="L442" s="993"/>
      <c r="M442" s="993"/>
      <c r="N442" s="993"/>
      <c r="O442" s="993"/>
      <c r="P442" s="993"/>
      <c r="Q442" s="993"/>
      <c r="R442" s="993"/>
      <c r="S442" s="993"/>
      <c r="T442" s="993"/>
      <c r="U442" s="993"/>
      <c r="V442" s="993"/>
      <c r="W442" s="993"/>
      <c r="X442" s="993"/>
      <c r="Y442" s="993"/>
      <c r="Z442" s="993"/>
    </row>
    <row r="443" s="2502" customFormat="1" customHeight="1" spans="10:26">
      <c r="J443" s="993"/>
      <c r="K443" s="993"/>
      <c r="L443" s="993"/>
      <c r="M443" s="993"/>
      <c r="N443" s="993"/>
      <c r="O443" s="993"/>
      <c r="P443" s="993"/>
      <c r="Q443" s="993"/>
      <c r="R443" s="993"/>
      <c r="S443" s="993"/>
      <c r="T443" s="993"/>
      <c r="U443" s="993"/>
      <c r="V443" s="993"/>
      <c r="W443" s="993"/>
      <c r="X443" s="993"/>
      <c r="Y443" s="993"/>
      <c r="Z443" s="993"/>
    </row>
    <row r="444" s="2502" customFormat="1" customHeight="1" spans="10:26">
      <c r="J444" s="993"/>
      <c r="K444" s="993"/>
      <c r="L444" s="993"/>
      <c r="M444" s="993"/>
      <c r="N444" s="993"/>
      <c r="O444" s="993"/>
      <c r="P444" s="993"/>
      <c r="Q444" s="993"/>
      <c r="R444" s="993"/>
      <c r="S444" s="993"/>
      <c r="T444" s="993"/>
      <c r="U444" s="993"/>
      <c r="V444" s="993"/>
      <c r="W444" s="993"/>
      <c r="X444" s="993"/>
      <c r="Y444" s="993"/>
      <c r="Z444" s="993"/>
    </row>
    <row r="445" s="2502" customFormat="1" customHeight="1" spans="10:26">
      <c r="J445" s="993"/>
      <c r="K445" s="993"/>
      <c r="L445" s="993"/>
      <c r="M445" s="993"/>
      <c r="N445" s="993"/>
      <c r="O445" s="993"/>
      <c r="P445" s="993"/>
      <c r="Q445" s="993"/>
      <c r="R445" s="993"/>
      <c r="S445" s="993"/>
      <c r="T445" s="993"/>
      <c r="U445" s="993"/>
      <c r="V445" s="993"/>
      <c r="W445" s="993"/>
      <c r="X445" s="993"/>
      <c r="Y445" s="993"/>
      <c r="Z445" s="993"/>
    </row>
    <row r="446" s="2502" customFormat="1" customHeight="1" spans="10:26">
      <c r="J446" s="993"/>
      <c r="K446" s="993"/>
      <c r="L446" s="993"/>
      <c r="M446" s="993"/>
      <c r="N446" s="993"/>
      <c r="O446" s="993"/>
      <c r="P446" s="993"/>
      <c r="Q446" s="993"/>
      <c r="R446" s="993"/>
      <c r="S446" s="993"/>
      <c r="T446" s="993"/>
      <c r="U446" s="993"/>
      <c r="V446" s="993"/>
      <c r="W446" s="993"/>
      <c r="X446" s="993"/>
      <c r="Y446" s="993"/>
      <c r="Z446" s="993"/>
    </row>
    <row r="447" s="2502" customFormat="1" customHeight="1" spans="10:26">
      <c r="J447" s="993"/>
      <c r="K447" s="993"/>
      <c r="L447" s="993"/>
      <c r="M447" s="993"/>
      <c r="N447" s="993"/>
      <c r="O447" s="993"/>
      <c r="P447" s="993"/>
      <c r="Q447" s="993"/>
      <c r="R447" s="993"/>
      <c r="S447" s="993"/>
      <c r="T447" s="993"/>
      <c r="U447" s="993"/>
      <c r="V447" s="993"/>
      <c r="W447" s="993"/>
      <c r="X447" s="993"/>
      <c r="Y447" s="993"/>
      <c r="Z447" s="993"/>
    </row>
    <row r="448" s="2502" customFormat="1" customHeight="1" spans="10:26">
      <c r="J448" s="993"/>
      <c r="K448" s="993"/>
      <c r="L448" s="993"/>
      <c r="M448" s="993"/>
      <c r="N448" s="993"/>
      <c r="O448" s="993"/>
      <c r="P448" s="993"/>
      <c r="Q448" s="993"/>
      <c r="R448" s="993"/>
      <c r="S448" s="993"/>
      <c r="T448" s="993"/>
      <c r="U448" s="993"/>
      <c r="V448" s="993"/>
      <c r="W448" s="993"/>
      <c r="X448" s="993"/>
      <c r="Y448" s="993"/>
      <c r="Z448" s="993"/>
    </row>
    <row r="449" s="2502" customFormat="1" customHeight="1" spans="10:26">
      <c r="J449" s="993"/>
      <c r="K449" s="993"/>
      <c r="L449" s="993"/>
      <c r="M449" s="993"/>
      <c r="N449" s="993"/>
      <c r="O449" s="993"/>
      <c r="P449" s="993"/>
      <c r="Q449" s="993"/>
      <c r="R449" s="993"/>
      <c r="S449" s="993"/>
      <c r="T449" s="993"/>
      <c r="U449" s="993"/>
      <c r="V449" s="993"/>
      <c r="W449" s="993"/>
      <c r="X449" s="993"/>
      <c r="Y449" s="993"/>
      <c r="Z449" s="993"/>
    </row>
    <row r="450" s="2502" customFormat="1" customHeight="1" spans="10:26">
      <c r="J450" s="993"/>
      <c r="K450" s="993"/>
      <c r="L450" s="993"/>
      <c r="M450" s="993"/>
      <c r="N450" s="993"/>
      <c r="O450" s="993"/>
      <c r="P450" s="993"/>
      <c r="Q450" s="993"/>
      <c r="R450" s="993"/>
      <c r="S450" s="993"/>
      <c r="T450" s="993"/>
      <c r="U450" s="993"/>
      <c r="V450" s="993"/>
      <c r="W450" s="993"/>
      <c r="X450" s="993"/>
      <c r="Y450" s="993"/>
      <c r="Z450" s="993"/>
    </row>
    <row r="451" s="2502" customFormat="1" customHeight="1" spans="10:26">
      <c r="J451" s="993"/>
      <c r="K451" s="993"/>
      <c r="L451" s="993"/>
      <c r="M451" s="993"/>
      <c r="N451" s="993"/>
      <c r="O451" s="993"/>
      <c r="P451" s="993"/>
      <c r="Q451" s="993"/>
      <c r="R451" s="993"/>
      <c r="S451" s="993"/>
      <c r="T451" s="993"/>
      <c r="U451" s="993"/>
      <c r="V451" s="993"/>
      <c r="W451" s="993"/>
      <c r="X451" s="993"/>
      <c r="Y451" s="993"/>
      <c r="Z451" s="993"/>
    </row>
    <row r="452" s="2502" customFormat="1" customHeight="1" spans="10:26">
      <c r="J452" s="993"/>
      <c r="K452" s="993"/>
      <c r="L452" s="993"/>
      <c r="M452" s="993"/>
      <c r="N452" s="993"/>
      <c r="O452" s="993"/>
      <c r="P452" s="993"/>
      <c r="Q452" s="993"/>
      <c r="R452" s="993"/>
      <c r="S452" s="993"/>
      <c r="T452" s="993"/>
      <c r="U452" s="993"/>
      <c r="V452" s="993"/>
      <c r="W452" s="993"/>
      <c r="X452" s="993"/>
      <c r="Y452" s="993"/>
      <c r="Z452" s="993"/>
    </row>
    <row r="453" s="2502" customFormat="1" customHeight="1" spans="10:26">
      <c r="J453" s="993"/>
      <c r="K453" s="993"/>
      <c r="L453" s="993"/>
      <c r="M453" s="993"/>
      <c r="N453" s="993"/>
      <c r="O453" s="993"/>
      <c r="P453" s="993"/>
      <c r="Q453" s="993"/>
      <c r="R453" s="993"/>
      <c r="S453" s="993"/>
      <c r="T453" s="993"/>
      <c r="U453" s="993"/>
      <c r="V453" s="993"/>
      <c r="W453" s="993"/>
      <c r="X453" s="993"/>
      <c r="Y453" s="993"/>
      <c r="Z453" s="993"/>
    </row>
    <row r="454" s="2502" customFormat="1" customHeight="1" spans="10:26">
      <c r="J454" s="993"/>
      <c r="K454" s="993"/>
      <c r="L454" s="993"/>
      <c r="M454" s="993"/>
      <c r="N454" s="993"/>
      <c r="O454" s="993"/>
      <c r="P454" s="993"/>
      <c r="Q454" s="993"/>
      <c r="R454" s="993"/>
      <c r="S454" s="993"/>
      <c r="T454" s="993"/>
      <c r="U454" s="993"/>
      <c r="V454" s="993"/>
      <c r="W454" s="993"/>
      <c r="X454" s="993"/>
      <c r="Y454" s="993"/>
      <c r="Z454" s="993"/>
    </row>
    <row r="455" s="2502" customFormat="1" customHeight="1" spans="10:26">
      <c r="J455" s="993"/>
      <c r="K455" s="993"/>
      <c r="L455" s="993"/>
      <c r="M455" s="993"/>
      <c r="N455" s="993"/>
      <c r="O455" s="993"/>
      <c r="P455" s="993"/>
      <c r="Q455" s="993"/>
      <c r="R455" s="993"/>
      <c r="S455" s="993"/>
      <c r="T455" s="993"/>
      <c r="U455" s="993"/>
      <c r="V455" s="993"/>
      <c r="W455" s="993"/>
      <c r="X455" s="993"/>
      <c r="Y455" s="993"/>
      <c r="Z455" s="993"/>
    </row>
    <row r="456" s="2502" customFormat="1" customHeight="1" spans="10:26">
      <c r="J456" s="993"/>
      <c r="K456" s="993"/>
      <c r="L456" s="993"/>
      <c r="M456" s="993"/>
      <c r="N456" s="993"/>
      <c r="O456" s="993"/>
      <c r="P456" s="993"/>
      <c r="Q456" s="993"/>
      <c r="R456" s="993"/>
      <c r="S456" s="993"/>
      <c r="T456" s="993"/>
      <c r="U456" s="993"/>
      <c r="V456" s="993"/>
      <c r="W456" s="993"/>
      <c r="X456" s="993"/>
      <c r="Y456" s="993"/>
      <c r="Z456" s="993"/>
    </row>
    <row r="457" s="2502" customFormat="1" customHeight="1" spans="10:26">
      <c r="J457" s="993"/>
      <c r="K457" s="993"/>
      <c r="L457" s="993"/>
      <c r="M457" s="993"/>
      <c r="N457" s="993"/>
      <c r="O457" s="993"/>
      <c r="P457" s="993"/>
      <c r="Q457" s="993"/>
      <c r="R457" s="993"/>
      <c r="S457" s="993"/>
      <c r="T457" s="993"/>
      <c r="U457" s="993"/>
      <c r="V457" s="993"/>
      <c r="W457" s="993"/>
      <c r="X457" s="993"/>
      <c r="Y457" s="993"/>
      <c r="Z457" s="993"/>
    </row>
    <row r="458" s="2502" customFormat="1" customHeight="1" spans="10:26">
      <c r="J458" s="993"/>
      <c r="K458" s="993"/>
      <c r="L458" s="993"/>
      <c r="M458" s="993"/>
      <c r="N458" s="993"/>
      <c r="O458" s="993"/>
      <c r="P458" s="993"/>
      <c r="Q458" s="993"/>
      <c r="R458" s="993"/>
      <c r="S458" s="993"/>
      <c r="T458" s="993"/>
      <c r="U458" s="993"/>
      <c r="V458" s="993"/>
      <c r="W458" s="993"/>
      <c r="X458" s="993"/>
      <c r="Y458" s="993"/>
      <c r="Z458" s="993"/>
    </row>
    <row r="459" s="2502" customFormat="1" customHeight="1" spans="10:26">
      <c r="J459" s="993"/>
      <c r="K459" s="993"/>
      <c r="L459" s="993"/>
      <c r="M459" s="993"/>
      <c r="N459" s="993"/>
      <c r="O459" s="993"/>
      <c r="P459" s="993"/>
      <c r="Q459" s="993"/>
      <c r="R459" s="993"/>
      <c r="S459" s="993"/>
      <c r="T459" s="993"/>
      <c r="U459" s="993"/>
      <c r="V459" s="993"/>
      <c r="W459" s="993"/>
      <c r="X459" s="993"/>
      <c r="Y459" s="993"/>
      <c r="Z459" s="993"/>
    </row>
    <row r="460" s="2502" customFormat="1" customHeight="1" spans="10:26">
      <c r="J460" s="993"/>
      <c r="K460" s="993"/>
      <c r="L460" s="993"/>
      <c r="M460" s="993"/>
      <c r="N460" s="993"/>
      <c r="O460" s="993"/>
      <c r="P460" s="993"/>
      <c r="Q460" s="993"/>
      <c r="R460" s="993"/>
      <c r="S460" s="993"/>
      <c r="T460" s="993"/>
      <c r="U460" s="993"/>
      <c r="V460" s="993"/>
      <c r="W460" s="993"/>
      <c r="X460" s="993"/>
      <c r="Y460" s="993"/>
      <c r="Z460" s="993"/>
    </row>
    <row r="461" s="2502" customFormat="1" customHeight="1" spans="10:26">
      <c r="J461" s="993"/>
      <c r="K461" s="993"/>
      <c r="L461" s="993"/>
      <c r="M461" s="993"/>
      <c r="N461" s="993"/>
      <c r="O461" s="993"/>
      <c r="P461" s="993"/>
      <c r="Q461" s="993"/>
      <c r="R461" s="993"/>
      <c r="S461" s="993"/>
      <c r="T461" s="993"/>
      <c r="U461" s="993"/>
      <c r="V461" s="993"/>
      <c r="W461" s="993"/>
      <c r="X461" s="993"/>
      <c r="Y461" s="993"/>
      <c r="Z461" s="993"/>
    </row>
    <row r="462" s="2502" customFormat="1" customHeight="1" spans="10:26">
      <c r="J462" s="993"/>
      <c r="K462" s="993"/>
      <c r="L462" s="993"/>
      <c r="M462" s="993"/>
      <c r="N462" s="993"/>
      <c r="O462" s="993"/>
      <c r="P462" s="993"/>
      <c r="Q462" s="993"/>
      <c r="R462" s="993"/>
      <c r="S462" s="993"/>
      <c r="T462" s="993"/>
      <c r="U462" s="993"/>
      <c r="V462" s="993"/>
      <c r="W462" s="993"/>
      <c r="X462" s="993"/>
      <c r="Y462" s="993"/>
      <c r="Z462" s="993"/>
    </row>
    <row r="463" s="2502" customFormat="1" customHeight="1" spans="10:26">
      <c r="J463" s="993"/>
      <c r="K463" s="993"/>
      <c r="L463" s="993"/>
      <c r="M463" s="993"/>
      <c r="N463" s="993"/>
      <c r="O463" s="993"/>
      <c r="P463" s="993"/>
      <c r="Q463" s="993"/>
      <c r="R463" s="993"/>
      <c r="S463" s="993"/>
      <c r="T463" s="993"/>
      <c r="U463" s="993"/>
      <c r="V463" s="993"/>
      <c r="W463" s="993"/>
      <c r="X463" s="993"/>
      <c r="Y463" s="993"/>
      <c r="Z463" s="993"/>
    </row>
    <row r="464" s="2502" customFormat="1" customHeight="1" spans="10:26">
      <c r="J464" s="993"/>
      <c r="K464" s="993"/>
      <c r="L464" s="993"/>
      <c r="M464" s="993"/>
      <c r="N464" s="993"/>
      <c r="O464" s="993"/>
      <c r="P464" s="993"/>
      <c r="Q464" s="993"/>
      <c r="R464" s="993"/>
      <c r="S464" s="993"/>
      <c r="T464" s="993"/>
      <c r="U464" s="993"/>
      <c r="V464" s="993"/>
      <c r="W464" s="993"/>
      <c r="X464" s="993"/>
      <c r="Y464" s="993"/>
      <c r="Z464" s="993"/>
    </row>
    <row r="465" s="2502" customFormat="1" customHeight="1" spans="10:26">
      <c r="J465" s="993"/>
      <c r="K465" s="993"/>
      <c r="L465" s="993"/>
      <c r="M465" s="993"/>
      <c r="N465" s="993"/>
      <c r="O465" s="993"/>
      <c r="P465" s="993"/>
      <c r="Q465" s="993"/>
      <c r="R465" s="993"/>
      <c r="S465" s="993"/>
      <c r="T465" s="993"/>
      <c r="U465" s="993"/>
      <c r="V465" s="993"/>
      <c r="W465" s="993"/>
      <c r="X465" s="993"/>
      <c r="Y465" s="993"/>
      <c r="Z465" s="993"/>
    </row>
    <row r="466" s="2502" customFormat="1" customHeight="1" spans="10:26">
      <c r="J466" s="993"/>
      <c r="K466" s="993"/>
      <c r="L466" s="993"/>
      <c r="M466" s="993"/>
      <c r="N466" s="993"/>
      <c r="O466" s="993"/>
      <c r="P466" s="993"/>
      <c r="Q466" s="993"/>
      <c r="R466" s="993"/>
      <c r="S466" s="993"/>
      <c r="T466" s="993"/>
      <c r="U466" s="993"/>
      <c r="V466" s="993"/>
      <c r="W466" s="993"/>
      <c r="X466" s="993"/>
      <c r="Y466" s="993"/>
      <c r="Z466" s="993"/>
    </row>
    <row r="467" s="2502" customFormat="1" customHeight="1" spans="10:26">
      <c r="J467" s="993"/>
      <c r="K467" s="993"/>
      <c r="L467" s="993"/>
      <c r="M467" s="993"/>
      <c r="N467" s="993"/>
      <c r="O467" s="993"/>
      <c r="P467" s="993"/>
      <c r="Q467" s="993"/>
      <c r="R467" s="993"/>
      <c r="S467" s="993"/>
      <c r="T467" s="993"/>
      <c r="U467" s="993"/>
      <c r="V467" s="993"/>
      <c r="W467" s="993"/>
      <c r="X467" s="993"/>
      <c r="Y467" s="993"/>
      <c r="Z467" s="993"/>
    </row>
    <row r="468" s="2502" customFormat="1" customHeight="1" spans="10:26">
      <c r="J468" s="993"/>
      <c r="K468" s="993"/>
      <c r="L468" s="993"/>
      <c r="M468" s="993"/>
      <c r="N468" s="993"/>
      <c r="O468" s="993"/>
      <c r="P468" s="993"/>
      <c r="Q468" s="993"/>
      <c r="R468" s="993"/>
      <c r="S468" s="993"/>
      <c r="T468" s="993"/>
      <c r="U468" s="993"/>
      <c r="V468" s="993"/>
      <c r="W468" s="993"/>
      <c r="X468" s="993"/>
      <c r="Y468" s="993"/>
      <c r="Z468" s="993"/>
    </row>
    <row r="469" s="2502" customFormat="1" customHeight="1" spans="10:26">
      <c r="J469" s="993"/>
      <c r="K469" s="993"/>
      <c r="L469" s="993"/>
      <c r="M469" s="993"/>
      <c r="N469" s="993"/>
      <c r="O469" s="993"/>
      <c r="P469" s="993"/>
      <c r="Q469" s="993"/>
      <c r="R469" s="993"/>
      <c r="S469" s="993"/>
      <c r="T469" s="993"/>
      <c r="U469" s="993"/>
      <c r="V469" s="993"/>
      <c r="W469" s="993"/>
      <c r="X469" s="993"/>
      <c r="Y469" s="993"/>
      <c r="Z469" s="993"/>
    </row>
    <row r="470" s="2502" customFormat="1" customHeight="1" spans="10:26">
      <c r="J470" s="993"/>
      <c r="K470" s="993"/>
      <c r="L470" s="993"/>
      <c r="M470" s="993"/>
      <c r="N470" s="993"/>
      <c r="O470" s="993"/>
      <c r="P470" s="993"/>
      <c r="Q470" s="993"/>
      <c r="R470" s="993"/>
      <c r="S470" s="993"/>
      <c r="T470" s="993"/>
      <c r="U470" s="993"/>
      <c r="V470" s="993"/>
      <c r="W470" s="993"/>
      <c r="X470" s="993"/>
      <c r="Y470" s="993"/>
      <c r="Z470" s="993"/>
    </row>
    <row r="471" s="2502" customFormat="1" customHeight="1" spans="10:26">
      <c r="J471" s="993"/>
      <c r="K471" s="993"/>
      <c r="L471" s="993"/>
      <c r="M471" s="993"/>
      <c r="N471" s="993"/>
      <c r="O471" s="993"/>
      <c r="P471" s="993"/>
      <c r="Q471" s="993"/>
      <c r="R471" s="993"/>
      <c r="S471" s="993"/>
      <c r="T471" s="993"/>
      <c r="U471" s="993"/>
      <c r="V471" s="993"/>
      <c r="W471" s="993"/>
      <c r="X471" s="993"/>
      <c r="Y471" s="993"/>
      <c r="Z471" s="993"/>
    </row>
    <row r="472" s="2502" customFormat="1" customHeight="1" spans="10:26">
      <c r="J472" s="993"/>
      <c r="K472" s="993"/>
      <c r="L472" s="993"/>
      <c r="M472" s="993"/>
      <c r="N472" s="993"/>
      <c r="O472" s="993"/>
      <c r="P472" s="993"/>
      <c r="Q472" s="993"/>
      <c r="R472" s="993"/>
      <c r="S472" s="993"/>
      <c r="T472" s="993"/>
      <c r="U472" s="993"/>
      <c r="V472" s="993"/>
      <c r="W472" s="993"/>
      <c r="X472" s="993"/>
      <c r="Y472" s="993"/>
      <c r="Z472" s="993"/>
    </row>
    <row r="473" s="2502" customFormat="1" customHeight="1" spans="10:26">
      <c r="J473" s="993"/>
      <c r="K473" s="993"/>
      <c r="L473" s="993"/>
      <c r="M473" s="993"/>
      <c r="N473" s="993"/>
      <c r="O473" s="993"/>
      <c r="P473" s="993"/>
      <c r="Q473" s="993"/>
      <c r="R473" s="993"/>
      <c r="S473" s="993"/>
      <c r="T473" s="993"/>
      <c r="U473" s="993"/>
      <c r="V473" s="993"/>
      <c r="W473" s="993"/>
      <c r="X473" s="993"/>
      <c r="Y473" s="993"/>
      <c r="Z473" s="993"/>
    </row>
    <row r="474" s="2502" customFormat="1" customHeight="1" spans="10:26">
      <c r="J474" s="993"/>
      <c r="K474" s="993"/>
      <c r="L474" s="993"/>
      <c r="M474" s="993"/>
      <c r="N474" s="993"/>
      <c r="O474" s="993"/>
      <c r="P474" s="993"/>
      <c r="Q474" s="993"/>
      <c r="R474" s="993"/>
      <c r="S474" s="993"/>
      <c r="T474" s="993"/>
      <c r="U474" s="993"/>
      <c r="V474" s="993"/>
      <c r="W474" s="993"/>
      <c r="X474" s="993"/>
      <c r="Y474" s="993"/>
      <c r="Z474" s="993"/>
    </row>
    <row r="475" s="2502" customFormat="1" customHeight="1" spans="10:26">
      <c r="J475" s="993"/>
      <c r="K475" s="993"/>
      <c r="L475" s="993"/>
      <c r="M475" s="993"/>
      <c r="N475" s="993"/>
      <c r="O475" s="993"/>
      <c r="P475" s="993"/>
      <c r="Q475" s="993"/>
      <c r="R475" s="993"/>
      <c r="S475" s="993"/>
      <c r="T475" s="993"/>
      <c r="U475" s="993"/>
      <c r="V475" s="993"/>
      <c r="W475" s="993"/>
      <c r="X475" s="993"/>
      <c r="Y475" s="993"/>
      <c r="Z475" s="993"/>
    </row>
    <row r="476" s="2502" customFormat="1" customHeight="1" spans="10:26">
      <c r="J476" s="993"/>
      <c r="K476" s="993"/>
      <c r="L476" s="993"/>
      <c r="M476" s="993"/>
      <c r="N476" s="993"/>
      <c r="O476" s="993"/>
      <c r="P476" s="993"/>
      <c r="Q476" s="993"/>
      <c r="R476" s="993"/>
      <c r="S476" s="993"/>
      <c r="T476" s="993"/>
      <c r="U476" s="993"/>
      <c r="V476" s="993"/>
      <c r="W476" s="993"/>
      <c r="X476" s="993"/>
      <c r="Y476" s="993"/>
      <c r="Z476" s="993"/>
    </row>
    <row r="477" s="2502" customFormat="1" customHeight="1" spans="10:26">
      <c r="J477" s="993"/>
      <c r="K477" s="993"/>
      <c r="L477" s="993"/>
      <c r="M477" s="993"/>
      <c r="N477" s="993"/>
      <c r="O477" s="993"/>
      <c r="P477" s="993"/>
      <c r="Q477" s="993"/>
      <c r="R477" s="993"/>
      <c r="S477" s="993"/>
      <c r="T477" s="993"/>
      <c r="U477" s="993"/>
      <c r="V477" s="993"/>
      <c r="W477" s="993"/>
      <c r="X477" s="993"/>
      <c r="Y477" s="993"/>
      <c r="Z477" s="993"/>
    </row>
    <row r="478" s="2502" customFormat="1" customHeight="1" spans="10:26">
      <c r="J478" s="993"/>
      <c r="K478" s="993"/>
      <c r="L478" s="993"/>
      <c r="M478" s="993"/>
      <c r="N478" s="993"/>
      <c r="O478" s="993"/>
      <c r="P478" s="993"/>
      <c r="Q478" s="993"/>
      <c r="R478" s="993"/>
      <c r="S478" s="993"/>
      <c r="T478" s="993"/>
      <c r="U478" s="993"/>
      <c r="V478" s="993"/>
      <c r="W478" s="993"/>
      <c r="X478" s="993"/>
      <c r="Y478" s="993"/>
      <c r="Z478" s="993"/>
    </row>
    <row r="479" s="2502" customFormat="1" customHeight="1" spans="10:26">
      <c r="J479" s="993"/>
      <c r="K479" s="993"/>
      <c r="L479" s="993"/>
      <c r="M479" s="993"/>
      <c r="N479" s="993"/>
      <c r="O479" s="993"/>
      <c r="P479" s="993"/>
      <c r="Q479" s="993"/>
      <c r="R479" s="993"/>
      <c r="S479" s="993"/>
      <c r="T479" s="993"/>
      <c r="U479" s="993"/>
      <c r="V479" s="993"/>
      <c r="W479" s="993"/>
      <c r="X479" s="993"/>
      <c r="Y479" s="993"/>
      <c r="Z479" s="993"/>
    </row>
    <row r="480" s="2502" customFormat="1" customHeight="1" spans="10:26">
      <c r="J480" s="993"/>
      <c r="K480" s="993"/>
      <c r="L480" s="993"/>
      <c r="M480" s="993"/>
      <c r="N480" s="993"/>
      <c r="O480" s="993"/>
      <c r="P480" s="993"/>
      <c r="Q480" s="993"/>
      <c r="R480" s="993"/>
      <c r="S480" s="993"/>
      <c r="T480" s="993"/>
      <c r="U480" s="993"/>
      <c r="V480" s="993"/>
      <c r="W480" s="993"/>
      <c r="X480" s="993"/>
      <c r="Y480" s="993"/>
      <c r="Z480" s="993"/>
    </row>
    <row r="481" s="2502" customFormat="1" customHeight="1" spans="10:26">
      <c r="J481" s="993"/>
      <c r="K481" s="993"/>
      <c r="L481" s="993"/>
      <c r="M481" s="993"/>
      <c r="N481" s="993"/>
      <c r="O481" s="993"/>
      <c r="P481" s="993"/>
      <c r="Q481" s="993"/>
      <c r="R481" s="993"/>
      <c r="S481" s="993"/>
      <c r="T481" s="993"/>
      <c r="U481" s="993"/>
      <c r="V481" s="993"/>
      <c r="W481" s="993"/>
      <c r="X481" s="993"/>
      <c r="Y481" s="993"/>
      <c r="Z481" s="993"/>
    </row>
    <row r="482" s="2502" customFormat="1" customHeight="1" spans="10:26">
      <c r="J482" s="993"/>
      <c r="K482" s="993"/>
      <c r="L482" s="993"/>
      <c r="M482" s="993"/>
      <c r="N482" s="993"/>
      <c r="O482" s="993"/>
      <c r="P482" s="993"/>
      <c r="Q482" s="993"/>
      <c r="R482" s="993"/>
      <c r="S482" s="993"/>
      <c r="T482" s="993"/>
      <c r="U482" s="993"/>
      <c r="V482" s="993"/>
      <c r="W482" s="993"/>
      <c r="X482" s="993"/>
      <c r="Y482" s="993"/>
      <c r="Z482" s="993"/>
    </row>
    <row r="483" s="2502" customFormat="1" customHeight="1" spans="10:26">
      <c r="J483" s="993"/>
      <c r="K483" s="993"/>
      <c r="L483" s="993"/>
      <c r="M483" s="993"/>
      <c r="N483" s="993"/>
      <c r="O483" s="993"/>
      <c r="P483" s="993"/>
      <c r="Q483" s="993"/>
      <c r="R483" s="993"/>
      <c r="S483" s="993"/>
      <c r="T483" s="993"/>
      <c r="U483" s="993"/>
      <c r="V483" s="993"/>
      <c r="W483" s="993"/>
      <c r="X483" s="993"/>
      <c r="Y483" s="993"/>
      <c r="Z483" s="993"/>
    </row>
    <row r="484" s="2502" customFormat="1" customHeight="1" spans="10:26">
      <c r="J484" s="993"/>
      <c r="K484" s="993"/>
      <c r="L484" s="993"/>
      <c r="M484" s="993"/>
      <c r="N484" s="993"/>
      <c r="O484" s="993"/>
      <c r="P484" s="993"/>
      <c r="Q484" s="993"/>
      <c r="R484" s="993"/>
      <c r="S484" s="993"/>
      <c r="T484" s="993"/>
      <c r="U484" s="993"/>
      <c r="V484" s="993"/>
      <c r="W484" s="993"/>
      <c r="X484" s="993"/>
      <c r="Y484" s="993"/>
      <c r="Z484" s="993"/>
    </row>
    <row r="485" s="2502" customFormat="1" customHeight="1" spans="10:26">
      <c r="J485" s="993"/>
      <c r="K485" s="993"/>
      <c r="L485" s="993"/>
      <c r="M485" s="993"/>
      <c r="N485" s="993"/>
      <c r="O485" s="993"/>
      <c r="P485" s="993"/>
      <c r="Q485" s="993"/>
      <c r="R485" s="993"/>
      <c r="S485" s="993"/>
      <c r="T485" s="993"/>
      <c r="U485" s="993"/>
      <c r="V485" s="993"/>
      <c r="W485" s="993"/>
      <c r="X485" s="993"/>
      <c r="Y485" s="993"/>
      <c r="Z485" s="993"/>
    </row>
    <row r="486" s="2502" customFormat="1" customHeight="1" spans="10:26">
      <c r="J486" s="993"/>
      <c r="K486" s="993"/>
      <c r="L486" s="993"/>
      <c r="M486" s="993"/>
      <c r="N486" s="993"/>
      <c r="O486" s="993"/>
      <c r="P486" s="993"/>
      <c r="Q486" s="993"/>
      <c r="R486" s="993"/>
      <c r="S486" s="993"/>
      <c r="T486" s="993"/>
      <c r="U486" s="993"/>
      <c r="V486" s="993"/>
      <c r="W486" s="993"/>
      <c r="X486" s="993"/>
      <c r="Y486" s="993"/>
      <c r="Z486" s="993"/>
    </row>
    <row r="487" s="2502" customFormat="1" customHeight="1" spans="10:26">
      <c r="J487" s="993"/>
      <c r="K487" s="993"/>
      <c r="L487" s="993"/>
      <c r="M487" s="993"/>
      <c r="N487" s="993"/>
      <c r="O487" s="993"/>
      <c r="P487" s="993"/>
      <c r="Q487" s="993"/>
      <c r="R487" s="993"/>
      <c r="S487" s="993"/>
      <c r="T487" s="993"/>
      <c r="U487" s="993"/>
      <c r="V487" s="993"/>
      <c r="W487" s="993"/>
      <c r="X487" s="993"/>
      <c r="Y487" s="993"/>
      <c r="Z487" s="993"/>
    </row>
    <row r="488" s="2502" customFormat="1" customHeight="1" spans="10:26">
      <c r="J488" s="993"/>
      <c r="K488" s="993"/>
      <c r="L488" s="993"/>
      <c r="M488" s="993"/>
      <c r="N488" s="993"/>
      <c r="O488" s="993"/>
      <c r="P488" s="993"/>
      <c r="Q488" s="993"/>
      <c r="R488" s="993"/>
      <c r="S488" s="993"/>
      <c r="T488" s="993"/>
      <c r="U488" s="993"/>
      <c r="V488" s="993"/>
      <c r="W488" s="993"/>
      <c r="X488" s="993"/>
      <c r="Y488" s="993"/>
      <c r="Z488" s="993"/>
    </row>
    <row r="489" s="2502" customFormat="1" customHeight="1" spans="10:26">
      <c r="J489" s="993"/>
      <c r="K489" s="993"/>
      <c r="L489" s="993"/>
      <c r="M489" s="993"/>
      <c r="N489" s="993"/>
      <c r="O489" s="993"/>
      <c r="P489" s="993"/>
      <c r="Q489" s="993"/>
      <c r="R489" s="993"/>
      <c r="S489" s="993"/>
      <c r="T489" s="993"/>
      <c r="U489" s="993"/>
      <c r="V489" s="993"/>
      <c r="W489" s="993"/>
      <c r="X489" s="993"/>
      <c r="Y489" s="993"/>
      <c r="Z489" s="993"/>
    </row>
    <row r="490" s="2502" customFormat="1" customHeight="1" spans="10:26">
      <c r="J490" s="993"/>
      <c r="K490" s="993"/>
      <c r="L490" s="993"/>
      <c r="M490" s="993"/>
      <c r="N490" s="993"/>
      <c r="O490" s="993"/>
      <c r="P490" s="993"/>
      <c r="Q490" s="993"/>
      <c r="R490" s="993"/>
      <c r="S490" s="993"/>
      <c r="T490" s="993"/>
      <c r="U490" s="993"/>
      <c r="V490" s="993"/>
      <c r="W490" s="993"/>
      <c r="X490" s="993"/>
      <c r="Y490" s="993"/>
      <c r="Z490" s="993"/>
    </row>
    <row r="491" s="2502" customFormat="1" customHeight="1" spans="10:26">
      <c r="J491" s="993"/>
      <c r="K491" s="993"/>
      <c r="L491" s="993"/>
      <c r="M491" s="993"/>
      <c r="N491" s="993"/>
      <c r="O491" s="993"/>
      <c r="P491" s="993"/>
      <c r="Q491" s="993"/>
      <c r="R491" s="993"/>
      <c r="S491" s="993"/>
      <c r="T491" s="993"/>
      <c r="U491" s="993"/>
      <c r="V491" s="993"/>
      <c r="W491" s="993"/>
      <c r="X491" s="993"/>
      <c r="Y491" s="993"/>
      <c r="Z491" s="993"/>
    </row>
    <row r="492" s="2502" customFormat="1" customHeight="1" spans="10:26">
      <c r="J492" s="993"/>
      <c r="K492" s="993"/>
      <c r="L492" s="993"/>
      <c r="M492" s="993"/>
      <c r="N492" s="993"/>
      <c r="O492" s="993"/>
      <c r="P492" s="993"/>
      <c r="Q492" s="993"/>
      <c r="R492" s="993"/>
      <c r="S492" s="993"/>
      <c r="T492" s="993"/>
      <c r="U492" s="993"/>
      <c r="V492" s="993"/>
      <c r="W492" s="993"/>
      <c r="X492" s="993"/>
      <c r="Y492" s="993"/>
      <c r="Z492" s="993"/>
    </row>
    <row r="493" s="2502" customFormat="1" customHeight="1" spans="10:26">
      <c r="J493" s="993"/>
      <c r="K493" s="993"/>
      <c r="L493" s="993"/>
      <c r="M493" s="993"/>
      <c r="N493" s="993"/>
      <c r="O493" s="993"/>
      <c r="P493" s="993"/>
      <c r="Q493" s="993"/>
      <c r="R493" s="993"/>
      <c r="S493" s="993"/>
      <c r="T493" s="993"/>
      <c r="U493" s="993"/>
      <c r="V493" s="993"/>
      <c r="W493" s="993"/>
      <c r="X493" s="993"/>
      <c r="Y493" s="993"/>
      <c r="Z493" s="993"/>
    </row>
    <row r="494" s="2502" customFormat="1" customHeight="1" spans="10:26">
      <c r="J494" s="993"/>
      <c r="K494" s="993"/>
      <c r="L494" s="993"/>
      <c r="M494" s="993"/>
      <c r="N494" s="993"/>
      <c r="O494" s="993"/>
      <c r="P494" s="993"/>
      <c r="Q494" s="993"/>
      <c r="R494" s="993"/>
      <c r="S494" s="993"/>
      <c r="T494" s="993"/>
      <c r="U494" s="993"/>
      <c r="V494" s="993"/>
      <c r="W494" s="993"/>
      <c r="X494" s="993"/>
      <c r="Y494" s="993"/>
      <c r="Z494" s="993"/>
    </row>
    <row r="495" s="2502" customFormat="1" customHeight="1" spans="10:26">
      <c r="J495" s="993"/>
      <c r="K495" s="993"/>
      <c r="L495" s="993"/>
      <c r="M495" s="993"/>
      <c r="N495" s="993"/>
      <c r="O495" s="993"/>
      <c r="P495" s="993"/>
      <c r="Q495" s="993"/>
      <c r="R495" s="993"/>
      <c r="S495" s="993"/>
      <c r="T495" s="993"/>
      <c r="U495" s="993"/>
      <c r="V495" s="993"/>
      <c r="W495" s="993"/>
      <c r="X495" s="993"/>
      <c r="Y495" s="993"/>
      <c r="Z495" s="993"/>
    </row>
    <row r="496" s="2502" customFormat="1" customHeight="1" spans="10:26">
      <c r="J496" s="993"/>
      <c r="K496" s="993"/>
      <c r="L496" s="993"/>
      <c r="M496" s="993"/>
      <c r="N496" s="993"/>
      <c r="O496" s="993"/>
      <c r="P496" s="993"/>
      <c r="Q496" s="993"/>
      <c r="R496" s="993"/>
      <c r="S496" s="993"/>
      <c r="T496" s="993"/>
      <c r="U496" s="993"/>
      <c r="V496" s="993"/>
      <c r="W496" s="993"/>
      <c r="X496" s="993"/>
      <c r="Y496" s="993"/>
      <c r="Z496" s="993"/>
    </row>
    <row r="497" s="2502" customFormat="1" customHeight="1" spans="10:26">
      <c r="J497" s="993"/>
      <c r="K497" s="993"/>
      <c r="L497" s="993"/>
      <c r="M497" s="993"/>
      <c r="N497" s="993"/>
      <c r="O497" s="993"/>
      <c r="P497" s="993"/>
      <c r="Q497" s="993"/>
      <c r="R497" s="993"/>
      <c r="S497" s="993"/>
      <c r="T497" s="993"/>
      <c r="U497" s="993"/>
      <c r="V497" s="993"/>
      <c r="W497" s="993"/>
      <c r="X497" s="993"/>
      <c r="Y497" s="993"/>
      <c r="Z497" s="993"/>
    </row>
    <row r="498" s="2502" customFormat="1" customHeight="1" spans="10:26">
      <c r="J498" s="993"/>
      <c r="K498" s="993"/>
      <c r="L498" s="993"/>
      <c r="M498" s="993"/>
      <c r="N498" s="993"/>
      <c r="O498" s="993"/>
      <c r="P498" s="993"/>
      <c r="Q498" s="993"/>
      <c r="R498" s="993"/>
      <c r="S498" s="993"/>
      <c r="T498" s="993"/>
      <c r="U498" s="993"/>
      <c r="V498" s="993"/>
      <c r="W498" s="993"/>
      <c r="X498" s="993"/>
      <c r="Y498" s="993"/>
      <c r="Z498" s="993"/>
    </row>
    <row r="499" s="2502" customFormat="1" customHeight="1" spans="10:26">
      <c r="J499" s="993"/>
      <c r="K499" s="993"/>
      <c r="L499" s="993"/>
      <c r="M499" s="993"/>
      <c r="N499" s="993"/>
      <c r="O499" s="993"/>
      <c r="P499" s="993"/>
      <c r="Q499" s="993"/>
      <c r="R499" s="993"/>
      <c r="S499" s="993"/>
      <c r="T499" s="993"/>
      <c r="U499" s="993"/>
      <c r="V499" s="993"/>
      <c r="W499" s="993"/>
      <c r="X499" s="993"/>
      <c r="Y499" s="993"/>
      <c r="Z499" s="993"/>
    </row>
    <row r="500" s="2502" customFormat="1" customHeight="1" spans="10:26">
      <c r="J500" s="993"/>
      <c r="K500" s="993"/>
      <c r="L500" s="993"/>
      <c r="M500" s="993"/>
      <c r="N500" s="993"/>
      <c r="O500" s="993"/>
      <c r="P500" s="993"/>
      <c r="Q500" s="993"/>
      <c r="R500" s="993"/>
      <c r="S500" s="993"/>
      <c r="T500" s="993"/>
      <c r="U500" s="993"/>
      <c r="V500" s="993"/>
      <c r="W500" s="993"/>
      <c r="X500" s="993"/>
      <c r="Y500" s="993"/>
      <c r="Z500" s="993"/>
    </row>
    <row r="501" s="2502" customFormat="1" customHeight="1" spans="10:26">
      <c r="J501" s="993"/>
      <c r="K501" s="993"/>
      <c r="L501" s="993"/>
      <c r="M501" s="993"/>
      <c r="N501" s="993"/>
      <c r="O501" s="993"/>
      <c r="P501" s="993"/>
      <c r="Q501" s="993"/>
      <c r="R501" s="993"/>
      <c r="S501" s="993"/>
      <c r="T501" s="993"/>
      <c r="U501" s="993"/>
      <c r="V501" s="993"/>
      <c r="W501" s="993"/>
      <c r="X501" s="993"/>
      <c r="Y501" s="993"/>
      <c r="Z501" s="993"/>
    </row>
    <row r="502" s="2502" customFormat="1" customHeight="1" spans="10:26">
      <c r="J502" s="993"/>
      <c r="K502" s="993"/>
      <c r="L502" s="993"/>
      <c r="M502" s="993"/>
      <c r="N502" s="993"/>
      <c r="O502" s="993"/>
      <c r="P502" s="993"/>
      <c r="Q502" s="993"/>
      <c r="R502" s="993"/>
      <c r="S502" s="993"/>
      <c r="T502" s="993"/>
      <c r="U502" s="993"/>
      <c r="V502" s="993"/>
      <c r="W502" s="993"/>
      <c r="X502" s="993"/>
      <c r="Y502" s="993"/>
      <c r="Z502" s="993"/>
    </row>
    <row r="503" s="2502" customFormat="1" customHeight="1" spans="10:26">
      <c r="J503" s="993"/>
      <c r="K503" s="993"/>
      <c r="L503" s="993"/>
      <c r="M503" s="993"/>
      <c r="N503" s="993"/>
      <c r="O503" s="993"/>
      <c r="P503" s="993"/>
      <c r="Q503" s="993"/>
      <c r="R503" s="993"/>
      <c r="S503" s="993"/>
      <c r="T503" s="993"/>
      <c r="U503" s="993"/>
      <c r="V503" s="993"/>
      <c r="W503" s="993"/>
      <c r="X503" s="993"/>
      <c r="Y503" s="993"/>
      <c r="Z503" s="993"/>
    </row>
    <row r="504" s="2502" customFormat="1" customHeight="1" spans="10:26">
      <c r="J504" s="993"/>
      <c r="K504" s="993"/>
      <c r="L504" s="993"/>
      <c r="M504" s="993"/>
      <c r="N504" s="993"/>
      <c r="O504" s="993"/>
      <c r="P504" s="993"/>
      <c r="Q504" s="993"/>
      <c r="R504" s="993"/>
      <c r="S504" s="993"/>
      <c r="T504" s="993"/>
      <c r="U504" s="993"/>
      <c r="V504" s="993"/>
      <c r="W504" s="993"/>
      <c r="X504" s="993"/>
      <c r="Y504" s="993"/>
      <c r="Z504" s="993"/>
    </row>
    <row r="505" s="2502" customFormat="1" customHeight="1" spans="10:26">
      <c r="J505" s="993"/>
      <c r="K505" s="993"/>
      <c r="L505" s="993"/>
      <c r="M505" s="993"/>
      <c r="N505" s="993"/>
      <c r="O505" s="993"/>
      <c r="P505" s="993"/>
      <c r="Q505" s="993"/>
      <c r="R505" s="993"/>
      <c r="S505" s="993"/>
      <c r="T505" s="993"/>
      <c r="U505" s="993"/>
      <c r="V505" s="993"/>
      <c r="W505" s="993"/>
      <c r="X505" s="993"/>
      <c r="Y505" s="993"/>
      <c r="Z505" s="993"/>
    </row>
    <row r="506" s="2502" customFormat="1" customHeight="1" spans="10:26">
      <c r="J506" s="993"/>
      <c r="K506" s="993"/>
      <c r="L506" s="993"/>
      <c r="M506" s="993"/>
      <c r="N506" s="993"/>
      <c r="O506" s="993"/>
      <c r="P506" s="993"/>
      <c r="Q506" s="993"/>
      <c r="R506" s="993"/>
      <c r="S506" s="993"/>
      <c r="T506" s="993"/>
      <c r="U506" s="993"/>
      <c r="V506" s="993"/>
      <c r="W506" s="993"/>
      <c r="X506" s="993"/>
      <c r="Y506" s="993"/>
      <c r="Z506" s="993"/>
    </row>
    <row r="507" s="2502" customFormat="1" customHeight="1" spans="10:26">
      <c r="J507" s="993"/>
      <c r="K507" s="993"/>
      <c r="L507" s="993"/>
      <c r="M507" s="993"/>
      <c r="N507" s="993"/>
      <c r="O507" s="993"/>
      <c r="P507" s="993"/>
      <c r="Q507" s="993"/>
      <c r="R507" s="993"/>
      <c r="S507" s="993"/>
      <c r="T507" s="993"/>
      <c r="U507" s="993"/>
      <c r="V507" s="993"/>
      <c r="W507" s="993"/>
      <c r="X507" s="993"/>
      <c r="Y507" s="993"/>
      <c r="Z507" s="993"/>
    </row>
    <row r="508" s="2502" customFormat="1" customHeight="1" spans="10:26">
      <c r="J508" s="993"/>
      <c r="K508" s="993"/>
      <c r="L508" s="993"/>
      <c r="M508" s="993"/>
      <c r="N508" s="993"/>
      <c r="O508" s="993"/>
      <c r="P508" s="993"/>
      <c r="Q508" s="993"/>
      <c r="R508" s="993"/>
      <c r="S508" s="993"/>
      <c r="T508" s="993"/>
      <c r="U508" s="993"/>
      <c r="V508" s="993"/>
      <c r="W508" s="993"/>
      <c r="X508" s="993"/>
      <c r="Y508" s="993"/>
      <c r="Z508" s="993"/>
    </row>
    <row r="509" s="2502" customFormat="1" customHeight="1" spans="10:26">
      <c r="J509" s="993"/>
      <c r="K509" s="993"/>
      <c r="L509" s="993"/>
      <c r="M509" s="993"/>
      <c r="N509" s="993"/>
      <c r="O509" s="993"/>
      <c r="P509" s="993"/>
      <c r="Q509" s="993"/>
      <c r="R509" s="993"/>
      <c r="S509" s="993"/>
      <c r="T509" s="993"/>
      <c r="U509" s="993"/>
      <c r="V509" s="993"/>
      <c r="W509" s="993"/>
      <c r="X509" s="993"/>
      <c r="Y509" s="993"/>
      <c r="Z509" s="993"/>
    </row>
    <row r="510" s="2502" customFormat="1" customHeight="1" spans="10:26">
      <c r="J510" s="993"/>
      <c r="K510" s="993"/>
      <c r="L510" s="993"/>
      <c r="M510" s="993"/>
      <c r="N510" s="993"/>
      <c r="O510" s="993"/>
      <c r="P510" s="993"/>
      <c r="Q510" s="993"/>
      <c r="R510" s="993"/>
      <c r="S510" s="993"/>
      <c r="T510" s="993"/>
      <c r="U510" s="993"/>
      <c r="V510" s="993"/>
      <c r="W510" s="993"/>
      <c r="X510" s="993"/>
      <c r="Y510" s="993"/>
      <c r="Z510" s="993"/>
    </row>
    <row r="511" s="2502" customFormat="1" customHeight="1" spans="10:26">
      <c r="J511" s="993"/>
      <c r="K511" s="993"/>
      <c r="L511" s="993"/>
      <c r="M511" s="993"/>
      <c r="N511" s="993"/>
      <c r="O511" s="993"/>
      <c r="P511" s="993"/>
      <c r="Q511" s="993"/>
      <c r="R511" s="993"/>
      <c r="S511" s="993"/>
      <c r="T511" s="993"/>
      <c r="U511" s="993"/>
      <c r="V511" s="993"/>
      <c r="W511" s="993"/>
      <c r="X511" s="993"/>
      <c r="Y511" s="993"/>
      <c r="Z511" s="993"/>
    </row>
    <row r="512" s="250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987</v>
      </c>
      <c r="B1" s="2484"/>
      <c r="C1" s="392"/>
      <c r="D1" s="392"/>
      <c r="E1" s="392"/>
      <c r="F1" s="392"/>
      <c r="G1" s="2486">
        <f>MATCH(B1,'数据-取费表'!A6:A16,0)+5</f>
        <v>7</v>
      </c>
    </row>
    <row r="2" s="382" customFormat="1" ht="18" customHeight="1" spans="1:7">
      <c r="A2" s="394" t="s">
        <v>988</v>
      </c>
      <c r="B2" s="395">
        <f ca="1">IF(D2="——",C52,C52-E2)</f>
        <v>25</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3587</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0</v>
      </c>
      <c r="D8" s="415"/>
      <c r="E8" s="413"/>
      <c r="F8" s="414"/>
      <c r="G8" s="2492"/>
    </row>
    <row r="9" s="384" customFormat="1" ht="13.5" customHeight="1" spans="1:9">
      <c r="A9" s="417" t="s">
        <v>1003</v>
      </c>
      <c r="B9" s="418" t="s">
        <v>1004</v>
      </c>
      <c r="C9" s="419">
        <f ca="1">ROUND(D9*E9/10000,0)</f>
        <v>1</v>
      </c>
      <c r="D9" s="420">
        <f ca="1">IF(B1="",'数据-汇总表'!E5,IF(INDIRECT("'数据-取费表'!c"&amp;$G$1)="住宅",INDIRECT("'数据-取费表'!k"&amp;$G$1),0))</f>
        <v>69.7</v>
      </c>
      <c r="E9" s="419">
        <f>'数据-取费表'!B27</f>
        <v>160</v>
      </c>
      <c r="F9" s="414"/>
      <c r="G9" s="2496"/>
      <c r="H9" s="2497"/>
      <c r="I9" s="2498" t="s">
        <v>1005</v>
      </c>
    </row>
    <row r="10" s="384" customFormat="1" ht="13.5" customHeight="1" spans="1:7">
      <c r="A10" s="417" t="s">
        <v>1006</v>
      </c>
      <c r="B10" s="418" t="s">
        <v>1007</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IF(G19="已包含在土地取得成本中","0",ROUND(D19*E19/10000,0))</f>
        <v>1</v>
      </c>
      <c r="D19" s="428">
        <f ca="1">D9+D10</f>
        <v>69.7</v>
      </c>
      <c r="E19" s="404">
        <f>'数据-取费表'!B31</f>
        <v>200</v>
      </c>
      <c r="F19" s="429"/>
      <c r="G19" s="2492"/>
    </row>
    <row r="20" s="384" customFormat="1" ht="13.5" customHeight="1" spans="1:7">
      <c r="A20" s="402" t="s">
        <v>1026</v>
      </c>
      <c r="B20" s="403" t="s">
        <v>1027</v>
      </c>
      <c r="C20" s="430">
        <f ca="1">ROUND((C5+C19)*F20,0)</f>
        <v>0</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436">
        <f ca="1">ROUND(SUM(C23:C25),0)</f>
        <v>0</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439">
        <f ca="1">ROUND(IF('数据-取费表'!B22&lt;=1,C5*F22*'数据-取费表'!B23,C5*(POWER((1+F22),'数据-取费表'!B23)-1)),0)</f>
        <v>0</v>
      </c>
      <c r="D23" s="440"/>
      <c r="E23" s="440"/>
      <c r="F23" s="441"/>
      <c r="G23" s="442" t="s">
        <v>1036</v>
      </c>
    </row>
    <row r="24" s="384" customFormat="1" ht="13.5" customHeight="1" spans="1:7">
      <c r="A24" s="438" t="s">
        <v>999</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1001</v>
      </c>
      <c r="B25" s="408" t="s">
        <v>1039</v>
      </c>
      <c r="C25" s="439">
        <f ca="1">ROUND(IF('数据-取费表'!B22&lt;=1,C20*F22*'数据-取费表'!B23/2,C20*(POWER((1+F22),'数据-取费表'!B23/2)-1)),0)</f>
        <v>0</v>
      </c>
      <c r="D25" s="440"/>
      <c r="E25" s="443"/>
      <c r="F25" s="441"/>
      <c r="G25" s="444" t="s">
        <v>1040</v>
      </c>
    </row>
    <row r="26" s="384" customFormat="1" spans="1:7">
      <c r="A26" s="438" t="s">
        <v>1041</v>
      </c>
      <c r="B26" s="408" t="s">
        <v>1042</v>
      </c>
      <c r="C26" s="440">
        <f>ROUND(IF('数据-取费表'!B22&lt;=1,F21*F22*'数据-取费表'!B23/2,F21*(POWER((1+F22),'数据-取费表'!B23/2)-1)),4)</f>
        <v>0.001</v>
      </c>
      <c r="D26" s="440"/>
      <c r="E26" s="443"/>
      <c r="F26" s="441"/>
      <c r="G26" s="445"/>
    </row>
    <row r="27" s="384" customFormat="1" ht="24.75" spans="1:7">
      <c r="A27" s="402" t="s">
        <v>1043</v>
      </c>
      <c r="B27" s="446" t="s">
        <v>1044</v>
      </c>
      <c r="C27" s="447">
        <f ca="1">C28</f>
        <v>0</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ROUND((C5+C19+C20)*F27*'数据-取费表'!B21/'数据-取费表'!B20,0)</f>
        <v>0</v>
      </c>
      <c r="D28" s="433"/>
      <c r="E28" s="434"/>
      <c r="F28" s="448"/>
      <c r="G28" s="449"/>
    </row>
    <row r="29" s="384" customFormat="1" ht="13.5" customHeight="1" spans="1:7">
      <c r="A29" s="438" t="s">
        <v>999</v>
      </c>
      <c r="B29" s="450" t="s">
        <v>1047</v>
      </c>
      <c r="C29" s="440">
        <f ca="1">ROUND(C21*F27*'数据-取费表'!B21/'数据-取费表'!B20,4)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1</v>
      </c>
      <c r="D31" s="453"/>
      <c r="E31" s="404"/>
      <c r="F31" s="454"/>
      <c r="G31" s="435" t="s">
        <v>1052</v>
      </c>
    </row>
    <row r="32" s="383" customFormat="1" ht="15.75" spans="1:7">
      <c r="A32" s="455" t="s">
        <v>1053</v>
      </c>
      <c r="B32" s="456"/>
      <c r="C32" s="456"/>
      <c r="D32" s="456"/>
      <c r="E32" s="456"/>
      <c r="F32" s="456"/>
      <c r="G32" s="457"/>
    </row>
    <row r="33" s="384" customFormat="1" ht="13.5" customHeight="1" spans="1:7">
      <c r="A33" s="402" t="s">
        <v>993</v>
      </c>
      <c r="B33" s="403" t="s">
        <v>1054</v>
      </c>
      <c r="C33" s="458">
        <f ca="1">SUM(C34:C38)</f>
        <v>29</v>
      </c>
      <c r="D33" s="430"/>
      <c r="E33" s="405"/>
      <c r="F33" s="443"/>
      <c r="G33" s="435"/>
    </row>
    <row r="34" s="386" customFormat="1" ht="13.5" customHeight="1" spans="1:7">
      <c r="A34" s="438" t="s">
        <v>997</v>
      </c>
      <c r="B34" s="408" t="s">
        <v>1055</v>
      </c>
      <c r="C34" s="413">
        <f ca="1">IF(B1="",IF(F34=100%,'数据-取费表'!M16,'数据-取费表'!O16),IF(F34=100%,INDIRECT("'数据-取费表'!m"&amp;$G$1)+INDIRECT("'数据-取费表'!t"&amp;$G$1),INDIRECT("'数据-取费表'!o"&amp;$G$1)+INDIRECT("'数据-取费表'!aq"&amp;$G$1)))</f>
        <v>24</v>
      </c>
      <c r="D34" s="410"/>
      <c r="E34" s="413"/>
      <c r="F34" s="459">
        <f ca="1">IF('数据-取费表'!B24=0,1,IF(B1="",'数据-取费表'!N16,INDIRECT("'数据-取费表'!n"&amp;$G$1)))</f>
        <v>1</v>
      </c>
      <c r="G34" s="412" t="s">
        <v>1056</v>
      </c>
    </row>
    <row r="35" ht="13.5" customHeight="1" spans="1:7">
      <c r="A35" s="438" t="s">
        <v>999</v>
      </c>
      <c r="B35" s="408" t="s">
        <v>1057</v>
      </c>
      <c r="C35" s="413">
        <f ca="1">ROUND(C34*F35,0)</f>
        <v>1</v>
      </c>
      <c r="D35" s="413"/>
      <c r="E35" s="413"/>
      <c r="F35" s="460">
        <f>'数据-取费表'!B33</f>
        <v>0.03</v>
      </c>
      <c r="G35" s="412" t="s">
        <v>1058</v>
      </c>
    </row>
    <row r="36" ht="24" spans="1:7">
      <c r="A36" s="438" t="s">
        <v>1001</v>
      </c>
      <c r="B36" s="408" t="s">
        <v>1059</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0.1</v>
      </c>
      <c r="G36" s="461" t="s">
        <v>1060</v>
      </c>
    </row>
    <row r="37" s="386" customFormat="1" ht="13.5" customHeight="1" spans="1:7">
      <c r="A37" s="438" t="s">
        <v>1041</v>
      </c>
      <c r="B37" s="408" t="s">
        <v>1061</v>
      </c>
      <c r="C37" s="451">
        <f ca="1">ROUND(E37*D37*F34/10000,0)</f>
        <v>2</v>
      </c>
      <c r="D37" s="410">
        <f ca="1">D19</f>
        <v>69.7</v>
      </c>
      <c r="E37" s="451">
        <f>'数据-取费表'!B35</f>
        <v>300</v>
      </c>
      <c r="F37" s="460"/>
      <c r="G37" s="462" t="s">
        <v>1062</v>
      </c>
    </row>
    <row r="38" ht="13.5" customHeight="1" spans="1:7">
      <c r="A38" s="438" t="s">
        <v>1063</v>
      </c>
      <c r="B38" s="408" t="s">
        <v>929</v>
      </c>
      <c r="C38" s="413">
        <f ca="1">ROUND(C34*F38,0)</f>
        <v>0</v>
      </c>
      <c r="D38" s="413"/>
      <c r="E38" s="413"/>
      <c r="F38" s="460">
        <f>'数据-取费表'!B36</f>
        <v>0.015</v>
      </c>
      <c r="G38" s="412" t="s">
        <v>1058</v>
      </c>
    </row>
    <row r="39" s="384" customFormat="1" ht="13.5" customHeight="1" spans="1:7">
      <c r="A39" s="402" t="s">
        <v>1024</v>
      </c>
      <c r="B39" s="403" t="s">
        <v>1027</v>
      </c>
      <c r="C39" s="430">
        <f ca="1">ROUND(C33*F20,0)</f>
        <v>1</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ROUND(IF('数据-取费表'!B22&lt;=1,C33*F22*'数据-取费表'!B21/2,C33*(POWER((1+F22),'数据-取费表'!B21/2)-1)),0)</f>
        <v>1</v>
      </c>
      <c r="D42" s="440"/>
      <c r="E42" s="440"/>
      <c r="F42" s="441"/>
      <c r="G42" s="464" t="s">
        <v>1067</v>
      </c>
    </row>
    <row r="43" ht="13.5" customHeight="1" spans="1:7">
      <c r="A43" s="438" t="s">
        <v>999</v>
      </c>
      <c r="B43" s="408" t="s">
        <v>1037</v>
      </c>
      <c r="C43" s="440">
        <f ca="1">ROUND(IF('数据-取费表'!B22&lt;=1,C39*F22*'数据-取费表'!B21/2,C39*(POWER((1+F22),'数据-取费表'!B21/2)-1)),0)</f>
        <v>0</v>
      </c>
      <c r="D43" s="440"/>
      <c r="E43" s="440"/>
      <c r="F43" s="441"/>
      <c r="G43" s="465"/>
    </row>
    <row r="44" ht="13.5" customHeight="1" spans="1:7">
      <c r="A44" s="438" t="s">
        <v>1001</v>
      </c>
      <c r="B44" s="408" t="s">
        <v>1039</v>
      </c>
      <c r="C44" s="440">
        <f>ROUND(IF('数据-取费表'!B22&lt;=1,C40*F22*'数据-取费表'!B21/2,C40*(POWER((1+F22),'数据-取费表'!B21/2)-1)),4)</f>
        <v>0.001</v>
      </c>
      <c r="D44" s="440"/>
      <c r="E44" s="440"/>
      <c r="F44" s="441"/>
      <c r="G44" s="466"/>
    </row>
    <row r="45" s="384" customFormat="1" ht="13.5" customHeight="1" spans="1:7">
      <c r="A45" s="402" t="s">
        <v>1033</v>
      </c>
      <c r="B45" s="446" t="s">
        <v>1044</v>
      </c>
      <c r="C45" s="447">
        <f ca="1">C46</f>
        <v>6</v>
      </c>
      <c r="D45" s="433">
        <f ca="1">C47</f>
        <v>0.004</v>
      </c>
      <c r="E45" s="434" t="s">
        <v>1065</v>
      </c>
      <c r="F45" s="448">
        <f ca="1">F27</f>
        <v>0.2</v>
      </c>
      <c r="G45" s="449" t="s">
        <v>1068</v>
      </c>
    </row>
    <row r="46" s="384" customFormat="1" ht="13.5" customHeight="1" spans="1:7">
      <c r="A46" s="438" t="s">
        <v>997</v>
      </c>
      <c r="B46" s="450" t="s">
        <v>1069</v>
      </c>
      <c r="C46" s="451">
        <f ca="1">ROUND((C33+C39)*F27,0)</f>
        <v>6</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2495">
        <f>ROUND(F30/(1+'数据-取费表'!C42),4)</f>
        <v>0.0533</v>
      </c>
      <c r="D48" s="434" t="s">
        <v>1065</v>
      </c>
      <c r="E48" s="430"/>
      <c r="F48" s="437">
        <f>F30</f>
        <v>0.056</v>
      </c>
      <c r="G48" s="435" t="s">
        <v>1071</v>
      </c>
    </row>
    <row r="49" ht="16.5" customHeight="1" spans="1:7">
      <c r="A49" s="402" t="s">
        <v>1048</v>
      </c>
      <c r="B49" s="403" t="s">
        <v>1072</v>
      </c>
      <c r="C49" s="430">
        <f ca="1">ROUND((C33+C39+C41+C45)/(1-C40-D41-D45-C48),0)</f>
        <v>40</v>
      </c>
      <c r="D49" s="430"/>
      <c r="E49" s="430"/>
      <c r="F49" s="468"/>
      <c r="G49" s="435" t="s">
        <v>1073</v>
      </c>
    </row>
    <row r="50" s="386" customFormat="1" ht="24" spans="1:7">
      <c r="A50" s="402" t="s">
        <v>1074</v>
      </c>
      <c r="B50" s="403" t="s">
        <v>1075</v>
      </c>
      <c r="C50" s="430"/>
      <c r="D50" s="430"/>
      <c r="E50" s="430"/>
      <c r="F50" s="468">
        <f>IF('数据-取费表'!B24=0,'数据-取费表'!N16,1)</f>
        <v>0.6</v>
      </c>
      <c r="G50" s="449" t="s">
        <v>1076</v>
      </c>
    </row>
    <row r="51" ht="16.5" customHeight="1" spans="1:7">
      <c r="A51" s="402" t="s">
        <v>1077</v>
      </c>
      <c r="B51" s="403" t="s">
        <v>1078</v>
      </c>
      <c r="C51" s="430">
        <f ca="1">ROUND(C49*F50,0)</f>
        <v>24</v>
      </c>
      <c r="D51" s="430"/>
      <c r="E51" s="430"/>
      <c r="F51" s="468"/>
      <c r="G51" s="435" t="s">
        <v>1079</v>
      </c>
    </row>
    <row r="52" s="383" customFormat="1" ht="16.5" spans="1:7">
      <c r="A52" s="469" t="s">
        <v>1080</v>
      </c>
      <c r="B52" s="470"/>
      <c r="C52" s="471">
        <f ca="1">C31+C51</f>
        <v>25</v>
      </c>
      <c r="D52" s="470"/>
      <c r="E52" s="470"/>
      <c r="F52" s="470"/>
      <c r="G52" s="472"/>
    </row>
    <row r="55" ht="15" spans="2:3">
      <c r="B55" s="473" t="s">
        <v>1081</v>
      </c>
      <c r="C55" s="474"/>
    </row>
    <row r="56" spans="2:3">
      <c r="B56" s="475" t="s">
        <v>1082</v>
      </c>
      <c r="C56" s="477">
        <f ca="1">1-C57</f>
        <v>0.04</v>
      </c>
    </row>
    <row r="57" spans="2:3">
      <c r="B57" s="475" t="s">
        <v>1083</v>
      </c>
      <c r="C57" s="476">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北京市房地产市场价值预评估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ht="12.75"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987</v>
      </c>
      <c r="B1" s="2484"/>
      <c r="C1" s="2485" t="s">
        <v>1084</v>
      </c>
      <c r="D1" s="392"/>
      <c r="E1" s="392"/>
      <c r="F1" s="392"/>
      <c r="G1" s="2486">
        <f>MATCH(B1,'数据-取费表'!A6:A16,0)+5</f>
        <v>7</v>
      </c>
      <c r="H1" s="2335" t="str">
        <f>IF(ISERROR(FIND("住宅",B1)),"非住宅","住宅")</f>
        <v>非住宅</v>
      </c>
    </row>
    <row r="2" s="382" customFormat="1" ht="18" customHeight="1" spans="1:7">
      <c r="A2" s="394" t="s">
        <v>988</v>
      </c>
      <c r="B2" s="2487">
        <f ca="1">ROUND(IF(D2="——",C52/10000,C52/10000-E2),4)</f>
        <v>28.4689</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4084</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11152</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11152</v>
      </c>
      <c r="D8" s="415"/>
      <c r="E8" s="413"/>
      <c r="F8" s="414"/>
      <c r="G8" s="2492"/>
    </row>
    <row r="9" s="384" customFormat="1" ht="13.5" customHeight="1" spans="1:7">
      <c r="A9" s="417" t="s">
        <v>1003</v>
      </c>
      <c r="B9" s="418" t="s">
        <v>1004</v>
      </c>
      <c r="C9" s="419">
        <f ca="1">ROUND(D9*E9,0)</f>
        <v>11152</v>
      </c>
      <c r="D9" s="420">
        <f ca="1">IF(B1="",'数据-汇总表'!E5,IF(INDIRECT("'数据-取费表'!c"&amp;$G$1)="住宅",INDIRECT("'数据-取费表'!k"&amp;$G$1),0))</f>
        <v>69.7</v>
      </c>
      <c r="E9" s="419">
        <f>'数据-取费表'!B27</f>
        <v>160</v>
      </c>
      <c r="F9" s="414"/>
      <c r="G9" s="421"/>
    </row>
    <row r="10" s="384" customFormat="1" ht="13.5" customHeight="1" spans="1:7">
      <c r="A10" s="417" t="s">
        <v>1006</v>
      </c>
      <c r="B10" s="418" t="s">
        <v>1007</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13940</v>
      </c>
      <c r="D19" s="428">
        <f ca="1">D9+D10</f>
        <v>69.7</v>
      </c>
      <c r="E19" s="404">
        <f>'数据-取费表'!B31</f>
        <v>200</v>
      </c>
      <c r="F19" s="429"/>
      <c r="G19" s="2492"/>
    </row>
    <row r="20" s="384" customFormat="1" ht="13.5" customHeight="1" spans="1:7">
      <c r="A20" s="402" t="s">
        <v>1026</v>
      </c>
      <c r="B20" s="403" t="s">
        <v>1027</v>
      </c>
      <c r="C20" s="430">
        <f ca="1">ROUND((C5+C19)*F20,0)</f>
        <v>502</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2493">
        <f ca="1">ROUND(SUM(C23:C25),0)</f>
        <v>2465</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2494">
        <f ca="1">ROUND(IF('数据-取费表'!B22&lt;=1,C5*F22*'数据-取费表'!B22,C5*(POWER((1+F22),'数据-取费表'!B22)-1)),0)</f>
        <v>1085</v>
      </c>
      <c r="D23" s="440"/>
      <c r="E23" s="440"/>
      <c r="F23" s="441"/>
      <c r="G23" s="442" t="s">
        <v>1036</v>
      </c>
    </row>
    <row r="24" s="384" customFormat="1" ht="13.5" customHeight="1" spans="1:7">
      <c r="A24" s="438" t="s">
        <v>999</v>
      </c>
      <c r="B24" s="408" t="s">
        <v>1037</v>
      </c>
      <c r="C24" s="2494">
        <f ca="1">ROUND(IF('数据-取费表'!B22&lt;=1,C19*F22*('数据-取费表'!B19/2+'数据-取费表'!B20),C19*(POWER((1+F22),('数据-取费表'!B19/2+'数据-取费表'!B20))-1)),0)</f>
        <v>1356</v>
      </c>
      <c r="D24" s="440"/>
      <c r="E24" s="440"/>
      <c r="F24" s="441"/>
      <c r="G24" s="442" t="s">
        <v>1038</v>
      </c>
    </row>
    <row r="25" s="384" customFormat="1" ht="24" spans="1:7">
      <c r="A25" s="438" t="s">
        <v>1001</v>
      </c>
      <c r="B25" s="408" t="s">
        <v>1039</v>
      </c>
      <c r="C25" s="2494">
        <f ca="1">ROUND(IF('数据-取费表'!B22&lt;=1,C20*F22*'数据-取费表'!B22/2,C20*(POWER((1+F22),'数据-取费表'!B22/2)-1)),0)</f>
        <v>24</v>
      </c>
      <c r="D25" s="440"/>
      <c r="E25" s="443"/>
      <c r="F25" s="441"/>
      <c r="G25" s="444" t="s">
        <v>1040</v>
      </c>
    </row>
    <row r="26" s="384" customFormat="1" spans="1:7">
      <c r="A26" s="438" t="s">
        <v>1041</v>
      </c>
      <c r="B26" s="408" t="s">
        <v>1042</v>
      </c>
      <c r="C26" s="440">
        <f>ROUND(IF('数据-取费表'!B22&lt;=1,F21*F22*'数据-取费表'!B22/2,F21*(POWER((1+F22),'数据-取费表'!B22/2)-1)),4)</f>
        <v>0.001</v>
      </c>
      <c r="D26" s="440"/>
      <c r="E26" s="443"/>
      <c r="F26" s="441"/>
      <c r="G26" s="445"/>
    </row>
    <row r="27" s="384" customFormat="1" ht="24.75" spans="1:7">
      <c r="A27" s="402" t="s">
        <v>1043</v>
      </c>
      <c r="B27" s="446" t="s">
        <v>1044</v>
      </c>
      <c r="C27" s="447">
        <f ca="1">C28</f>
        <v>5119</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ROUND((C5+C19+C20)*F27,0)</f>
        <v>5119</v>
      </c>
      <c r="D28" s="433"/>
      <c r="E28" s="434"/>
      <c r="F28" s="448"/>
      <c r="G28" s="449"/>
    </row>
    <row r="29" s="384" customFormat="1" ht="13.5" customHeight="1" spans="1:7">
      <c r="A29" s="438" t="s">
        <v>999</v>
      </c>
      <c r="B29" s="450" t="s">
        <v>1047</v>
      </c>
      <c r="C29" s="440">
        <f ca="1">ROUND(C21*F27,4)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35997</v>
      </c>
      <c r="D31" s="453"/>
      <c r="E31" s="404"/>
      <c r="F31" s="454"/>
      <c r="G31" s="435" t="s">
        <v>1052</v>
      </c>
    </row>
    <row r="32" s="383" customFormat="1" ht="15.75" spans="1:7">
      <c r="A32" s="455" t="s">
        <v>1085</v>
      </c>
      <c r="B32" s="456"/>
      <c r="C32" s="456"/>
      <c r="D32" s="456"/>
      <c r="E32" s="456"/>
      <c r="F32" s="456"/>
      <c r="G32" s="457"/>
    </row>
    <row r="33" s="384" customFormat="1" ht="13.5" customHeight="1" spans="1:7">
      <c r="A33" s="402" t="s">
        <v>993</v>
      </c>
      <c r="B33" s="403" t="s">
        <v>1086</v>
      </c>
      <c r="C33" s="458">
        <f ca="1">SUM(C34:C38)</f>
        <v>300233</v>
      </c>
      <c r="D33" s="430"/>
      <c r="E33" s="405"/>
      <c r="F33" s="443"/>
      <c r="G33" s="435"/>
    </row>
    <row r="34" s="386" customFormat="1" ht="13.5" customHeight="1" spans="1:7">
      <c r="A34" s="438" t="s">
        <v>997</v>
      </c>
      <c r="B34" s="408" t="s">
        <v>1055</v>
      </c>
      <c r="C34" s="413">
        <f ca="1">ROUND(IF(B1="",SUMPRODUCT('数据-取费表'!K6:K14,'数据-取费表'!L6:L14),INDIRECT("'数据-取费表'!l"&amp;$G$1)*INDIRECT("'数据-取费表'!k"&amp;$G$1)+'数据-取费表'!L14*INDIRECT("'数据-取费表'!S"&amp;$G$1)),0)</f>
        <v>243950</v>
      </c>
      <c r="D34" s="410"/>
      <c r="E34" s="413"/>
      <c r="F34" s="459"/>
      <c r="G34" s="412"/>
    </row>
    <row r="35" ht="13.5" customHeight="1" spans="1:7">
      <c r="A35" s="438" t="s">
        <v>999</v>
      </c>
      <c r="B35" s="408" t="s">
        <v>1057</v>
      </c>
      <c r="C35" s="413">
        <f ca="1">ROUND(C34*F35,0)</f>
        <v>7319</v>
      </c>
      <c r="D35" s="413"/>
      <c r="E35" s="413"/>
      <c r="F35" s="460">
        <f>'数据-取费表'!B33</f>
        <v>0.03</v>
      </c>
      <c r="G35" s="412" t="s">
        <v>1058</v>
      </c>
    </row>
    <row r="36" ht="24" spans="1:7">
      <c r="A36" s="438" t="s">
        <v>1001</v>
      </c>
      <c r="B36" s="408" t="s">
        <v>1059</v>
      </c>
      <c r="C36" s="413">
        <f ca="1">ROUND(IF(B1="",SUM('数据-取费表'!AP6:AP13)*F36,IF(INDIRECT("'数据-取费表'!c"&amp;$G$1)="住宅",INDIRECT("'数据-取费表'!k"&amp;$G$1)*INDIRECT("'数据-取费表'!l"&amp;$G$1)*F36,0)),0)</f>
        <v>24395</v>
      </c>
      <c r="D36" s="413"/>
      <c r="E36" s="413"/>
      <c r="F36" s="460">
        <f>'数据-取费表'!B34</f>
        <v>0.1</v>
      </c>
      <c r="G36" s="461" t="s">
        <v>1060</v>
      </c>
    </row>
    <row r="37" s="386" customFormat="1" ht="13.5" customHeight="1" spans="1:7">
      <c r="A37" s="438" t="s">
        <v>1041</v>
      </c>
      <c r="B37" s="408" t="s">
        <v>1061</v>
      </c>
      <c r="C37" s="451">
        <f ca="1">ROUND(E37*D37,0)</f>
        <v>20910</v>
      </c>
      <c r="D37" s="410">
        <f ca="1">D19</f>
        <v>69.7</v>
      </c>
      <c r="E37" s="451">
        <f>'数据-取费表'!B35</f>
        <v>300</v>
      </c>
      <c r="F37" s="460"/>
      <c r="G37" s="462"/>
    </row>
    <row r="38" ht="13.5" customHeight="1" spans="1:7">
      <c r="A38" s="438" t="s">
        <v>1063</v>
      </c>
      <c r="B38" s="408" t="s">
        <v>929</v>
      </c>
      <c r="C38" s="413">
        <f ca="1">ROUND(C34*F38,0)</f>
        <v>3659</v>
      </c>
      <c r="D38" s="413"/>
      <c r="E38" s="413"/>
      <c r="F38" s="460">
        <f>'数据-取费表'!B36</f>
        <v>0.015</v>
      </c>
      <c r="G38" s="412" t="s">
        <v>1058</v>
      </c>
    </row>
    <row r="39" s="384" customFormat="1" ht="13.5" customHeight="1" spans="1:7">
      <c r="A39" s="402" t="s">
        <v>1024</v>
      </c>
      <c r="B39" s="403" t="s">
        <v>1027</v>
      </c>
      <c r="C39" s="430">
        <f ca="1">ROUND(C33*F20,0)</f>
        <v>6005</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14546</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ROUND(IF('数据-取费表'!B22&lt;=1,C33*F22*'数据-取费表'!B20/2,C33*(POWER((1+F22),'数据-取费表'!B20/2)-1)),0)</f>
        <v>14261</v>
      </c>
      <c r="D42" s="440"/>
      <c r="E42" s="440"/>
      <c r="F42" s="441"/>
      <c r="G42" s="464" t="s">
        <v>1087</v>
      </c>
    </row>
    <row r="43" ht="13.5" customHeight="1" spans="1:7">
      <c r="A43" s="438" t="s">
        <v>999</v>
      </c>
      <c r="B43" s="408" t="s">
        <v>1037</v>
      </c>
      <c r="C43" s="440">
        <f ca="1">ROUND(IF('数据-取费表'!B22&lt;=1,C39*F22*'数据-取费表'!B20/2,C39*(POWER((1+F22),'数据-取费表'!B20/2)-1)),0)</f>
        <v>285</v>
      </c>
      <c r="D43" s="440"/>
      <c r="E43" s="440"/>
      <c r="F43" s="441"/>
      <c r="G43" s="465"/>
    </row>
    <row r="44" ht="13.5" customHeight="1" spans="1:7">
      <c r="A44" s="438" t="s">
        <v>1001</v>
      </c>
      <c r="B44" s="408" t="s">
        <v>1039</v>
      </c>
      <c r="C44" s="440">
        <f>ROUND(IF('数据-取费表'!B22&lt;=1,C40*F22*'数据-取费表'!B20/2,C40*(POWER((1+F22),'数据-取费表'!B20/2)-1)),4)</f>
        <v>0.001</v>
      </c>
      <c r="D44" s="440"/>
      <c r="E44" s="440"/>
      <c r="F44" s="441"/>
      <c r="G44" s="466"/>
    </row>
    <row r="45" s="384" customFormat="1" ht="13.5" customHeight="1" spans="1:7">
      <c r="A45" s="402" t="s">
        <v>1033</v>
      </c>
      <c r="B45" s="446" t="s">
        <v>1044</v>
      </c>
      <c r="C45" s="447">
        <f ca="1">C46</f>
        <v>61248</v>
      </c>
      <c r="D45" s="433">
        <f ca="1">C47</f>
        <v>0.004</v>
      </c>
      <c r="E45" s="434" t="s">
        <v>1065</v>
      </c>
      <c r="F45" s="448">
        <f ca="1">F27</f>
        <v>0.2</v>
      </c>
      <c r="G45" s="449" t="s">
        <v>1068</v>
      </c>
    </row>
    <row r="46" s="384" customFormat="1" ht="13.5" customHeight="1" spans="1:7">
      <c r="A46" s="438" t="s">
        <v>997</v>
      </c>
      <c r="B46" s="450" t="s">
        <v>1069</v>
      </c>
      <c r="C46" s="451">
        <f ca="1">ROUND((C33+C39)*F27,0)</f>
        <v>61248</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414486</v>
      </c>
      <c r="D49" s="430"/>
      <c r="E49" s="430"/>
      <c r="F49" s="468"/>
      <c r="G49" s="435" t="s">
        <v>1073</v>
      </c>
    </row>
    <row r="50" s="386" customFormat="1" spans="1:7">
      <c r="A50" s="402" t="s">
        <v>1074</v>
      </c>
      <c r="B50" s="403" t="s">
        <v>1075</v>
      </c>
      <c r="C50" s="430"/>
      <c r="D50" s="430"/>
      <c r="E50" s="430"/>
      <c r="F50" s="468">
        <f>IF('数据-取费表'!B24=0,'数据-取费表'!N16,1)</f>
        <v>0.6</v>
      </c>
      <c r="G50" s="449"/>
    </row>
    <row r="51" ht="16.5" customHeight="1" spans="1:7">
      <c r="A51" s="402" t="s">
        <v>1077</v>
      </c>
      <c r="B51" s="403" t="s">
        <v>1089</v>
      </c>
      <c r="C51" s="430">
        <f ca="1">ROUND(C49*F50,0)</f>
        <v>248692</v>
      </c>
      <c r="D51" s="430"/>
      <c r="E51" s="430"/>
      <c r="F51" s="468"/>
      <c r="G51" s="435" t="s">
        <v>1079</v>
      </c>
    </row>
    <row r="52" s="383" customFormat="1" ht="16.5" spans="1:7">
      <c r="A52" s="469" t="s">
        <v>1080</v>
      </c>
      <c r="B52" s="470"/>
      <c r="C52" s="471">
        <f ca="1">C31+C51</f>
        <v>284689</v>
      </c>
      <c r="D52" s="470"/>
      <c r="E52" s="470"/>
      <c r="F52" s="470"/>
      <c r="G52" s="472"/>
    </row>
    <row r="55" ht="15" spans="2:3">
      <c r="B55" s="473" t="s">
        <v>1081</v>
      </c>
      <c r="C55" s="474"/>
    </row>
    <row r="56" spans="2:3">
      <c r="B56" s="475" t="s">
        <v>1082</v>
      </c>
      <c r="C56" s="477">
        <f ca="1">1-C57</f>
        <v>0.126</v>
      </c>
    </row>
    <row r="57" spans="2:3">
      <c r="B57" s="475" t="s">
        <v>1083</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8" customWidth="1"/>
    <col min="3" max="3" width="10.375" style="2399" customWidth="1"/>
    <col min="4" max="4" width="9.875" style="2398" customWidth="1"/>
    <col min="5" max="5" width="9.5" style="1090"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0" t="s">
        <v>1090</v>
      </c>
      <c r="B1" s="2105"/>
      <c r="C1" s="2400"/>
      <c r="D1" s="2401"/>
      <c r="E1" s="2402"/>
      <c r="F1" s="2402"/>
      <c r="G1" s="2403"/>
      <c r="H1" s="2402"/>
      <c r="I1" s="2402"/>
      <c r="J1" s="2402"/>
      <c r="K1" s="2471">
        <f>MATCH(C1,'数据-取费表'!A6:A16,0)+5</f>
        <v>7</v>
      </c>
    </row>
    <row r="2" ht="18" customHeight="1" spans="1:11">
      <c r="A2" s="394" t="s">
        <v>988</v>
      </c>
      <c r="B2" s="398">
        <f ca="1">C32</f>
        <v>-1</v>
      </c>
      <c r="C2" s="2404" t="s">
        <v>1091</v>
      </c>
      <c r="D2" s="2404"/>
      <c r="E2" s="2402"/>
      <c r="F2" s="2402"/>
      <c r="G2" s="2402"/>
      <c r="H2" s="2402"/>
      <c r="I2" s="2402"/>
      <c r="J2" s="2402"/>
      <c r="K2" s="2402"/>
    </row>
    <row r="3" ht="18" customHeight="1" spans="1:11">
      <c r="A3" s="397" t="s">
        <v>990</v>
      </c>
      <c r="B3" s="398">
        <f ca="1">ROUND(B2*10000/IF(C1="",'数据-汇总表'!E3,INDIRECT("'数据-取费表'!K"&amp;$K$1)),0)</f>
        <v>-143</v>
      </c>
      <c r="C3" s="2404" t="s">
        <v>1092</v>
      </c>
      <c r="D3" s="2404"/>
      <c r="E3" s="2402"/>
      <c r="F3" s="2402"/>
      <c r="G3" s="2402"/>
      <c r="H3" s="2402"/>
      <c r="I3" s="2402"/>
      <c r="J3" s="2402"/>
      <c r="K3" s="2402"/>
    </row>
    <row r="4" s="2389" customFormat="1" ht="16.5" customHeight="1" spans="1:11">
      <c r="A4" s="2405" t="s">
        <v>1093</v>
      </c>
      <c r="B4" s="2406"/>
      <c r="C4" s="2407">
        <f>SUM(C8:K8)</f>
        <v>0</v>
      </c>
      <c r="D4" s="2406"/>
      <c r="E4" s="2406"/>
      <c r="F4" s="2406"/>
      <c r="G4" s="2406"/>
      <c r="H4" s="2406"/>
      <c r="I4" s="2406"/>
      <c r="J4" s="2406"/>
      <c r="K4" s="2472"/>
    </row>
    <row r="5" s="2390" customFormat="1" ht="15" spans="1:33">
      <c r="A5" s="2408" t="s">
        <v>1094</v>
      </c>
      <c r="B5" s="2409" t="s">
        <v>1095</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898</v>
      </c>
      <c r="B6" s="2068" t="s">
        <v>1096</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902</v>
      </c>
      <c r="B7" s="2068" t="s">
        <v>458</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947</v>
      </c>
      <c r="B8" s="2415" t="s">
        <v>1097</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1098</v>
      </c>
      <c r="B9" s="2406"/>
      <c r="C9" s="2406"/>
      <c r="D9" s="2406"/>
      <c r="E9" s="2406"/>
      <c r="F9" s="2406"/>
      <c r="G9" s="2406"/>
      <c r="H9" s="2406"/>
      <c r="I9" s="2406"/>
      <c r="J9" s="2406"/>
      <c r="K9" s="2472"/>
    </row>
    <row r="10" s="2392" customFormat="1" ht="13.5" customHeight="1" spans="1:11">
      <c r="A10" s="2408" t="s">
        <v>1094</v>
      </c>
      <c r="B10" s="2418" t="s">
        <v>1095</v>
      </c>
      <c r="C10" s="2419" t="s">
        <v>1099</v>
      </c>
      <c r="D10" s="2420" t="s">
        <v>1100</v>
      </c>
      <c r="E10" s="2420" t="s">
        <v>1101</v>
      </c>
      <c r="F10" s="2420" t="s">
        <v>1102</v>
      </c>
      <c r="G10" s="2418"/>
      <c r="H10" s="2421"/>
      <c r="I10" s="2421"/>
      <c r="J10" s="2421"/>
      <c r="K10" s="2478"/>
    </row>
    <row r="11" s="2393" customFormat="1" ht="13.5" customHeight="1" spans="1:11">
      <c r="A11" s="2422" t="s">
        <v>1003</v>
      </c>
      <c r="B11" s="2423" t="s">
        <v>1103</v>
      </c>
      <c r="C11" s="2424">
        <f ca="1">IF(C1="",'数据-取费表'!P16,INDIRECT("'数据-取费表'!p"&amp;$K$1)+INDIRECT("'数据-取费表'!ar"&amp;$K$1))</f>
        <v>0</v>
      </c>
      <c r="D11" s="2425"/>
      <c r="E11" s="2071"/>
      <c r="F11" s="2426">
        <f ca="1">1-IF('数据-取费表'!B24=0,1,IF(C1="",'数据-取费表'!N16,INDIRECT("'数据-取费表'!n"&amp;$K$1)))</f>
        <v>0</v>
      </c>
      <c r="G11" s="2418"/>
      <c r="H11" s="2421"/>
      <c r="I11" s="2421"/>
      <c r="J11" s="2421"/>
      <c r="K11" s="2478"/>
    </row>
    <row r="12" s="2393" customFormat="1" ht="13.5" customHeight="1" spans="1:11">
      <c r="A12" s="2422" t="s">
        <v>1006</v>
      </c>
      <c r="B12" s="2423" t="s">
        <v>1104</v>
      </c>
      <c r="C12" s="1048">
        <f ca="1">ROUND(C11*F12,0)</f>
        <v>0</v>
      </c>
      <c r="D12" s="2425"/>
      <c r="E12" s="2071"/>
      <c r="F12" s="2426">
        <f>'数据-取费表'!B33</f>
        <v>0.03</v>
      </c>
      <c r="G12" s="2418" t="s">
        <v>1105</v>
      </c>
      <c r="H12" s="2421"/>
      <c r="I12" s="2421"/>
      <c r="J12" s="2421"/>
      <c r="K12" s="2478"/>
    </row>
    <row r="13" s="2393" customFormat="1" ht="13.5" customHeight="1" spans="1:11">
      <c r="A13" s="2422" t="s">
        <v>1106</v>
      </c>
      <c r="B13" s="2423" t="s">
        <v>1107</v>
      </c>
      <c r="C13" s="1048">
        <f ca="1">ROUND(IF(C1="",SUMIF('数据-取费表'!C:C,"住宅",'数据-取费表'!P:P)*F13,IF(INDIRECT("'数据-取费表'!c"&amp;$K$1)="住宅",INDIRECT("'数据-取费表'!P"&amp;$K$1)*F13,0)),0)</f>
        <v>0</v>
      </c>
      <c r="D13" s="2427"/>
      <c r="E13" s="2071"/>
      <c r="F13" s="2426">
        <f>'数据-取费表'!B34</f>
        <v>0.1</v>
      </c>
      <c r="G13" s="2418" t="s">
        <v>1108</v>
      </c>
      <c r="H13" s="2421"/>
      <c r="I13" s="2421"/>
      <c r="J13" s="2421"/>
      <c r="K13" s="2478"/>
    </row>
    <row r="14" s="2394" customFormat="1" ht="13.5" customHeight="1" spans="1:33">
      <c r="A14" s="2422" t="s">
        <v>1109</v>
      </c>
      <c r="B14" s="2423" t="s">
        <v>1110</v>
      </c>
      <c r="C14" s="1048">
        <f ca="1">ROUND(D14*E14*F11/10000,0)</f>
        <v>0</v>
      </c>
      <c r="D14" s="2427">
        <f ca="1">IF(C1="",'数据-汇总表'!E3,INDIRECT("'数据-取费表'!K"&amp;$K$1)+INDIRECT("'数据-取费表'!S"&amp;$K$1))</f>
        <v>69.7</v>
      </c>
      <c r="E14" s="1048">
        <f>'数据-取费表'!B35</f>
        <v>300</v>
      </c>
      <c r="F14" s="2428"/>
      <c r="G14" s="2418" t="s">
        <v>1111</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1112</v>
      </c>
      <c r="B15" s="2423" t="s">
        <v>1113</v>
      </c>
      <c r="C15" s="2429">
        <f ca="1">ROUND(C11*F15,0)</f>
        <v>0</v>
      </c>
      <c r="D15" s="2430"/>
      <c r="E15" s="2429"/>
      <c r="F15" s="2426">
        <f>'数据-取费表'!B36</f>
        <v>0.015</v>
      </c>
      <c r="G15" s="2068" t="s">
        <v>1114</v>
      </c>
      <c r="H15" s="2183"/>
      <c r="I15" s="2183"/>
      <c r="J15" s="2183"/>
      <c r="K15" s="2184"/>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921</v>
      </c>
      <c r="B16" s="2423" t="s">
        <v>1115</v>
      </c>
      <c r="C16" s="2429">
        <f ca="1">SUM(C11:C15)</f>
        <v>0</v>
      </c>
      <c r="D16" s="2430"/>
      <c r="E16" s="2429"/>
      <c r="F16" s="2426"/>
      <c r="G16" s="2068"/>
      <c r="H16" s="2431"/>
      <c r="I16" s="2183"/>
      <c r="J16" s="2183"/>
      <c r="K16" s="2184"/>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925</v>
      </c>
      <c r="B17" s="2423" t="s">
        <v>1116</v>
      </c>
      <c r="C17" s="1048">
        <f ca="1">ROUND(D17*E17/10000,0)</f>
        <v>0</v>
      </c>
      <c r="D17" s="2427">
        <f ca="1">D14</f>
        <v>69.7</v>
      </c>
      <c r="E17" s="1048">
        <f>'数据-取费表'!B32</f>
        <v>0</v>
      </c>
      <c r="F17" s="2430"/>
      <c r="G17" s="2068" t="s">
        <v>1117</v>
      </c>
      <c r="H17" s="2431"/>
      <c r="I17" s="2183"/>
      <c r="J17" s="2183"/>
      <c r="K17" s="2184"/>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1118</v>
      </c>
      <c r="B18" s="2423" t="s">
        <v>1119</v>
      </c>
      <c r="C18" s="1048">
        <f ca="1">C19+C20-IF(C1="",'数据-取费表'!B29,IF(G18="已全部缴纳",C19+C20,H18))</f>
        <v>1</v>
      </c>
      <c r="D18" s="2427"/>
      <c r="E18" s="1048"/>
      <c r="F18" s="2428"/>
      <c r="G18" s="2432"/>
      <c r="H18" s="2433"/>
      <c r="I18" s="2479" t="s">
        <v>1120</v>
      </c>
      <c r="J18" s="2183"/>
      <c r="K18" s="2184"/>
    </row>
    <row r="19" s="2393" customFormat="1" ht="13.5" customHeight="1" spans="1:11">
      <c r="A19" s="2422" t="s">
        <v>1003</v>
      </c>
      <c r="B19" s="2423" t="s">
        <v>445</v>
      </c>
      <c r="C19" s="1048">
        <f ca="1">ROUND(D19*E19/10000,0)</f>
        <v>1</v>
      </c>
      <c r="D19" s="2427">
        <f ca="1">IF(C1="",'数据-汇总表'!E5,IF(INDIRECT("'数据-取费表'!c"&amp;$K$1)="住宅",INDIRECT("'数据-取费表'!k"&amp;$K$1),0))</f>
        <v>69.7</v>
      </c>
      <c r="E19" s="1048">
        <f>'数据-取费表'!B27</f>
        <v>160</v>
      </c>
      <c r="F19" s="2428"/>
      <c r="G19" s="2182"/>
      <c r="H19" s="2434"/>
      <c r="I19" s="2435"/>
      <c r="J19" s="2435"/>
      <c r="K19" s="2480"/>
    </row>
    <row r="20" s="2393" customFormat="1" ht="13.5" customHeight="1" spans="1:11">
      <c r="A20" s="2422" t="s">
        <v>1006</v>
      </c>
      <c r="B20" s="2423" t="s">
        <v>1121</v>
      </c>
      <c r="C20" s="1048">
        <f ca="1">ROUND(D20*E20/10000,0)</f>
        <v>0</v>
      </c>
      <c r="D20" s="2427">
        <f ca="1">IF(C1="",'数据-汇总表'!E6,IF(INDIRECT("'数据-取费表'!c"&amp;$K$1)="住宅",INDIRECT("'数据-取费表'!s"&amp;$K$1),INDIRECT("'数据-取费表'!k"&amp;$K$1)+INDIRECT("'数据-取费表'!s"&amp;$K$1)))</f>
        <v>0</v>
      </c>
      <c r="E20" s="1048">
        <f>'数据-取费表'!B28</f>
        <v>200</v>
      </c>
      <c r="F20" s="2428"/>
      <c r="G20" s="2182"/>
      <c r="H20" s="2435"/>
      <c r="I20" s="2435"/>
      <c r="J20" s="2435"/>
      <c r="K20" s="2480"/>
    </row>
    <row r="21" s="2393" customFormat="1" ht="13.5" customHeight="1" spans="1:11">
      <c r="A21" s="2411" t="s">
        <v>898</v>
      </c>
      <c r="B21" s="2436" t="s">
        <v>1122</v>
      </c>
      <c r="C21" s="2437">
        <f ca="1">C16+C17+C18</f>
        <v>1</v>
      </c>
      <c r="D21" s="2438"/>
      <c r="E21" s="2439"/>
      <c r="F21" s="2439"/>
      <c r="G21" s="2068" t="s">
        <v>1123</v>
      </c>
      <c r="H21" s="2183"/>
      <c r="I21" s="2183"/>
      <c r="J21" s="2183"/>
      <c r="K21" s="2184"/>
    </row>
    <row r="22" s="2393" customFormat="1" ht="13.5" customHeight="1" spans="1:11">
      <c r="A22" s="2411" t="s">
        <v>902</v>
      </c>
      <c r="B22" s="2436" t="s">
        <v>1124</v>
      </c>
      <c r="C22" s="2437">
        <f ca="1">ROUND(C21*F22,0)</f>
        <v>0</v>
      </c>
      <c r="D22" s="2439"/>
      <c r="E22" s="2439"/>
      <c r="F22" s="2440">
        <f>'数据-取费表'!B37</f>
        <v>0.02</v>
      </c>
      <c r="G22" s="2418" t="s">
        <v>1125</v>
      </c>
      <c r="H22" s="2421"/>
      <c r="I22" s="2421"/>
      <c r="J22" s="2421"/>
      <c r="K22" s="2478"/>
    </row>
    <row r="23" s="2393" customFormat="1" ht="13.5" customHeight="1" spans="1:11">
      <c r="A23" s="2411" t="s">
        <v>947</v>
      </c>
      <c r="B23" s="2436" t="s">
        <v>1126</v>
      </c>
      <c r="C23" s="2437">
        <f ca="1">ROUND(C4*F23*F11,0)</f>
        <v>0</v>
      </c>
      <c r="D23" s="2439"/>
      <c r="E23" s="2439"/>
      <c r="F23" s="2440">
        <f>'数据-取费表'!B38</f>
        <v>0.02</v>
      </c>
      <c r="G23" s="2418" t="s">
        <v>1127</v>
      </c>
      <c r="H23" s="2421"/>
      <c r="I23" s="2421"/>
      <c r="J23" s="2421"/>
      <c r="K23" s="2478"/>
    </row>
    <row r="24" s="2393" customFormat="1" ht="13.5" customHeight="1" spans="1:11">
      <c r="A24" s="2411" t="s">
        <v>950</v>
      </c>
      <c r="B24" s="2436" t="s">
        <v>1128</v>
      </c>
      <c r="C24" s="2441">
        <f>ROUND(F24/(1+'数据-取费表'!C42),4)</f>
        <v>0.029</v>
      </c>
      <c r="D24" s="2439" t="s">
        <v>1129</v>
      </c>
      <c r="E24" s="2439"/>
      <c r="F24" s="2440">
        <f>IF(项目基本情况!B8="出让",0,'数据-取费表'!B48+'数据-取费表'!B49)</f>
        <v>0.0305</v>
      </c>
      <c r="G24" s="2418" t="s">
        <v>1130</v>
      </c>
      <c r="H24" s="2442"/>
      <c r="I24" s="2442"/>
      <c r="J24" s="2442"/>
      <c r="K24" s="2481"/>
    </row>
    <row r="25" s="2393" customFormat="1" ht="13.5" customHeight="1" spans="1:11">
      <c r="A25" s="2411" t="s">
        <v>954</v>
      </c>
      <c r="B25" s="2438" t="s">
        <v>1131</v>
      </c>
      <c r="C25" s="2443">
        <f ca="1">C27</f>
        <v>0</v>
      </c>
      <c r="D25" s="2441">
        <f>C26</f>
        <v>0</v>
      </c>
      <c r="E25" s="2444" t="s">
        <v>1129</v>
      </c>
      <c r="F25" s="2445">
        <f>'数据-取费表'!B40</f>
        <v>0.0475</v>
      </c>
      <c r="G25" s="2068"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921</v>
      </c>
      <c r="B26" s="2446" t="s">
        <v>1132</v>
      </c>
      <c r="C26" s="2447">
        <f>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183"/>
      <c r="I26" s="2183"/>
      <c r="J26" s="2183"/>
      <c r="K26" s="2184"/>
    </row>
    <row r="27" s="2395" customFormat="1" ht="13.5" customHeight="1" spans="1:11">
      <c r="A27" s="2422" t="s">
        <v>925</v>
      </c>
      <c r="B27" s="2446" t="s">
        <v>1133</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183"/>
      <c r="I27" s="2183"/>
      <c r="J27" s="2183"/>
      <c r="K27" s="2184"/>
    </row>
    <row r="28" s="2396" customFormat="1" ht="13.5" customHeight="1" spans="1:11">
      <c r="A28" s="2411" t="s">
        <v>955</v>
      </c>
      <c r="B28" s="2453" t="s">
        <v>1134</v>
      </c>
      <c r="C28" s="2454">
        <f ca="1">C30</f>
        <v>0</v>
      </c>
      <c r="D28" s="2441">
        <f ca="1">C29</f>
        <v>0</v>
      </c>
      <c r="E28" s="2444" t="s">
        <v>1129</v>
      </c>
      <c r="F28" s="1385">
        <f ca="1">IF(C1="",'数据-取费表'!Q16,INDIRECT("'数据-取费表'!q"&amp;$K$1))</f>
        <v>0.2</v>
      </c>
      <c r="G28" s="2455"/>
      <c r="H28" s="2442"/>
      <c r="I28" s="2442"/>
      <c r="J28" s="2442"/>
      <c r="K28" s="2481"/>
    </row>
    <row r="29" s="2397" customFormat="1" ht="13.5" customHeight="1" spans="1:11">
      <c r="A29" s="2422" t="s">
        <v>921</v>
      </c>
      <c r="B29" s="2456" t="s">
        <v>1135</v>
      </c>
      <c r="C29" s="2448">
        <f ca="1">ROUND((1+C24)*F28*'数据-取费表'!B24/'数据-取费表'!B20,4)</f>
        <v>0</v>
      </c>
      <c r="D29" s="2448"/>
      <c r="E29" s="2449"/>
      <c r="F29" s="2457"/>
      <c r="G29" s="2068" t="s">
        <v>1136</v>
      </c>
      <c r="H29" s="2183"/>
      <c r="I29" s="2183"/>
      <c r="J29" s="2183"/>
      <c r="K29" s="2184"/>
    </row>
    <row r="30" s="2397" customFormat="1" ht="13.5" customHeight="1" spans="1:11">
      <c r="A30" s="2422" t="s">
        <v>925</v>
      </c>
      <c r="B30" s="2456" t="s">
        <v>1137</v>
      </c>
      <c r="C30" s="2458">
        <f ca="1">ROUND((C21+C22+C23)*F28,0)</f>
        <v>0</v>
      </c>
      <c r="D30" s="2448"/>
      <c r="E30" s="2449"/>
      <c r="F30" s="2457"/>
      <c r="G30" s="2068"/>
      <c r="H30" s="2183"/>
      <c r="I30" s="2183"/>
      <c r="J30" s="2183"/>
      <c r="K30" s="2184"/>
    </row>
    <row r="31" s="2393" customFormat="1" ht="13.5" customHeight="1" spans="1:11">
      <c r="A31" s="2459" t="s">
        <v>1138</v>
      </c>
      <c r="B31" s="2460" t="s">
        <v>1139</v>
      </c>
      <c r="C31" s="2461">
        <f>ROUND(C4*F31/(1+'数据-取费表'!C42),0)</f>
        <v>0</v>
      </c>
      <c r="D31" s="2462"/>
      <c r="E31" s="2463"/>
      <c r="F31" s="2464">
        <f>'数据-取费表'!B41</f>
        <v>0.056</v>
      </c>
      <c r="G31" s="2465" t="s">
        <v>1140</v>
      </c>
      <c r="H31" s="2466"/>
      <c r="I31" s="2466"/>
      <c r="J31" s="2466"/>
      <c r="K31" s="2482"/>
    </row>
    <row r="32" s="2392" customFormat="1" ht="13.5" customHeight="1" spans="1:11">
      <c r="A32" s="2467" t="s">
        <v>1141</v>
      </c>
      <c r="B32" s="2468"/>
      <c r="C32" s="2469">
        <f ca="1">ROUND((C4-C21-C22-C23-C25-C28-C31)/(1+C24+D25+D28),0)</f>
        <v>-1</v>
      </c>
      <c r="D32" s="2468"/>
      <c r="E32" s="2468"/>
      <c r="F32" s="2468"/>
      <c r="G32" s="2470" t="s">
        <v>1142</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C17" workbookViewId="0">
      <selection activeCell="I51" sqref="I51"/>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1144</v>
      </c>
      <c r="C1" s="1594" t="s">
        <v>1145</v>
      </c>
      <c r="D1" s="1537" t="s">
        <v>412</v>
      </c>
      <c r="E1" s="1754" t="s">
        <v>1146</v>
      </c>
      <c r="F1" s="1539" t="s">
        <v>1147</v>
      </c>
      <c r="G1" s="1540" t="s">
        <v>1148</v>
      </c>
      <c r="H1" s="1541"/>
      <c r="I1" s="1541"/>
      <c r="J1" s="1541"/>
      <c r="K1" s="1592"/>
      <c r="L1" s="1593"/>
      <c r="M1" s="1594"/>
      <c r="N1" s="1594"/>
      <c r="O1" s="1594"/>
      <c r="P1" s="2310"/>
      <c r="Q1" s="1536"/>
      <c r="R1" s="1536"/>
      <c r="S1" s="1536"/>
      <c r="T1" s="1536"/>
      <c r="U1" s="1536"/>
      <c r="V1" s="1536"/>
      <c r="W1" s="1536"/>
      <c r="X1" s="1536"/>
      <c r="Y1" s="1536"/>
      <c r="Z1" s="1536"/>
      <c r="AA1" s="1536"/>
      <c r="AB1" s="1536"/>
      <c r="AC1" s="1601"/>
    </row>
    <row r="2" s="2288" customFormat="1" ht="28.5" customHeight="1" spans="1:29">
      <c r="A2" s="1542" t="s">
        <v>988</v>
      </c>
      <c r="B2" s="2289">
        <f ca="1">IF(E1="项目模式",IF(C2="——",ROUND(C49*D3/10000,0),ROUND(C49*D3/10000,0)-D2),IF(E1="单套模式",IF(C2="——",ROUND(C49*D3/10000,4),ROUND(C49*D3/10000,4)-D2)))</f>
        <v>999.2401</v>
      </c>
      <c r="C2" s="1544" t="s">
        <v>124</v>
      </c>
      <c r="D2" s="1715" t="e">
        <f ca="1">IF(E1="项目模式",SUMIF(INDIRECT("'"&amp;F2&amp;"'"&amp;"!A:A"),"承租人权益价值",INDIRECT("'"&amp;F2&amp;"'"&amp;"!c:c")),SUMIF(INDIRECT("'"&amp;F2&amp;"'"&amp;"!A:A"),"承租人权益价值（单套）",INDIRECT("'"&amp;F2&amp;"'"&amp;"!c:c")))</f>
        <v>#REF!</v>
      </c>
      <c r="E2" s="1545" t="s">
        <v>989</v>
      </c>
      <c r="F2" s="1546"/>
      <c r="G2" s="1496"/>
      <c r="H2" s="1496"/>
      <c r="I2" s="1496"/>
      <c r="J2" s="1496"/>
      <c r="K2" s="2311"/>
      <c r="L2" s="2312"/>
      <c r="M2" s="2313"/>
      <c r="N2" s="2313"/>
      <c r="O2" s="2313"/>
      <c r="P2" s="2314"/>
      <c r="Q2" s="2333"/>
      <c r="R2" s="2333"/>
      <c r="S2" s="2333"/>
      <c r="T2" s="2333"/>
      <c r="U2" s="2333"/>
      <c r="V2" s="2333"/>
      <c r="W2" s="2333"/>
      <c r="X2" s="2333"/>
      <c r="Y2" s="2333"/>
      <c r="Z2" s="2333"/>
      <c r="AA2" s="2333"/>
      <c r="AB2" s="2333"/>
      <c r="AC2" s="2334"/>
    </row>
    <row r="3" s="2288" customFormat="1" ht="28.5" customHeight="1" spans="1:29">
      <c r="A3" s="397" t="s">
        <v>990</v>
      </c>
      <c r="B3" s="1548">
        <f ca="1">IF(C2="——",C49,ROUND(B2*10000/D3,0))</f>
        <v>143363</v>
      </c>
      <c r="C3" s="1547" t="s">
        <v>1149</v>
      </c>
      <c r="D3" s="1548">
        <f>IF(D1="",'数据-汇总表'!E3,SUMIF('数据-汇总表'!$C19:$C33,D1,'数据-汇总表'!$E19:$E33))</f>
        <v>69.7</v>
      </c>
      <c r="E3" s="1496"/>
      <c r="F3" s="2290"/>
      <c r="G3" s="1496"/>
      <c r="H3" s="1496"/>
      <c r="I3" s="1496"/>
      <c r="J3" s="1496"/>
      <c r="K3" s="2311"/>
      <c r="L3" s="2312"/>
      <c r="M3" s="2313"/>
      <c r="N3" s="2313"/>
      <c r="O3" s="2313"/>
      <c r="P3" s="2314"/>
      <c r="Q3" s="2333"/>
      <c r="R3" s="2333"/>
      <c r="S3" s="2333"/>
      <c r="T3" s="2333"/>
      <c r="U3" s="2333"/>
      <c r="V3" s="2333"/>
      <c r="W3" s="2333"/>
      <c r="X3" s="2333"/>
      <c r="Y3" s="2333"/>
      <c r="Z3" s="2333"/>
      <c r="AA3" s="2333"/>
      <c r="AB3" s="2333"/>
      <c r="AC3" s="2335"/>
    </row>
    <row r="4" ht="15" spans="1:29">
      <c r="A4" s="1134" t="s">
        <v>1150</v>
      </c>
      <c r="B4" s="1135"/>
      <c r="C4" s="1136" t="s">
        <v>1151</v>
      </c>
      <c r="D4" s="1137"/>
      <c r="E4" s="1138" t="s">
        <v>1152</v>
      </c>
      <c r="F4" s="1139"/>
      <c r="G4" s="1136" t="s">
        <v>1153</v>
      </c>
      <c r="H4" s="1137"/>
      <c r="I4" s="1136" t="s">
        <v>1154</v>
      </c>
      <c r="J4" s="1137"/>
      <c r="K4" s="2315"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74" t="s">
        <v>1153</v>
      </c>
      <c r="AC4" s="1374" t="s">
        <v>1154</v>
      </c>
    </row>
    <row r="5" ht="15" spans="1:29">
      <c r="A5" s="1140"/>
      <c r="B5" s="1141"/>
      <c r="C5" s="1142" t="s">
        <v>1157</v>
      </c>
      <c r="D5" s="1143"/>
      <c r="E5" s="1144" t="s">
        <v>1158</v>
      </c>
      <c r="F5" s="1145"/>
      <c r="G5" s="1142" t="s">
        <v>1159</v>
      </c>
      <c r="H5" s="1143"/>
      <c r="I5" s="1142" t="s">
        <v>1160</v>
      </c>
      <c r="J5" s="1143"/>
      <c r="K5" s="231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2316"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2291">
        <f>'数据-取费表'!B2</f>
        <v>44977</v>
      </c>
      <c r="D7" s="2292">
        <v>100</v>
      </c>
      <c r="E7" s="2293">
        <v>44885</v>
      </c>
      <c r="F7" s="2294">
        <f>SUMIF(58:58,YEAR(E7)&amp;"-"&amp;MONTH(E7),59:59)</f>
        <v>99.8</v>
      </c>
      <c r="G7" s="2293">
        <v>44828</v>
      </c>
      <c r="H7" s="2292">
        <f>SUMIF(58:58,YEAR(G7)&amp;"-"&amp;MONTH(G7),59:59)</f>
        <v>99.6</v>
      </c>
      <c r="I7" s="2293">
        <v>44815</v>
      </c>
      <c r="J7" s="2292">
        <f>SUMIF(58:58,YEAR(I7)&amp;"-"&amp;MONTH(I7),59:59)</f>
        <v>99.6</v>
      </c>
      <c r="K7" s="2317"/>
      <c r="L7" s="1301"/>
      <c r="M7" s="1302"/>
      <c r="N7" s="1302"/>
      <c r="O7" s="1302"/>
      <c r="P7" s="1303" t="s">
        <v>1164</v>
      </c>
      <c r="Q7" s="1356"/>
      <c r="R7" s="1357" t="s">
        <v>1165</v>
      </c>
      <c r="S7" s="1358">
        <f t="shared" ref="S7:S15" si="0">F7</f>
        <v>99.8</v>
      </c>
      <c r="T7" s="1357" t="s">
        <v>1165</v>
      </c>
      <c r="U7" s="1358">
        <f t="shared" ref="U7:U15" si="1">H7</f>
        <v>99.6</v>
      </c>
      <c r="V7" s="1357" t="s">
        <v>1165</v>
      </c>
      <c r="W7" s="1358">
        <f t="shared" ref="W7:W15" si="2">J7</f>
        <v>99.6</v>
      </c>
      <c r="X7" s="1359"/>
      <c r="Y7" s="1303" t="s">
        <v>1164</v>
      </c>
      <c r="Z7" s="1360"/>
      <c r="AA7" s="1376">
        <f>D7/F7</f>
        <v>1.00200400801603</v>
      </c>
      <c r="AB7" s="1376">
        <f>D7/H7</f>
        <v>1.00401606425703</v>
      </c>
      <c r="AC7" s="1376">
        <f>D7/J7</f>
        <v>1.00401606425703</v>
      </c>
    </row>
    <row r="8" s="1115" customFormat="1" ht="15.75" spans="1:29">
      <c r="A8" s="1152" t="s">
        <v>1166</v>
      </c>
      <c r="B8" s="1153"/>
      <c r="C8" s="1159" t="s">
        <v>1167</v>
      </c>
      <c r="D8" s="1155">
        <v>100</v>
      </c>
      <c r="E8" s="2295" t="s">
        <v>1167</v>
      </c>
      <c r="F8" s="1157">
        <f>SUMIF(61:61,E8,62:62)-SUMIF(61:61,C8,62:62)+100</f>
        <v>100</v>
      </c>
      <c r="G8" s="1159" t="s">
        <v>1167</v>
      </c>
      <c r="H8" s="1155">
        <f>SUMIF(61:61,G8,62:62)-SUMIF(61:61,C8,62:62)+100</f>
        <v>100</v>
      </c>
      <c r="I8" s="2295" t="s">
        <v>1167</v>
      </c>
      <c r="J8" s="1155">
        <f>SUMIF(61:61,I8,62:62)-SUMIF(61:61,C8,62:62)+100</f>
        <v>100</v>
      </c>
      <c r="K8" s="2317"/>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19" si="3">D8/F8</f>
        <v>1</v>
      </c>
      <c r="AB8" s="1376">
        <f t="shared" ref="AB8:AB19" si="4">D8/H8</f>
        <v>1</v>
      </c>
      <c r="AC8" s="1376">
        <f t="shared" ref="AC8:AC19" si="5">D8/J8</f>
        <v>1</v>
      </c>
    </row>
    <row r="9" s="1115" customFormat="1" spans="1:29">
      <c r="A9" s="1160" t="s">
        <v>1169</v>
      </c>
      <c r="B9" s="1161" t="s">
        <v>1170</v>
      </c>
      <c r="C9" s="2296" t="s">
        <v>412</v>
      </c>
      <c r="D9" s="1163">
        <v>100</v>
      </c>
      <c r="E9" s="1619" t="s">
        <v>412</v>
      </c>
      <c r="F9" s="1551">
        <f>SUMIF(63:63,E9,64:64)-SUMIF(63:63,C9,64:64)+100</f>
        <v>100</v>
      </c>
      <c r="G9" s="1550" t="s">
        <v>412</v>
      </c>
      <c r="H9" s="1163">
        <f>SUMIF(63:63,G9,64:64)-SUMIF(63:63,C9,64:64)+100</f>
        <v>100</v>
      </c>
      <c r="I9" s="1550" t="s">
        <v>412</v>
      </c>
      <c r="J9" s="1163">
        <f>SUMIF(63:63,I9,64:64)-SUMIF(63:63,C9,64:64)+100</f>
        <v>100</v>
      </c>
      <c r="K9" s="2317"/>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2317"/>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v>1</v>
      </c>
      <c r="D11" s="1167">
        <v>100</v>
      </c>
      <c r="E11" s="1170">
        <v>1</v>
      </c>
      <c r="F11" s="1553">
        <f>LOOKUP(E11,68:68,69:69)-LOOKUP(C11,68:68,69:69)+100</f>
        <v>100</v>
      </c>
      <c r="G11" s="1169">
        <v>1</v>
      </c>
      <c r="H11" s="1167">
        <f>LOOKUP(G11,68:68,69:69)-LOOKUP(C11,68:68,69:69)+100</f>
        <v>100</v>
      </c>
      <c r="I11" s="1169">
        <v>1</v>
      </c>
      <c r="J11" s="1167">
        <f>LOOKUP(I11,68:68,69:69)-LOOKUP(C11,68:68,69:69)+100</f>
        <v>100</v>
      </c>
      <c r="K11" s="2318">
        <v>0</v>
      </c>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1175</v>
      </c>
      <c r="B15" s="1503" t="s">
        <v>1176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0">
        <v>5</v>
      </c>
      <c r="L15" s="1312"/>
      <c r="M15" s="1296"/>
      <c r="N15" s="1296"/>
      <c r="O15" s="1296"/>
      <c r="P15" s="1730"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t="s">
        <v>1178</v>
      </c>
      <c r="D16" s="1189"/>
      <c r="E16" s="1317" t="s">
        <v>1178</v>
      </c>
      <c r="F16" s="1189"/>
      <c r="G16" s="1197" t="s">
        <v>1178</v>
      </c>
      <c r="H16" s="1191"/>
      <c r="I16" s="1197" t="s">
        <v>1178</v>
      </c>
      <c r="J16" s="1189"/>
      <c r="K16" s="2321"/>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1179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0">
        <v>3</v>
      </c>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t="s">
        <v>1180</v>
      </c>
      <c r="D18" s="1191"/>
      <c r="E18" s="1516" t="s">
        <v>1180</v>
      </c>
      <c r="F18" s="1191"/>
      <c r="G18" s="1508" t="s">
        <v>1180</v>
      </c>
      <c r="H18" s="1189"/>
      <c r="I18" s="1508" t="s">
        <v>1180</v>
      </c>
      <c r="J18" s="1189"/>
      <c r="K18" s="2321"/>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0">
        <v>2</v>
      </c>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t="s">
        <v>1180</v>
      </c>
      <c r="D20" s="1189"/>
      <c r="E20" s="1317" t="s">
        <v>1180</v>
      </c>
      <c r="F20" s="1189"/>
      <c r="G20" s="1197" t="s">
        <v>1180</v>
      </c>
      <c r="H20" s="1189"/>
      <c r="I20" s="1197" t="s">
        <v>1180</v>
      </c>
      <c r="J20" s="1189"/>
      <c r="K20" s="2321"/>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0">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22"/>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0">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t="s">
        <v>1180</v>
      </c>
      <c r="D24" s="1189"/>
      <c r="E24" s="1317" t="s">
        <v>1180</v>
      </c>
      <c r="F24" s="1189"/>
      <c r="G24" s="1197" t="s">
        <v>1180</v>
      </c>
      <c r="H24" s="1189"/>
      <c r="I24" s="1197" t="s">
        <v>1180</v>
      </c>
      <c r="J24" s="1189"/>
      <c r="K24" s="2321"/>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1184</v>
      </c>
      <c r="C25" s="1570"/>
      <c r="D25" s="1177">
        <v>100</v>
      </c>
      <c r="E25" s="1220"/>
      <c r="F25" s="1177">
        <f>SUMIF(86:86,E25,87:87)-SUMIF(86:86,C25,87:87)+100</f>
        <v>100</v>
      </c>
      <c r="G25" s="2297"/>
      <c r="H25" s="1177">
        <f>SUMIF(86:86,G25,87:87)-SUMIF(86:86,C25,87:87)+100</f>
        <v>100</v>
      </c>
      <c r="I25" s="2297"/>
      <c r="J25" s="1177">
        <f>SUMIF(86:86,I25,87:87)-SUMIF(86:86,C25,87:87)+100</f>
        <v>100</v>
      </c>
      <c r="K25" s="2318"/>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1185</v>
      </c>
      <c r="C26" s="2298" t="s">
        <v>1186</v>
      </c>
      <c r="D26" s="1177">
        <v>100</v>
      </c>
      <c r="E26" s="2299" t="s">
        <v>1187</v>
      </c>
      <c r="F26" s="1177">
        <f>SUMIF(88:88,E26,89:89)-SUMIF(88:88,C26,89:89)+100</f>
        <v>97</v>
      </c>
      <c r="G26" s="2297" t="s">
        <v>1188</v>
      </c>
      <c r="H26" s="1177">
        <f>SUMIF(88:88,G26,89:89)-SUMIF(88:88,C26,89:89)+100</f>
        <v>100.5</v>
      </c>
      <c r="I26" s="2297" t="s">
        <v>1189</v>
      </c>
      <c r="J26" s="1177">
        <f>SUMIF(88:88,I26,89:89)-SUMIF(88:88,C26,89:89)+100</f>
        <v>99.5</v>
      </c>
      <c r="K26" s="2318">
        <v>0.5</v>
      </c>
      <c r="L26" s="1312"/>
      <c r="M26" s="1296"/>
      <c r="N26" s="1296"/>
      <c r="O26" s="1296"/>
      <c r="P26" s="1731"/>
      <c r="Q26" s="700" t="str">
        <f t="shared" si="11"/>
        <v>朝向</v>
      </c>
      <c r="R26" s="1362" t="s">
        <v>1165</v>
      </c>
      <c r="S26" s="1363">
        <f t="shared" si="12"/>
        <v>97</v>
      </c>
      <c r="T26" s="1362" t="s">
        <v>1165</v>
      </c>
      <c r="U26" s="1363">
        <f t="shared" si="13"/>
        <v>100.5</v>
      </c>
      <c r="V26" s="1362" t="s">
        <v>1165</v>
      </c>
      <c r="W26" s="1363">
        <f t="shared" si="14"/>
        <v>99.5</v>
      </c>
      <c r="X26" s="1349"/>
      <c r="Y26" s="1315"/>
      <c r="Z26" s="1336" t="str">
        <f>Q26</f>
        <v>朝向</v>
      </c>
      <c r="AA26" s="1378">
        <f t="shared" si="15"/>
        <v>1.03092783505155</v>
      </c>
      <c r="AB26" s="1378">
        <f t="shared" si="16"/>
        <v>0.995024875621891</v>
      </c>
      <c r="AC26" s="1378">
        <f t="shared" si="17"/>
        <v>1.00502512562814</v>
      </c>
    </row>
    <row r="27" s="1115" customFormat="1" ht="15" spans="1:29">
      <c r="A27" s="1171"/>
      <c r="B27" s="2300" t="s">
        <v>1190</v>
      </c>
      <c r="C27" s="2301" t="s">
        <v>1191</v>
      </c>
      <c r="D27" s="2302">
        <v>100</v>
      </c>
      <c r="E27" s="2303" t="s">
        <v>1192</v>
      </c>
      <c r="F27" s="2302">
        <f>SUMIF(90:90,E27,91:91)-SUMIF(90:90,C27,91:91)+100</f>
        <v>98.5</v>
      </c>
      <c r="G27" s="2304" t="s">
        <v>1193</v>
      </c>
      <c r="H27" s="2302">
        <f>SUMIF(90:90,G27,91:91)-SUMIF(90:90,C27,91:91)+100</f>
        <v>98</v>
      </c>
      <c r="I27" s="2323" t="s">
        <v>1194</v>
      </c>
      <c r="J27" s="2302">
        <f>SUMIF(90:90,I27,91:91)-SUMIF(90:90,C27,91:91)+100</f>
        <v>102.5</v>
      </c>
      <c r="K27" s="2319"/>
      <c r="L27" s="1301"/>
      <c r="M27" s="1302"/>
      <c r="N27" s="1302"/>
      <c r="O27" s="1302"/>
      <c r="P27" s="1731"/>
      <c r="Q27" s="1361" t="str">
        <f t="shared" si="11"/>
        <v>楼层</v>
      </c>
      <c r="R27" s="1357" t="s">
        <v>1165</v>
      </c>
      <c r="S27" s="1358">
        <f t="shared" si="12"/>
        <v>98.5</v>
      </c>
      <c r="T27" s="1357" t="s">
        <v>1165</v>
      </c>
      <c r="U27" s="1358">
        <f t="shared" si="13"/>
        <v>98</v>
      </c>
      <c r="V27" s="1357" t="s">
        <v>1165</v>
      </c>
      <c r="W27" s="1358">
        <f t="shared" si="14"/>
        <v>102.5</v>
      </c>
      <c r="X27" s="1359"/>
      <c r="Y27" s="1315"/>
      <c r="Z27" s="1377" t="str">
        <f>Q27</f>
        <v>楼层</v>
      </c>
      <c r="AA27" s="1378">
        <f t="shared" si="15"/>
        <v>1.01522842639594</v>
      </c>
      <c r="AB27" s="1378">
        <f t="shared" si="16"/>
        <v>1.02040816326531</v>
      </c>
      <c r="AC27" s="1378">
        <f t="shared" si="17"/>
        <v>0.975609756097561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9"/>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1195</v>
      </c>
      <c r="B32" s="1161" t="s">
        <v>1196</v>
      </c>
      <c r="C32" s="1755" t="s">
        <v>1197</v>
      </c>
      <c r="D32" s="1218">
        <v>100</v>
      </c>
      <c r="E32" s="2305" t="s">
        <v>1197</v>
      </c>
      <c r="F32" s="1560">
        <f>SUMIF(100:100,E32,101:101)-SUMIF(100:100,C32,101:101)+100</f>
        <v>100</v>
      </c>
      <c r="G32" s="1755" t="s">
        <v>1197</v>
      </c>
      <c r="H32" s="1218">
        <f>SUMIF(100:100,G32,101:101)-SUMIF(100:100,C32,101:101)+100</f>
        <v>100</v>
      </c>
      <c r="I32" s="2305" t="s">
        <v>1198</v>
      </c>
      <c r="J32" s="1177">
        <f>SUMIF(100:100,I32,101:101)-SUMIF(100:100,C32,101:101)+100</f>
        <v>102</v>
      </c>
      <c r="K32" s="2318">
        <v>1</v>
      </c>
      <c r="L32" s="1312"/>
      <c r="M32" s="1296"/>
      <c r="N32" s="1296"/>
      <c r="O32" s="1296"/>
      <c r="P32" s="1732" t="s">
        <v>1199</v>
      </c>
      <c r="Q32" s="700" t="str">
        <f t="shared" si="11"/>
        <v>建筑类型</v>
      </c>
      <c r="R32" s="1362" t="s">
        <v>1165</v>
      </c>
      <c r="S32" s="1363">
        <f t="shared" si="12"/>
        <v>100</v>
      </c>
      <c r="T32" s="1362" t="s">
        <v>1165</v>
      </c>
      <c r="U32" s="1363">
        <f t="shared" si="13"/>
        <v>100</v>
      </c>
      <c r="V32" s="1362" t="s">
        <v>1165</v>
      </c>
      <c r="W32" s="1363">
        <f t="shared" si="14"/>
        <v>102</v>
      </c>
      <c r="X32" s="1349"/>
      <c r="Y32" s="1324" t="s">
        <v>1199</v>
      </c>
      <c r="Z32" s="1336" t="str">
        <f t="shared" si="18"/>
        <v>建筑类型</v>
      </c>
      <c r="AA32" s="1378">
        <f t="shared" si="15"/>
        <v>1</v>
      </c>
      <c r="AB32" s="1378">
        <f t="shared" si="16"/>
        <v>1</v>
      </c>
      <c r="AC32" s="1378">
        <f t="shared" si="17"/>
        <v>0.980392156862745</v>
      </c>
    </row>
    <row r="33" s="1117" customFormat="1" ht="15" spans="1:29">
      <c r="A33" s="1224"/>
      <c r="B33" s="1165" t="s">
        <v>1200</v>
      </c>
      <c r="C33" s="1554">
        <f>'数据-汇总表'!E19</f>
        <v>69.7</v>
      </c>
      <c r="D33" s="1167">
        <v>100</v>
      </c>
      <c r="E33" s="1170">
        <v>106.3</v>
      </c>
      <c r="F33" s="1553">
        <f>LOOKUP(E33,103:103,104:104)-LOOKUP(C33,103:103,104:104)+100</f>
        <v>94</v>
      </c>
      <c r="G33" s="1169">
        <v>118.8</v>
      </c>
      <c r="H33" s="1167">
        <f>LOOKUP(G33,103:103,104:104)-LOOKUP(C33,103:103,104:104)+100</f>
        <v>94</v>
      </c>
      <c r="I33" s="1170">
        <v>112.34</v>
      </c>
      <c r="J33" s="1167">
        <f>LOOKUP(I33,103:103,104:104)-LOOKUP(C33,103:103,104:104)+100</f>
        <v>94</v>
      </c>
      <c r="K33" s="2319"/>
      <c r="L33" s="1310"/>
      <c r="M33" s="1322"/>
      <c r="N33" s="1322"/>
      <c r="O33" s="1322"/>
      <c r="P33" s="1733"/>
      <c r="Q33" s="1599" t="str">
        <f t="shared" si="11"/>
        <v>项目建筑规模</v>
      </c>
      <c r="R33" s="1364" t="s">
        <v>1165</v>
      </c>
      <c r="S33" s="1365">
        <f t="shared" si="12"/>
        <v>94</v>
      </c>
      <c r="T33" s="1364" t="s">
        <v>1165</v>
      </c>
      <c r="U33" s="1365">
        <f t="shared" si="13"/>
        <v>94</v>
      </c>
      <c r="V33" s="1364" t="s">
        <v>1165</v>
      </c>
      <c r="W33" s="1365">
        <f t="shared" si="14"/>
        <v>94</v>
      </c>
      <c r="X33" s="1366"/>
      <c r="Y33" s="1324"/>
      <c r="Z33" s="1379" t="str">
        <f t="shared" si="18"/>
        <v>项目建筑规模</v>
      </c>
      <c r="AA33" s="1378">
        <f t="shared" si="15"/>
        <v>1.06382978723404</v>
      </c>
      <c r="AB33" s="1378">
        <f t="shared" si="16"/>
        <v>1.06382978723404</v>
      </c>
      <c r="AC33" s="1378">
        <f t="shared" si="17"/>
        <v>1.06382978723404</v>
      </c>
    </row>
    <row r="34" ht="15" spans="1:29">
      <c r="A34" s="1219"/>
      <c r="B34" s="1165" t="s">
        <v>1201</v>
      </c>
      <c r="C34" s="1756"/>
      <c r="D34" s="1177">
        <v>100</v>
      </c>
      <c r="E34" s="2306"/>
      <c r="F34" s="1560">
        <f>SUMIF(105:105,E34,106:106)-SUMIF(105:105,C34,106:106)+100</f>
        <v>100</v>
      </c>
      <c r="G34" s="1756"/>
      <c r="H34" s="1177">
        <f>SUMIF(105:105,G34,106:106)-SUMIF(105:105,C34,106:106)+100</f>
        <v>100</v>
      </c>
      <c r="I34" s="2306"/>
      <c r="J34" s="1177">
        <f>SUMIF(105:105,I34,106:106)-SUMIF(105:105,C34,106:106)+100</f>
        <v>100</v>
      </c>
      <c r="K34" s="2318"/>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1202</v>
      </c>
      <c r="C35" s="1220"/>
      <c r="D35" s="1177">
        <v>100</v>
      </c>
      <c r="E35" s="2297"/>
      <c r="F35" s="1560">
        <f>SUMIF(107:107,E35,108:108)-SUMIF(107:107,C35,108:108)+100</f>
        <v>100</v>
      </c>
      <c r="G35" s="1220"/>
      <c r="H35" s="1177">
        <f>SUMIF(107:107,G35,108:108)-SUMIF(107:107,C35,108:108)+100</f>
        <v>100</v>
      </c>
      <c r="I35" s="2297"/>
      <c r="J35" s="1177">
        <f>SUMIF(107:107,I35,108:108)-SUMIF(107:107,C35,108:108)+100</f>
        <v>100</v>
      </c>
      <c r="K35" s="2318"/>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1203</v>
      </c>
      <c r="C36" s="1220"/>
      <c r="D36" s="1177">
        <v>100</v>
      </c>
      <c r="E36" s="2297"/>
      <c r="F36" s="1560">
        <f>SUMIF(109:109,E36,110:110)-SUMIF(109:109,C36,110:110)+100</f>
        <v>100</v>
      </c>
      <c r="G36" s="1220"/>
      <c r="H36" s="1177">
        <f>SUMIF(109:109,G36,110:110)-SUMIF(109:109,C36,110:110)+100</f>
        <v>100</v>
      </c>
      <c r="I36" s="2297"/>
      <c r="J36" s="1177">
        <f>SUMIF(109:109,I36,110:110)-SUMIF(109:109,C36,110:110)+100</f>
        <v>100</v>
      </c>
      <c r="K36" s="2318"/>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18"/>
      <c r="L37" s="1301"/>
      <c r="M37" s="1302"/>
      <c r="N37" s="1302"/>
      <c r="O37" s="1302"/>
      <c r="P37" s="1733"/>
      <c r="Q37" s="1361" t="str">
        <f t="shared" si="11"/>
        <v>成新度</v>
      </c>
      <c r="R37" s="1357" t="s">
        <v>1165</v>
      </c>
      <c r="S37" s="1358">
        <f t="shared" si="12"/>
        <v>100</v>
      </c>
      <c r="T37" s="1357" t="s">
        <v>1165</v>
      </c>
      <c r="U37" s="1358">
        <f t="shared" si="13"/>
        <v>100</v>
      </c>
      <c r="V37" s="1357" t="s">
        <v>1165</v>
      </c>
      <c r="W37" s="1358">
        <f t="shared" si="14"/>
        <v>100</v>
      </c>
      <c r="X37" s="1359"/>
      <c r="Y37" s="1324"/>
      <c r="Z37" s="1377" t="str">
        <f t="shared" si="18"/>
        <v>成新度</v>
      </c>
      <c r="AA37" s="1376">
        <f t="shared" si="15"/>
        <v>1</v>
      </c>
      <c r="AB37" s="1376">
        <f t="shared" si="16"/>
        <v>1</v>
      </c>
      <c r="AC37" s="1376">
        <f t="shared" si="17"/>
        <v>1</v>
      </c>
    </row>
    <row r="38" ht="15" spans="1:29">
      <c r="A38" s="1219"/>
      <c r="B38" s="1165" t="s">
        <v>1204</v>
      </c>
      <c r="C38" s="1220"/>
      <c r="D38" s="1177">
        <v>100</v>
      </c>
      <c r="E38" s="2297"/>
      <c r="F38" s="1560">
        <f>SUMIF(114:114,E38,115:115)-SUMIF(114:114,C38,115:115)+100</f>
        <v>100</v>
      </c>
      <c r="G38" s="1220"/>
      <c r="H38" s="1177">
        <f>SUMIF(114:114,G38,115:115)-SUMIF(114:114,C38,115:115)+100</f>
        <v>100</v>
      </c>
      <c r="I38" s="2297"/>
      <c r="J38" s="1177">
        <f>SUMIF(114:114,I38,115:115)-SUMIF(114:114,C38,115:115)+100</f>
        <v>100</v>
      </c>
      <c r="K38" s="2318"/>
      <c r="L38" s="1312"/>
      <c r="M38" s="1296"/>
      <c r="N38" s="1296"/>
      <c r="O38" s="1296"/>
      <c r="P38" s="1733" t="s">
        <v>1199</v>
      </c>
      <c r="Q38" s="700" t="str">
        <f t="shared" si="11"/>
        <v>物业管理</v>
      </c>
      <c r="R38" s="1362" t="s">
        <v>1165</v>
      </c>
      <c r="S38" s="1363">
        <f t="shared" si="12"/>
        <v>100</v>
      </c>
      <c r="T38" s="1362" t="s">
        <v>1165</v>
      </c>
      <c r="U38" s="1363">
        <f t="shared" si="13"/>
        <v>100</v>
      </c>
      <c r="V38" s="1362" t="s">
        <v>1165</v>
      </c>
      <c r="W38" s="1363">
        <f t="shared" si="14"/>
        <v>100</v>
      </c>
      <c r="X38" s="1349"/>
      <c r="Y38" s="1324" t="s">
        <v>1199</v>
      </c>
      <c r="Z38" s="1336" t="str">
        <f t="shared" si="18"/>
        <v>物业管理</v>
      </c>
      <c r="AA38" s="1378">
        <f t="shared" si="15"/>
        <v>1</v>
      </c>
      <c r="AB38" s="1378">
        <f t="shared" si="16"/>
        <v>1</v>
      </c>
      <c r="AC38" s="1378">
        <f t="shared" si="17"/>
        <v>1</v>
      </c>
    </row>
    <row r="39" ht="15" spans="1:29">
      <c r="A39" s="1219"/>
      <c r="B39" s="1165" t="s">
        <v>1205</v>
      </c>
      <c r="C39" s="1220"/>
      <c r="D39" s="1177">
        <v>100</v>
      </c>
      <c r="E39" s="2297"/>
      <c r="F39" s="1560">
        <f>SUMIF(116:116,E39,117:117)-SUMIF(116:116,C39,117:117)+100</f>
        <v>100</v>
      </c>
      <c r="G39" s="1220"/>
      <c r="H39" s="1177">
        <f>SUMIF(116:116,G39,117:117)-SUMIF(116:116,C39,117:117)+100</f>
        <v>100</v>
      </c>
      <c r="I39" s="2297"/>
      <c r="J39" s="1177">
        <f>SUMIF(116:116,I39,117:117)-SUMIF(116:116,C39,117:117)+100</f>
        <v>100</v>
      </c>
      <c r="K39" s="2318"/>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1206</v>
      </c>
      <c r="C40" s="1220"/>
      <c r="D40" s="1177">
        <v>100</v>
      </c>
      <c r="E40" s="2297"/>
      <c r="F40" s="1560">
        <f>SUMIF(118:118,E40,119:119)-SUMIF(118:118,C40,119:119)+100</f>
        <v>100</v>
      </c>
      <c r="G40" s="1220"/>
      <c r="H40" s="1177">
        <f>SUMIF(118:118,G40,119:119)-SUMIF(118:118,C40,119:119)+100</f>
        <v>100</v>
      </c>
      <c r="I40" s="2297"/>
      <c r="J40" s="1177">
        <f>SUMIF(118:118,I40,119:119)-SUMIF(118:118,C40,119:119)+100</f>
        <v>100</v>
      </c>
      <c r="K40" s="2318"/>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1207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9"/>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1208</v>
      </c>
      <c r="C42" s="1220" t="s">
        <v>1209</v>
      </c>
      <c r="D42" s="1177">
        <v>100</v>
      </c>
      <c r="E42" s="2297" t="s">
        <v>1210</v>
      </c>
      <c r="F42" s="1560">
        <f>SUMIF(122:122,E42,123:123)-SUMIF(122:122,C42,123:123)+100</f>
        <v>101</v>
      </c>
      <c r="G42" s="1220" t="s">
        <v>1211</v>
      </c>
      <c r="H42" s="1177">
        <f>SUMIF(122:122,G42,123:123)-SUMIF(122:122,C42,123:123)+100</f>
        <v>99</v>
      </c>
      <c r="I42" s="2297" t="s">
        <v>1210</v>
      </c>
      <c r="J42" s="1177">
        <f>SUMIF(122:122,I42,123:123)-SUMIF(122:122,C42,123:123)+100</f>
        <v>101</v>
      </c>
      <c r="K42" s="2318">
        <v>1</v>
      </c>
      <c r="L42" s="1312"/>
      <c r="M42" s="1296"/>
      <c r="N42" s="1296"/>
      <c r="O42" s="1296"/>
      <c r="P42" s="1733"/>
      <c r="Q42" s="700" t="str">
        <f t="shared" si="11"/>
        <v>内部装修</v>
      </c>
      <c r="R42" s="1362" t="s">
        <v>1165</v>
      </c>
      <c r="S42" s="1363">
        <f t="shared" si="12"/>
        <v>101</v>
      </c>
      <c r="T42" s="1362" t="s">
        <v>1165</v>
      </c>
      <c r="U42" s="1363">
        <f t="shared" si="13"/>
        <v>99</v>
      </c>
      <c r="V42" s="1362" t="s">
        <v>1165</v>
      </c>
      <c r="W42" s="1363">
        <f t="shared" si="14"/>
        <v>101</v>
      </c>
      <c r="X42" s="1349"/>
      <c r="Y42" s="1324"/>
      <c r="Z42" s="1336" t="str">
        <f t="shared" si="18"/>
        <v>内部装修</v>
      </c>
      <c r="AA42" s="1378">
        <f t="shared" si="15"/>
        <v>0.99009900990099</v>
      </c>
      <c r="AB42" s="1378">
        <f t="shared" si="16"/>
        <v>1.01010101010101</v>
      </c>
      <c r="AC42" s="1378">
        <f t="shared" si="17"/>
        <v>0.99009900990099</v>
      </c>
    </row>
    <row r="43" ht="15" spans="1:29">
      <c r="A43" s="1219"/>
      <c r="B43" s="1165" t="s">
        <v>1212</v>
      </c>
      <c r="C43" s="1220"/>
      <c r="D43" s="1177">
        <v>100</v>
      </c>
      <c r="E43" s="2297"/>
      <c r="F43" s="1560">
        <f>SUMIF(124:124,E43,125:125)-SUMIF(124:124,C43,125:125)+100</f>
        <v>100</v>
      </c>
      <c r="G43" s="1220"/>
      <c r="H43" s="1177">
        <f>SUMIF(124:124,G43,125:125)-SUMIF(124:124,C43,125:125)+100</f>
        <v>100</v>
      </c>
      <c r="I43" s="2297"/>
      <c r="J43" s="1177">
        <f>SUMIF(124:124,I43,125:125)-SUMIF(124:124,C43,125:125)+100</f>
        <v>100</v>
      </c>
      <c r="K43" s="2318"/>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1213</v>
      </c>
      <c r="B47" s="1574"/>
      <c r="C47" s="1575" t="s">
        <v>124</v>
      </c>
      <c r="D47" s="1576"/>
      <c r="E47" s="1577">
        <f>ROUND(1380*10000/E33,0)</f>
        <v>129821</v>
      </c>
      <c r="F47" s="1578"/>
      <c r="G47" s="1577">
        <f>ROUND(1480*10000/G33,0)</f>
        <v>124579</v>
      </c>
      <c r="H47" s="1580"/>
      <c r="I47" s="1577">
        <f>ROUND(1660*10000/I33,0)</f>
        <v>147766</v>
      </c>
      <c r="J47" s="1580"/>
      <c r="K47" s="2324"/>
      <c r="L47" s="1328"/>
      <c r="M47" s="1243"/>
      <c r="N47" s="1296"/>
      <c r="O47" s="1243"/>
      <c r="P47" s="700" t="str">
        <f>A47</f>
        <v>成交单价（元/平方米）</v>
      </c>
      <c r="Q47" s="700"/>
      <c r="R47" s="1378">
        <f>E47</f>
        <v>129821</v>
      </c>
      <c r="S47" s="1378"/>
      <c r="T47" s="1378">
        <f>G47</f>
        <v>124579</v>
      </c>
      <c r="U47" s="1378"/>
      <c r="V47" s="1378">
        <f>I47</f>
        <v>147766</v>
      </c>
      <c r="W47" s="1378"/>
      <c r="X47" s="1284"/>
      <c r="Y47" s="1380"/>
      <c r="Z47" s="1284"/>
      <c r="AA47" s="1284"/>
      <c r="AB47" s="1284"/>
      <c r="AC47" s="1284"/>
    </row>
    <row r="48" ht="15.75" spans="1:29">
      <c r="A48" s="1234" t="s">
        <v>1214</v>
      </c>
      <c r="B48" s="1581"/>
      <c r="C48" s="1582">
        <f>R49</f>
        <v>143363</v>
      </c>
      <c r="D48" s="1237" t="s">
        <v>1215</v>
      </c>
      <c r="E48" s="1583">
        <f>R48</f>
        <v>143403</v>
      </c>
      <c r="F48" s="1238"/>
      <c r="G48" s="1582">
        <f>T48</f>
        <v>136468</v>
      </c>
      <c r="H48" s="1238"/>
      <c r="I48" s="1583">
        <f>V48</f>
        <v>150217</v>
      </c>
      <c r="J48" s="1238"/>
      <c r="K48" s="2325">
        <f>F48+H48+J48</f>
        <v>0</v>
      </c>
      <c r="L48" s="1328"/>
      <c r="M48" s="1243"/>
      <c r="N48" s="1243"/>
      <c r="O48" s="1243"/>
      <c r="P48" s="700" t="str">
        <f>A48</f>
        <v>比较价值（元/平方米）</v>
      </c>
      <c r="Q48" s="700"/>
      <c r="R48" s="1378">
        <f>IF(F1="售价",ROUND(PRODUCT(R47,AA7:AA46),0),ROUND(PRODUCT(R47,AA7:AA46),1))</f>
        <v>143403</v>
      </c>
      <c r="S48" s="1378"/>
      <c r="T48" s="1378">
        <f>IF(F1="售价",ROUND(PRODUCT(T47,AB7:AB46),0),ROUND(PRODUCT(T47,AB7:AB46),1))</f>
        <v>136468</v>
      </c>
      <c r="U48" s="1378"/>
      <c r="V48" s="1378">
        <f>IF(F1="售价",ROUND(PRODUCT(V47,AC7:AC46),0),ROUND(PRODUCT(V47,AC7:AC46),1))</f>
        <v>150217</v>
      </c>
      <c r="W48" s="1378"/>
      <c r="X48" s="1284"/>
      <c r="Y48" s="1284"/>
      <c r="Z48" s="1284"/>
      <c r="AA48" s="1284"/>
      <c r="AB48" s="1284"/>
      <c r="AC48" s="1284"/>
    </row>
    <row r="49" ht="15.75" spans="1:29">
      <c r="A49" s="1240" t="s">
        <v>1216</v>
      </c>
      <c r="B49" s="1241"/>
      <c r="C49" s="2307">
        <f>R49</f>
        <v>143363</v>
      </c>
      <c r="D49" s="1584"/>
      <c r="E49" s="1584"/>
      <c r="F49" s="1584"/>
      <c r="G49" s="1584"/>
      <c r="H49" s="1584"/>
      <c r="I49" s="1584"/>
      <c r="J49" s="1584"/>
      <c r="K49" s="232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143363</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1217</v>
      </c>
      <c r="D52" s="744"/>
      <c r="E52" s="1246">
        <f>IF(E47&lt;E48,E48/E47-1,E47/E48-1)</f>
        <v>0.104620978116021</v>
      </c>
      <c r="F52" s="1247" t="str">
        <f>IF(OR(E52&gt;=0.3,E52&lt;=-0.3),"超过30%","")</f>
        <v/>
      </c>
      <c r="G52" s="1246">
        <f>IF(G47&lt;G48,G48/G47-1,G47/G48-1)</f>
        <v>0.095433419757744</v>
      </c>
      <c r="H52" s="1247" t="str">
        <f>IF(OR(G52&gt;=0.3,G52&lt;=-0.3),"超过30%","")</f>
        <v/>
      </c>
      <c r="I52" s="1246">
        <f>IF(I47&lt;I48,I48/I47-1,I47/I48-1)</f>
        <v>0.0165870362600327</v>
      </c>
      <c r="J52" s="1247" t="str">
        <f>IF(OR(I52&gt;=0.3,I52&lt;=-0.3),"超过30%","")</f>
        <v/>
      </c>
      <c r="K52" s="1332"/>
      <c r="L52" s="1333"/>
      <c r="M52" s="1243"/>
      <c r="N52" s="1243"/>
      <c r="O52" s="1243"/>
    </row>
    <row r="53" ht="13.5" customHeight="1" spans="1:15">
      <c r="A53" s="1243"/>
      <c r="B53" s="1243"/>
      <c r="C53" s="1245" t="s">
        <v>1218</v>
      </c>
      <c r="D53" s="743"/>
      <c r="E53" s="1246">
        <f>IF(E48&lt;G48,G48/E48-1,E48/G48-1)</f>
        <v>0.0508177741301989</v>
      </c>
      <c r="F53" s="1247" t="str">
        <f>IF(OR(E53&gt;=0.2,E53&lt;=-0.2),"超过20%","")</f>
        <v/>
      </c>
      <c r="G53" s="1246">
        <f>IF(G48&lt;I48,I48/G48-1,G48/I48-1)</f>
        <v>0.100748893513498</v>
      </c>
      <c r="H53" s="1247" t="str">
        <f>IF(OR(G53&gt;=0.2,G53&lt;=-0.2),"超过20%","")</f>
        <v/>
      </c>
      <c r="I53" s="1246">
        <f>IF(I48&lt;E48,E48/I48-1,I48/E48-1)</f>
        <v>0.0475164396839676</v>
      </c>
      <c r="J53" s="1247" t="str">
        <f>IF(OR(I53&gt;=0.2,I53&lt;=-0.2),"超过20%","")</f>
        <v/>
      </c>
      <c r="K53" s="1332"/>
      <c r="L53" s="1333"/>
      <c r="M53" s="1243"/>
      <c r="N53" s="1243"/>
      <c r="O53" s="1243"/>
    </row>
    <row r="54" s="1118" customFormat="1" ht="13.5" customHeight="1" spans="1:16">
      <c r="A54" s="1248"/>
      <c r="B54" s="1248"/>
      <c r="C54" s="1245" t="s">
        <v>1219</v>
      </c>
      <c r="D54" s="743"/>
      <c r="E54" s="1246">
        <f>IF(E47&lt;G47,G47/E47-1,E47/G47-1)</f>
        <v>0.0420777177533935</v>
      </c>
      <c r="F54" s="1247" t="str">
        <f>IF(OR(E54&gt;=0.3,E54&lt;=-0.3),"超过30%","")</f>
        <v/>
      </c>
      <c r="G54" s="1246">
        <f>IF(G47&lt;I47,I47/G47-1,G47/I47-1)</f>
        <v>0.186122861798538</v>
      </c>
      <c r="H54" s="1247" t="str">
        <f>IF(OR(G54&gt;=0.3,G54&lt;=-0.3),"超过30%","")</f>
        <v/>
      </c>
      <c r="I54" s="1246">
        <f>IF(I47&lt;E47,E47/I47-1,I47/E47-1)</f>
        <v>0.138228791951995</v>
      </c>
      <c r="J54" s="1247" t="str">
        <f>IF(OR(I54&gt;=0.3,I54&lt;=-0.3),"超过30%","")</f>
        <v/>
      </c>
      <c r="K54" s="1334"/>
      <c r="L54" s="1335"/>
      <c r="M54" s="1248"/>
      <c r="N54" s="1248"/>
      <c r="O54" s="1248"/>
      <c r="P54" s="2327"/>
    </row>
    <row r="55" s="1118" customFormat="1" spans="1:16">
      <c r="A55" s="1248"/>
      <c r="B55" s="1249"/>
      <c r="C55" s="1585"/>
      <c r="D55" s="1248"/>
      <c r="E55" s="1248"/>
      <c r="F55" s="1248"/>
      <c r="G55" s="1248"/>
      <c r="H55" s="1248"/>
      <c r="I55" s="1248"/>
      <c r="J55" s="1248"/>
      <c r="K55" s="1334"/>
      <c r="L55" s="1335"/>
      <c r="M55" s="1248"/>
      <c r="N55" s="1248"/>
      <c r="O55" s="1248"/>
      <c r="P55" s="2327"/>
    </row>
    <row r="56" spans="1:15">
      <c r="A56" s="1243"/>
      <c r="B56" s="1249"/>
      <c r="C56" s="1585"/>
      <c r="D56" s="1243"/>
      <c r="E56" s="1243"/>
      <c r="F56" s="1243"/>
      <c r="G56" s="1243"/>
      <c r="H56" s="1243"/>
      <c r="I56" s="1243"/>
      <c r="J56" s="1243"/>
      <c r="K56" s="1332"/>
      <c r="L56" s="1333"/>
      <c r="M56" s="1243"/>
      <c r="N56" s="1243"/>
      <c r="O56" s="1243"/>
    </row>
    <row r="57" ht="21" spans="1:17">
      <c r="A57" s="1283" t="s">
        <v>1220</v>
      </c>
      <c r="B57" s="1284"/>
      <c r="C57" s="1285"/>
      <c r="D57" s="1285"/>
      <c r="E57" s="1285"/>
      <c r="F57" s="1286"/>
      <c r="G57" s="1286"/>
      <c r="H57" s="1285"/>
      <c r="I57" s="1285"/>
      <c r="J57" s="1285"/>
      <c r="K57" s="1529"/>
      <c r="L57" s="1530"/>
      <c r="M57" s="1344"/>
      <c r="N57" s="1344"/>
      <c r="O57" s="1344"/>
      <c r="P57" s="2328"/>
      <c r="Q57" s="1696"/>
    </row>
    <row r="58" s="1120" customFormat="1" ht="15" spans="1:16">
      <c r="A58" s="1586" t="s">
        <v>1163</v>
      </c>
      <c r="B58" s="1587"/>
      <c r="C58" s="2308"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329"/>
    </row>
    <row r="59" s="1115" customFormat="1" ht="15" spans="1:16">
      <c r="A59" s="1590"/>
      <c r="B59" s="2309"/>
      <c r="C59" s="1591">
        <v>100</v>
      </c>
      <c r="D59" s="1725">
        <v>100</v>
      </c>
      <c r="E59" s="1725">
        <v>99.8</v>
      </c>
      <c r="F59" s="1725">
        <v>99.8</v>
      </c>
      <c r="G59" s="1725">
        <v>99.8</v>
      </c>
      <c r="H59" s="1725">
        <v>99.6</v>
      </c>
      <c r="I59" s="1725">
        <v>99.6</v>
      </c>
      <c r="J59" s="1725">
        <v>99.6</v>
      </c>
      <c r="K59" s="1725">
        <v>99.4</v>
      </c>
      <c r="L59" s="1725">
        <v>99.4</v>
      </c>
      <c r="M59" s="1725">
        <v>99.4</v>
      </c>
      <c r="N59" s="1396"/>
      <c r="O59" s="1598"/>
      <c r="P59" s="2330"/>
    </row>
    <row r="60" s="1115" customFormat="1" ht="15.75" spans="1:17">
      <c r="A60" s="1387" t="s">
        <v>1221</v>
      </c>
      <c r="B60" s="1388"/>
      <c r="C60" s="1389"/>
      <c r="D60" s="1390"/>
      <c r="E60" s="1390"/>
      <c r="F60" s="1390"/>
      <c r="G60" s="1390"/>
      <c r="H60" s="1390"/>
      <c r="I60" s="1390"/>
      <c r="J60" s="1390"/>
      <c r="K60" s="1390"/>
      <c r="L60" s="1390"/>
      <c r="M60" s="1438"/>
      <c r="N60" s="1390"/>
      <c r="O60" s="1438"/>
      <c r="P60" s="2330"/>
      <c r="Q60" s="1696"/>
    </row>
    <row r="61" s="1115" customFormat="1" ht="15" spans="1:17">
      <c r="A61" s="1391" t="s">
        <v>1166</v>
      </c>
      <c r="B61" s="1392"/>
      <c r="C61" s="1393" t="s">
        <v>1222</v>
      </c>
      <c r="D61" s="1394"/>
      <c r="E61" s="1394"/>
      <c r="F61" s="1394"/>
      <c r="G61" s="1394"/>
      <c r="H61" s="1394"/>
      <c r="I61" s="1394"/>
      <c r="J61" s="1394"/>
      <c r="K61" s="1394"/>
      <c r="L61" s="1440"/>
      <c r="M61" s="1441"/>
      <c r="N61" s="1699"/>
      <c r="O61" s="1699"/>
      <c r="P61" s="2331"/>
      <c r="Q61" s="1696"/>
    </row>
    <row r="62" s="1115" customFormat="1" ht="15.75" spans="1:17">
      <c r="A62" s="1391"/>
      <c r="B62" s="1392"/>
      <c r="C62" s="1725">
        <v>100</v>
      </c>
      <c r="D62" s="1396"/>
      <c r="E62" s="1396"/>
      <c r="F62" s="1396"/>
      <c r="G62" s="1396"/>
      <c r="H62" s="1396"/>
      <c r="I62" s="1396"/>
      <c r="J62" s="1396"/>
      <c r="K62" s="1396"/>
      <c r="L62" s="1396"/>
      <c r="M62" s="1444"/>
      <c r="N62" s="1699"/>
      <c r="O62" s="1699"/>
      <c r="P62" s="2330"/>
      <c r="Q62" s="1696"/>
    </row>
    <row r="63" spans="1:17">
      <c r="A63" s="1397" t="s">
        <v>1223</v>
      </c>
      <c r="B63" s="1398" t="s">
        <v>1170</v>
      </c>
      <c r="C63" s="1420" t="str">
        <f>C9</f>
        <v>住宅</v>
      </c>
      <c r="D63" s="1325"/>
      <c r="E63" s="1325"/>
      <c r="F63" s="1325"/>
      <c r="G63" s="1325"/>
      <c r="H63" s="1325"/>
      <c r="I63" s="1325"/>
      <c r="J63" s="1325"/>
      <c r="K63" s="1445"/>
      <c r="L63" s="1446"/>
      <c r="M63" s="1447"/>
      <c r="N63" s="1701"/>
      <c r="O63" s="1701"/>
      <c r="P63" s="2332"/>
      <c r="Q63" s="1696"/>
    </row>
    <row r="64" ht="15.75" spans="1:17">
      <c r="A64" s="1399"/>
      <c r="B64" s="1400"/>
      <c r="C64" s="1401">
        <v>100</v>
      </c>
      <c r="D64" s="1401"/>
      <c r="E64" s="1401"/>
      <c r="F64" s="1401"/>
      <c r="G64" s="1401"/>
      <c r="H64" s="1401"/>
      <c r="I64" s="1401"/>
      <c r="J64" s="1401"/>
      <c r="K64" s="1401"/>
      <c r="L64" s="1401"/>
      <c r="M64" s="1450"/>
      <c r="N64" s="1703"/>
      <c r="O64" s="1703"/>
      <c r="P64" s="2332"/>
      <c r="Q64" s="1696"/>
    </row>
    <row r="65" ht="27.75" spans="1:17">
      <c r="A65" s="1399"/>
      <c r="B65" s="1402" t="s">
        <v>1173</v>
      </c>
      <c r="C65" s="1427"/>
      <c r="D65" s="1427"/>
      <c r="E65" s="1427"/>
      <c r="F65" s="1427"/>
      <c r="G65" s="1427"/>
      <c r="H65" s="1427"/>
      <c r="I65" s="1427"/>
      <c r="J65" s="1427"/>
      <c r="K65" s="1427"/>
      <c r="L65" s="1427"/>
      <c r="M65" s="1427"/>
      <c r="N65" s="1703"/>
      <c r="O65" s="1703"/>
      <c r="P65" s="2332"/>
      <c r="Q65" s="1696"/>
    </row>
    <row r="66" ht="15.75" spans="1:17">
      <c r="A66" s="1399"/>
      <c r="B66" s="1404"/>
      <c r="C66" s="1401"/>
      <c r="D66" s="1401"/>
      <c r="E66" s="1401"/>
      <c r="F66" s="1401"/>
      <c r="G66" s="1401"/>
      <c r="H66" s="1401"/>
      <c r="I66" s="1401"/>
      <c r="J66" s="1401"/>
      <c r="K66" s="1401"/>
      <c r="L66" s="1401"/>
      <c r="M66" s="1450"/>
      <c r="N66" s="1703"/>
      <c r="O66" s="1703"/>
      <c r="P66" s="2332"/>
      <c r="Q66" s="1696"/>
    </row>
    <row r="67" ht="15.75" spans="1:17">
      <c r="A67" s="1399"/>
      <c r="B67" s="1406" t="s">
        <v>1174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32"/>
      <c r="Q67" s="1696"/>
    </row>
    <row r="68" ht="15" spans="1:17">
      <c r="A68" s="1399"/>
      <c r="B68" s="1408"/>
      <c r="C68" s="1174">
        <v>0</v>
      </c>
      <c r="D68" s="1174">
        <v>1</v>
      </c>
      <c r="E68" s="1174">
        <v>2</v>
      </c>
      <c r="F68" s="1174"/>
      <c r="G68" s="1174"/>
      <c r="H68" s="1174"/>
      <c r="I68" s="1174"/>
      <c r="J68" s="1174"/>
      <c r="K68" s="1456"/>
      <c r="L68" s="1457"/>
      <c r="M68" s="1458"/>
      <c r="N68" s="1701"/>
      <c r="O68" s="1701"/>
      <c r="P68" s="233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3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3"/>
      <c r="Q70" s="1707"/>
    </row>
    <row r="71" s="1117" customFormat="1" ht="15.75" spans="1:17">
      <c r="A71" s="1409"/>
      <c r="B71" s="1404"/>
      <c r="C71" s="1412"/>
      <c r="D71" s="1401"/>
      <c r="E71" s="1401"/>
      <c r="F71" s="1401"/>
      <c r="G71" s="1401"/>
      <c r="H71" s="1401"/>
      <c r="I71" s="1401"/>
      <c r="J71" s="1401"/>
      <c r="K71" s="1401"/>
      <c r="L71" s="1401"/>
      <c r="M71" s="1450"/>
      <c r="N71" s="1703"/>
      <c r="O71" s="1703"/>
      <c r="P71" s="2343"/>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44"/>
      <c r="Q72" s="1713"/>
    </row>
    <row r="73" s="1117" customFormat="1" ht="15.75" spans="1:17">
      <c r="A73" s="1409"/>
      <c r="B73" s="1404"/>
      <c r="C73" s="1412"/>
      <c r="D73" s="1412"/>
      <c r="E73" s="1412"/>
      <c r="F73" s="1412"/>
      <c r="G73" s="1412"/>
      <c r="H73" s="1413"/>
      <c r="I73" s="1413"/>
      <c r="J73" s="1413"/>
      <c r="K73" s="1413"/>
      <c r="L73" s="1413"/>
      <c r="M73" s="1463"/>
      <c r="N73" s="1704"/>
      <c r="O73" s="1704"/>
      <c r="P73" s="2343"/>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45"/>
      <c r="Q74" s="1707"/>
    </row>
    <row r="75" s="1117" customFormat="1" ht="15.75" spans="1:17">
      <c r="A75" s="1415"/>
      <c r="B75" s="1416"/>
      <c r="C75" s="1417"/>
      <c r="D75" s="1417"/>
      <c r="E75" s="1417"/>
      <c r="F75" s="1417"/>
      <c r="G75" s="1417"/>
      <c r="H75" s="1418"/>
      <c r="I75" s="1418"/>
      <c r="J75" s="1418"/>
      <c r="K75" s="1418"/>
      <c r="L75" s="1418"/>
      <c r="M75" s="1467"/>
      <c r="N75" s="1704"/>
      <c r="O75" s="1704"/>
      <c r="P75" s="2343"/>
      <c r="Q75" s="1707"/>
    </row>
    <row r="76" spans="1:17">
      <c r="A76" s="1397" t="s">
        <v>1175</v>
      </c>
      <c r="B76" s="1398" t="s">
        <v>1176</v>
      </c>
      <c r="C76" s="1419" t="s">
        <v>1224</v>
      </c>
      <c r="D76" s="1419" t="s">
        <v>1225</v>
      </c>
      <c r="E76" s="1419" t="s">
        <v>1226</v>
      </c>
      <c r="F76" s="1419" t="s">
        <v>1227</v>
      </c>
      <c r="G76" s="1419" t="s">
        <v>1228</v>
      </c>
      <c r="H76" s="1420"/>
      <c r="I76" s="1420"/>
      <c r="J76" s="1420"/>
      <c r="K76" s="1468"/>
      <c r="L76" s="1469"/>
      <c r="M76" s="1470"/>
      <c r="N76" s="1701"/>
      <c r="O76" s="1701"/>
      <c r="P76" s="2346"/>
      <c r="Q76" s="1696"/>
    </row>
    <row r="77" ht="15.75" spans="1:17">
      <c r="A77" s="1399"/>
      <c r="B77" s="1404"/>
      <c r="C77" s="1405">
        <v>100</v>
      </c>
      <c r="D77" s="1405">
        <f>C77-$K15</f>
        <v>95</v>
      </c>
      <c r="E77" s="1405">
        <f>D77-$K15</f>
        <v>90</v>
      </c>
      <c r="F77" s="1405">
        <f>E77-$K15</f>
        <v>85</v>
      </c>
      <c r="G77" s="1405">
        <f>F77-$K15</f>
        <v>80</v>
      </c>
      <c r="H77" s="1405"/>
      <c r="I77" s="1405"/>
      <c r="J77" s="1405"/>
      <c r="K77" s="1405"/>
      <c r="L77" s="1405"/>
      <c r="M77" s="1455"/>
      <c r="N77" s="1703"/>
      <c r="O77" s="1703"/>
      <c r="P77" s="2332"/>
      <c r="Q77" s="1696"/>
    </row>
    <row r="78" ht="15.75" spans="1:17">
      <c r="A78" s="1399"/>
      <c r="B78" s="1402" t="s">
        <v>1179</v>
      </c>
      <c r="C78" s="1421" t="s">
        <v>1224</v>
      </c>
      <c r="D78" s="1421" t="s">
        <v>1225</v>
      </c>
      <c r="E78" s="1421" t="s">
        <v>1226</v>
      </c>
      <c r="F78" s="1421" t="s">
        <v>1227</v>
      </c>
      <c r="G78" s="1421" t="s">
        <v>1228</v>
      </c>
      <c r="H78" s="1403"/>
      <c r="I78" s="1403"/>
      <c r="J78" s="1403"/>
      <c r="K78" s="1452"/>
      <c r="L78" s="1453"/>
      <c r="M78" s="1454"/>
      <c r="N78" s="1701"/>
      <c r="O78" s="1701"/>
      <c r="P78" s="2332"/>
      <c r="Q78" s="1696"/>
    </row>
    <row r="79" ht="15.75" spans="1:17">
      <c r="A79" s="1399"/>
      <c r="B79" s="1404"/>
      <c r="C79" s="1405">
        <v>100</v>
      </c>
      <c r="D79" s="1405">
        <f>C79-$K17</f>
        <v>97</v>
      </c>
      <c r="E79" s="1405">
        <f>D79-$K17</f>
        <v>94</v>
      </c>
      <c r="F79" s="1405">
        <f>E79-$K17</f>
        <v>91</v>
      </c>
      <c r="G79" s="1405">
        <f>F79-$K17</f>
        <v>88</v>
      </c>
      <c r="H79" s="1405"/>
      <c r="I79" s="1405"/>
      <c r="J79" s="1405"/>
      <c r="K79" s="1405"/>
      <c r="L79" s="1405"/>
      <c r="M79" s="1455"/>
      <c r="N79" s="1703"/>
      <c r="O79" s="1703"/>
      <c r="P79" s="2332"/>
      <c r="Q79" s="1696"/>
    </row>
    <row r="80" ht="15.75" spans="1:17">
      <c r="A80" s="1399"/>
      <c r="B80" s="1402" t="s">
        <v>1181</v>
      </c>
      <c r="C80" s="1421" t="s">
        <v>1224</v>
      </c>
      <c r="D80" s="1421" t="s">
        <v>1225</v>
      </c>
      <c r="E80" s="1421" t="s">
        <v>1226</v>
      </c>
      <c r="F80" s="1421" t="s">
        <v>1227</v>
      </c>
      <c r="G80" s="1421" t="s">
        <v>1228</v>
      </c>
      <c r="H80" s="1403"/>
      <c r="I80" s="1403"/>
      <c r="J80" s="1403"/>
      <c r="K80" s="1452"/>
      <c r="L80" s="1453"/>
      <c r="M80" s="1454"/>
      <c r="N80" s="1701"/>
      <c r="O80" s="1701"/>
      <c r="P80" s="2332"/>
      <c r="Q80" s="1696"/>
    </row>
    <row r="81" ht="15.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32"/>
      <c r="Q81" s="1696"/>
    </row>
    <row r="82" ht="15.75" spans="1:17">
      <c r="A82" s="1399"/>
      <c r="B82" s="1406" t="s">
        <v>1182</v>
      </c>
      <c r="C82" s="1403" t="s">
        <v>1229</v>
      </c>
      <c r="D82" s="1403" t="s">
        <v>1230</v>
      </c>
      <c r="E82" s="1403" t="s">
        <v>1231</v>
      </c>
      <c r="F82" s="1403" t="s">
        <v>1232</v>
      </c>
      <c r="G82" s="1403" t="s">
        <v>1233</v>
      </c>
      <c r="H82" s="1403"/>
      <c r="I82" s="1403"/>
      <c r="J82" s="1403"/>
      <c r="K82" s="1403"/>
      <c r="L82" s="1403"/>
      <c r="M82" s="1604"/>
      <c r="N82" s="1703"/>
      <c r="O82" s="1703"/>
      <c r="P82" s="2332"/>
      <c r="Q82" s="1696"/>
    </row>
    <row r="83" ht="15.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332"/>
      <c r="Q83" s="1696"/>
    </row>
    <row r="84" ht="15.75" spans="1:17">
      <c r="A84" s="1399"/>
      <c r="B84" s="1402" t="s">
        <v>1183</v>
      </c>
      <c r="C84" s="1421" t="s">
        <v>1224</v>
      </c>
      <c r="D84" s="1421" t="s">
        <v>1225</v>
      </c>
      <c r="E84" s="1421" t="s">
        <v>1226</v>
      </c>
      <c r="F84" s="1421" t="s">
        <v>1227</v>
      </c>
      <c r="G84" s="1421" t="s">
        <v>1228</v>
      </c>
      <c r="H84" s="1403"/>
      <c r="I84" s="1403"/>
      <c r="J84" s="1403"/>
      <c r="K84" s="1452"/>
      <c r="L84" s="1453"/>
      <c r="M84" s="1454"/>
      <c r="N84" s="1701"/>
      <c r="O84" s="1701"/>
      <c r="P84" s="2332"/>
      <c r="Q84" s="1696"/>
    </row>
    <row r="85" ht="15.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32"/>
      <c r="Q85" s="1696"/>
    </row>
    <row r="86" s="1115" customFormat="1" ht="15.75" spans="1:17">
      <c r="A86" s="1422"/>
      <c r="B86" s="1402" t="s">
        <v>1184</v>
      </c>
      <c r="C86" s="1410"/>
      <c r="D86" s="1410"/>
      <c r="E86" s="1410"/>
      <c r="F86" s="1410"/>
      <c r="G86" s="1410"/>
      <c r="H86" s="1410"/>
      <c r="I86" s="1410"/>
      <c r="J86" s="1410"/>
      <c r="K86" s="1410"/>
      <c r="L86" s="1605"/>
      <c r="M86" s="1606"/>
      <c r="N86" s="1699"/>
      <c r="O86" s="1699"/>
      <c r="P86" s="233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32"/>
      <c r="Q87" s="1696"/>
    </row>
    <row r="88" s="1115" customFormat="1" ht="15.75" spans="1:17">
      <c r="A88" s="1422"/>
      <c r="B88" s="1402" t="s">
        <v>1185</v>
      </c>
      <c r="C88" s="2336" t="s">
        <v>1188</v>
      </c>
      <c r="D88" s="2336" t="s">
        <v>1186</v>
      </c>
      <c r="E88" s="2336" t="s">
        <v>1189</v>
      </c>
      <c r="F88" s="2337" t="s">
        <v>1234</v>
      </c>
      <c r="G88" s="2337" t="s">
        <v>1235</v>
      </c>
      <c r="H88" s="2336" t="s">
        <v>1236</v>
      </c>
      <c r="I88" s="2336" t="s">
        <v>1237</v>
      </c>
      <c r="J88" s="2336" t="s">
        <v>1187</v>
      </c>
      <c r="K88" s="2336" t="s">
        <v>1238</v>
      </c>
      <c r="L88" s="1410"/>
      <c r="M88" s="1606"/>
      <c r="N88" s="1699"/>
      <c r="O88" s="1699"/>
      <c r="P88" s="2332"/>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32"/>
      <c r="Q89" s="1696"/>
    </row>
    <row r="90" s="1117" customFormat="1" ht="15.75" spans="1:17">
      <c r="A90" s="1409"/>
      <c r="B90" s="1402" t="str">
        <f>B27</f>
        <v>楼层</v>
      </c>
      <c r="C90" s="2338" t="s">
        <v>1191</v>
      </c>
      <c r="D90" s="2338" t="s">
        <v>1192</v>
      </c>
      <c r="E90" s="2338" t="s">
        <v>1193</v>
      </c>
      <c r="F90" s="2338" t="s">
        <v>1194</v>
      </c>
      <c r="G90" s="2339"/>
      <c r="H90" s="2340"/>
      <c r="I90" s="1411"/>
      <c r="J90" s="1411"/>
      <c r="K90" s="1411"/>
      <c r="L90" s="1459"/>
      <c r="M90" s="1460"/>
      <c r="N90" s="1704"/>
      <c r="O90" s="1704"/>
      <c r="P90" s="2343"/>
      <c r="Q90" s="1707"/>
    </row>
    <row r="91" s="1117" customFormat="1" ht="15.75" spans="1:17">
      <c r="A91" s="1409"/>
      <c r="B91" s="1404"/>
      <c r="C91" s="1412">
        <f>[3]案例!AG45</f>
        <v>98</v>
      </c>
      <c r="D91" s="1412">
        <f>[3]案例!AG42</f>
        <v>96.5</v>
      </c>
      <c r="E91" s="1412">
        <f>[3]案例!AG41</f>
        <v>96</v>
      </c>
      <c r="F91" s="1412">
        <f>[3]案例!AG50</f>
        <v>100.5</v>
      </c>
      <c r="G91" s="1412"/>
      <c r="H91" s="1413"/>
      <c r="I91" s="1413"/>
      <c r="J91" s="1413"/>
      <c r="K91" s="1413"/>
      <c r="L91" s="1413"/>
      <c r="M91" s="1463"/>
      <c r="N91" s="1704"/>
      <c r="O91" s="1704"/>
      <c r="P91" s="2343"/>
      <c r="Q91" s="1707"/>
    </row>
    <row r="92" ht="15.75" spans="1:17">
      <c r="A92" s="1399"/>
      <c r="B92" s="1402">
        <f>B28</f>
        <v>111</v>
      </c>
      <c r="C92" s="1410"/>
      <c r="D92" s="1410"/>
      <c r="E92" s="1410"/>
      <c r="F92" s="1410"/>
      <c r="G92" s="1427"/>
      <c r="H92" s="1427"/>
      <c r="I92" s="1427"/>
      <c r="J92" s="1427"/>
      <c r="K92" s="1478"/>
      <c r="L92" s="1479"/>
      <c r="M92" s="1480"/>
      <c r="N92" s="1701"/>
      <c r="O92" s="1701"/>
      <c r="P92" s="2332"/>
      <c r="Q92" s="1696"/>
    </row>
    <row r="93" ht="15.75" spans="1:17">
      <c r="A93" s="1399"/>
      <c r="B93" s="1404"/>
      <c r="C93" s="1412"/>
      <c r="D93" s="1401"/>
      <c r="E93" s="1401"/>
      <c r="F93" s="1401"/>
      <c r="G93" s="1401"/>
      <c r="H93" s="1401"/>
      <c r="I93" s="1401"/>
      <c r="J93" s="1401"/>
      <c r="K93" s="1401"/>
      <c r="L93" s="1401"/>
      <c r="M93" s="1450"/>
      <c r="N93" s="1703"/>
      <c r="O93" s="1703"/>
      <c r="P93" s="2332"/>
      <c r="Q93" s="1696"/>
    </row>
    <row r="94" ht="15.75" spans="1:17">
      <c r="A94" s="1399"/>
      <c r="B94" s="1402">
        <f>B29</f>
        <v>111</v>
      </c>
      <c r="C94" s="1410"/>
      <c r="D94" s="1410"/>
      <c r="E94" s="1410"/>
      <c r="F94" s="1410"/>
      <c r="G94" s="1427"/>
      <c r="H94" s="1427"/>
      <c r="I94" s="1427"/>
      <c r="J94" s="1427"/>
      <c r="K94" s="1478"/>
      <c r="L94" s="1479"/>
      <c r="M94" s="1480"/>
      <c r="N94" s="1701"/>
      <c r="O94" s="1701"/>
      <c r="P94" s="2332"/>
      <c r="Q94" s="1696"/>
    </row>
    <row r="95" ht="15.75" spans="1:17">
      <c r="A95" s="1399"/>
      <c r="B95" s="1404"/>
      <c r="C95" s="1412"/>
      <c r="D95" s="1412"/>
      <c r="E95" s="1412"/>
      <c r="F95" s="1412"/>
      <c r="G95" s="1401"/>
      <c r="H95" s="1401"/>
      <c r="I95" s="1401"/>
      <c r="J95" s="1401"/>
      <c r="K95" s="1401"/>
      <c r="L95" s="1401"/>
      <c r="M95" s="1450"/>
      <c r="N95" s="1703"/>
      <c r="O95" s="1703"/>
      <c r="P95" s="2332"/>
      <c r="Q95" s="1696"/>
    </row>
    <row r="96" ht="15.75" spans="1:17">
      <c r="A96" s="1399"/>
      <c r="B96" s="1402">
        <f>B30</f>
        <v>111</v>
      </c>
      <c r="C96" s="1410"/>
      <c r="D96" s="1410"/>
      <c r="E96" s="1410"/>
      <c r="F96" s="1410"/>
      <c r="G96" s="1427"/>
      <c r="H96" s="1427"/>
      <c r="I96" s="1427"/>
      <c r="J96" s="1427"/>
      <c r="K96" s="1478"/>
      <c r="L96" s="1479"/>
      <c r="M96" s="1480"/>
      <c r="N96" s="1701"/>
      <c r="O96" s="1701"/>
      <c r="P96" s="2332"/>
      <c r="Q96" s="1696"/>
    </row>
    <row r="97" ht="15.75" spans="1:17">
      <c r="A97" s="1399"/>
      <c r="B97" s="1404"/>
      <c r="C97" s="1417"/>
      <c r="D97" s="1417"/>
      <c r="E97" s="1417"/>
      <c r="F97" s="1417"/>
      <c r="G97" s="1401"/>
      <c r="H97" s="1401"/>
      <c r="I97" s="1401"/>
      <c r="J97" s="1401"/>
      <c r="K97" s="1401"/>
      <c r="L97" s="1401"/>
      <c r="M97" s="1450"/>
      <c r="N97" s="1703"/>
      <c r="O97" s="1703"/>
      <c r="P97" s="2332"/>
      <c r="Q97" s="1696"/>
    </row>
    <row r="98" ht="15.75" spans="1:17">
      <c r="A98" s="1399"/>
      <c r="B98" s="1406">
        <f>B31</f>
        <v>111</v>
      </c>
      <c r="C98" s="1428"/>
      <c r="D98" s="1428"/>
      <c r="E98" s="1428"/>
      <c r="F98" s="1428"/>
      <c r="G98" s="1428"/>
      <c r="H98" s="1428"/>
      <c r="I98" s="1428"/>
      <c r="J98" s="1428"/>
      <c r="K98" s="1481"/>
      <c r="L98" s="1482"/>
      <c r="M98" s="1483"/>
      <c r="N98" s="1701"/>
      <c r="O98" s="1701"/>
      <c r="P98" s="2332"/>
      <c r="Q98" s="1696"/>
    </row>
    <row r="99" ht="15.75" spans="1:17">
      <c r="A99" s="1708"/>
      <c r="B99" s="1416"/>
      <c r="C99" s="1429"/>
      <c r="D99" s="1429"/>
      <c r="E99" s="1429"/>
      <c r="F99" s="1429"/>
      <c r="G99" s="1429"/>
      <c r="H99" s="1429"/>
      <c r="I99" s="1429"/>
      <c r="J99" s="1429"/>
      <c r="K99" s="1429"/>
      <c r="L99" s="1429"/>
      <c r="M99" s="1484"/>
      <c r="N99" s="1703"/>
      <c r="O99" s="1703"/>
      <c r="P99" s="2332"/>
      <c r="Q99" s="1696"/>
    </row>
    <row r="100" spans="1:17">
      <c r="A100" s="1397" t="s">
        <v>1195</v>
      </c>
      <c r="B100" s="1398" t="s">
        <v>1196</v>
      </c>
      <c r="C100" s="2341" t="s">
        <v>1239</v>
      </c>
      <c r="D100" s="2341" t="s">
        <v>1240</v>
      </c>
      <c r="E100" s="2341" t="s">
        <v>1198</v>
      </c>
      <c r="F100" s="2341" t="s">
        <v>1241</v>
      </c>
      <c r="G100" s="2341" t="s">
        <v>1197</v>
      </c>
      <c r="H100" s="1325"/>
      <c r="I100" s="1325"/>
      <c r="J100" s="1325"/>
      <c r="K100" s="1445"/>
      <c r="L100" s="1446"/>
      <c r="M100" s="1447"/>
      <c r="N100" s="1701"/>
      <c r="O100" s="1701"/>
      <c r="P100" s="233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32"/>
      <c r="Q101" s="1696"/>
    </row>
    <row r="102" ht="15.75" spans="1:17">
      <c r="A102" s="1399"/>
      <c r="B102" s="1402" t="s">
        <v>1200</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32"/>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43"/>
      <c r="Q103" s="1707"/>
    </row>
    <row r="104" s="1117" customFormat="1" ht="15.75" spans="1:17">
      <c r="A104" s="1409"/>
      <c r="B104" s="1404"/>
      <c r="C104" s="1412">
        <v>100</v>
      </c>
      <c r="D104" s="1401">
        <v>97</v>
      </c>
      <c r="E104" s="1401">
        <v>94</v>
      </c>
      <c r="F104" s="1401">
        <v>91</v>
      </c>
      <c r="G104" s="1401">
        <v>88</v>
      </c>
      <c r="H104" s="1401">
        <v>85</v>
      </c>
      <c r="I104" s="1401"/>
      <c r="J104" s="1401"/>
      <c r="K104" s="1401"/>
      <c r="L104" s="1401"/>
      <c r="M104" s="1401"/>
      <c r="N104" s="1703"/>
      <c r="O104" s="1703"/>
      <c r="P104" s="2343"/>
      <c r="Q104" s="1707"/>
    </row>
    <row r="105" ht="15.75" spans="1:17">
      <c r="A105" s="1433"/>
      <c r="B105" s="1402" t="s">
        <v>1201</v>
      </c>
      <c r="C105" s="2336" t="s">
        <v>1242</v>
      </c>
      <c r="D105" s="1410"/>
      <c r="E105" s="1427"/>
      <c r="F105" s="1427"/>
      <c r="G105" s="1427"/>
      <c r="H105" s="1427"/>
      <c r="I105" s="1427"/>
      <c r="J105" s="1427"/>
      <c r="K105" s="1478"/>
      <c r="L105" s="1479"/>
      <c r="M105" s="1480"/>
      <c r="N105" s="1701"/>
      <c r="O105" s="1701"/>
      <c r="P105" s="233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32"/>
      <c r="Q106" s="1696"/>
    </row>
    <row r="107" ht="15.75" spans="1:17">
      <c r="A107" s="1433"/>
      <c r="B107" s="1402" t="s">
        <v>1202</v>
      </c>
      <c r="C107" s="2342" t="s">
        <v>1180</v>
      </c>
      <c r="D107" s="1427"/>
      <c r="E107" s="1427"/>
      <c r="F107" s="1427"/>
      <c r="G107" s="1427"/>
      <c r="H107" s="1427"/>
      <c r="I107" s="1427"/>
      <c r="J107" s="1427"/>
      <c r="K107" s="1478"/>
      <c r="L107" s="1479"/>
      <c r="M107" s="1480"/>
      <c r="N107" s="1701"/>
      <c r="O107" s="1701"/>
      <c r="P107" s="233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32"/>
      <c r="Q108" s="1696"/>
    </row>
    <row r="109" ht="15.75" spans="1:17">
      <c r="A109" s="1433"/>
      <c r="B109" s="1402" t="s">
        <v>1203</v>
      </c>
      <c r="C109" s="2336" t="s">
        <v>1243</v>
      </c>
      <c r="D109" s="1410"/>
      <c r="E109" s="1410"/>
      <c r="F109" s="1427"/>
      <c r="G109" s="1427"/>
      <c r="H109" s="1427"/>
      <c r="I109" s="1427"/>
      <c r="J109" s="1427"/>
      <c r="K109" s="1478"/>
      <c r="L109" s="1479"/>
      <c r="M109" s="1480"/>
      <c r="N109" s="1701"/>
      <c r="O109" s="1701"/>
      <c r="P109" s="233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32"/>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3"/>
      <c r="Q111" s="1707"/>
    </row>
    <row r="112" s="1117" customFormat="1" ht="15" spans="1:17">
      <c r="A112" s="1430"/>
      <c r="B112" s="1406"/>
      <c r="C112" s="879">
        <v>0.5</v>
      </c>
      <c r="D112" s="879">
        <v>0.6</v>
      </c>
      <c r="E112" s="879">
        <v>0.7</v>
      </c>
      <c r="F112" s="879">
        <v>0.8</v>
      </c>
      <c r="G112" s="879">
        <v>0.9</v>
      </c>
      <c r="H112" s="879">
        <v>1.0001</v>
      </c>
      <c r="I112" s="879"/>
      <c r="J112" s="2347"/>
      <c r="K112" s="2347"/>
      <c r="L112" s="2348"/>
      <c r="M112" s="2349"/>
      <c r="N112" s="1704"/>
      <c r="O112" s="1704"/>
      <c r="P112" s="2343"/>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343"/>
      <c r="Q113" s="1707"/>
    </row>
    <row r="114" ht="15.75" spans="1:17">
      <c r="A114" s="1433"/>
      <c r="B114" s="1402" t="s">
        <v>1204</v>
      </c>
      <c r="C114" s="1410"/>
      <c r="D114" s="1410"/>
      <c r="E114" s="1427"/>
      <c r="F114" s="1427"/>
      <c r="G114" s="1427"/>
      <c r="H114" s="1427"/>
      <c r="I114" s="1427"/>
      <c r="J114" s="1427"/>
      <c r="K114" s="1478"/>
      <c r="L114" s="1479"/>
      <c r="M114" s="1480"/>
      <c r="N114" s="1701"/>
      <c r="O114" s="1701"/>
      <c r="P114" s="233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32"/>
      <c r="Q115" s="1696"/>
    </row>
    <row r="116" ht="15.75" spans="1:17">
      <c r="A116" s="1433"/>
      <c r="B116" s="1402" t="s">
        <v>1205</v>
      </c>
      <c r="C116" s="1410"/>
      <c r="D116" s="1410"/>
      <c r="E116" s="1410"/>
      <c r="F116" s="1410"/>
      <c r="G116" s="1410"/>
      <c r="H116" s="1427"/>
      <c r="I116" s="1427"/>
      <c r="J116" s="1427"/>
      <c r="K116" s="1478"/>
      <c r="L116" s="1479"/>
      <c r="M116" s="1480"/>
      <c r="N116" s="1701"/>
      <c r="O116" s="1701"/>
      <c r="P116" s="233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32"/>
      <c r="Q117" s="1696"/>
    </row>
    <row r="118" ht="15.75" spans="1:17">
      <c r="A118" s="1433"/>
      <c r="B118" s="1402" t="s">
        <v>1206</v>
      </c>
      <c r="C118" s="1427"/>
      <c r="D118" s="1427"/>
      <c r="E118" s="1427"/>
      <c r="F118" s="1427"/>
      <c r="G118" s="1427"/>
      <c r="H118" s="1427"/>
      <c r="I118" s="1427"/>
      <c r="J118" s="1427"/>
      <c r="K118" s="1478"/>
      <c r="L118" s="1479"/>
      <c r="M118" s="1480"/>
      <c r="N118" s="1701"/>
      <c r="O118" s="1701"/>
      <c r="P118" s="233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32"/>
      <c r="Q119" s="1696"/>
    </row>
    <row r="120" s="1117" customFormat="1" ht="28.5" spans="1:17">
      <c r="A120" s="1430"/>
      <c r="B120" s="1402" t="s">
        <v>1207</v>
      </c>
      <c r="C120" s="1410"/>
      <c r="D120" s="1410"/>
      <c r="E120" s="1410"/>
      <c r="F120" s="1410"/>
      <c r="G120" s="1410"/>
      <c r="H120" s="1410"/>
      <c r="I120" s="1410"/>
      <c r="J120" s="1410"/>
      <c r="K120" s="1410"/>
      <c r="L120" s="1605"/>
      <c r="M120" s="1606"/>
      <c r="N120" s="1704"/>
      <c r="O120" s="1704"/>
      <c r="P120" s="2343"/>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3"/>
      <c r="Q121" s="1707"/>
    </row>
    <row r="122" ht="15.75" spans="1:17">
      <c r="A122" s="1433"/>
      <c r="B122" s="1402" t="s">
        <v>1208</v>
      </c>
      <c r="C122" s="2336" t="s">
        <v>1210</v>
      </c>
      <c r="D122" s="2336" t="s">
        <v>1209</v>
      </c>
      <c r="E122" s="2336" t="s">
        <v>1211</v>
      </c>
      <c r="F122" s="2342" t="s">
        <v>1244</v>
      </c>
      <c r="G122" s="1427"/>
      <c r="H122" s="1427"/>
      <c r="I122" s="1427"/>
      <c r="J122" s="1427"/>
      <c r="K122" s="1478"/>
      <c r="L122" s="1479"/>
      <c r="M122" s="1480"/>
      <c r="N122" s="1701"/>
      <c r="O122" s="1701"/>
      <c r="P122" s="2332"/>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32"/>
      <c r="Q123" s="1696"/>
    </row>
    <row r="124" ht="15.75" spans="1:17">
      <c r="A124" s="1433"/>
      <c r="B124" s="1402" t="s">
        <v>1212</v>
      </c>
      <c r="C124" s="1421" t="s">
        <v>1224</v>
      </c>
      <c r="D124" s="1421" t="s">
        <v>1225</v>
      </c>
      <c r="E124" s="1421" t="s">
        <v>1226</v>
      </c>
      <c r="F124" s="1421" t="s">
        <v>1227</v>
      </c>
      <c r="G124" s="1421" t="s">
        <v>1228</v>
      </c>
      <c r="H124" s="1403"/>
      <c r="I124" s="1403"/>
      <c r="J124" s="1403"/>
      <c r="K124" s="1452"/>
      <c r="L124" s="1453"/>
      <c r="M124" s="1454"/>
      <c r="N124" s="1701"/>
      <c r="O124" s="1701"/>
      <c r="P124" s="2343"/>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3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43"/>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43"/>
      <c r="Q127" s="1707"/>
    </row>
    <row r="128" ht="15.75" spans="1:17">
      <c r="A128" s="1433"/>
      <c r="B128" s="1402">
        <f>B45</f>
        <v>111</v>
      </c>
      <c r="C128" s="1410"/>
      <c r="D128" s="1410"/>
      <c r="E128" s="1410"/>
      <c r="F128" s="1410"/>
      <c r="G128" s="1427"/>
      <c r="H128" s="1427"/>
      <c r="I128" s="1427"/>
      <c r="J128" s="1427"/>
      <c r="K128" s="1478"/>
      <c r="L128" s="1479"/>
      <c r="M128" s="1480"/>
      <c r="N128" s="1701"/>
      <c r="O128" s="1701"/>
      <c r="P128" s="2332"/>
      <c r="Q128" s="1696"/>
    </row>
    <row r="129" ht="15.75" spans="1:17">
      <c r="A129" s="1399"/>
      <c r="B129" s="1404"/>
      <c r="C129" s="1412"/>
      <c r="D129" s="1412"/>
      <c r="E129" s="1412"/>
      <c r="F129" s="1412"/>
      <c r="G129" s="1401"/>
      <c r="H129" s="1401"/>
      <c r="I129" s="1401"/>
      <c r="J129" s="1401"/>
      <c r="K129" s="1401"/>
      <c r="L129" s="1401"/>
      <c r="M129" s="1450"/>
      <c r="N129" s="1703"/>
      <c r="O129" s="1703"/>
      <c r="P129" s="233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32"/>
      <c r="Q130" s="1696"/>
    </row>
    <row r="131" ht="15.75" spans="1:17">
      <c r="A131" s="1708"/>
      <c r="B131" s="1416"/>
      <c r="C131" s="1417"/>
      <c r="D131" s="1417"/>
      <c r="E131" s="1417"/>
      <c r="F131" s="1417"/>
      <c r="G131" s="1429"/>
      <c r="H131" s="1429"/>
      <c r="I131" s="1429"/>
      <c r="J131" s="1429"/>
      <c r="K131" s="1429"/>
      <c r="L131" s="1429"/>
      <c r="M131" s="1484"/>
      <c r="N131" s="1703"/>
      <c r="O131" s="1703"/>
      <c r="P131" s="2332"/>
      <c r="Q131" s="1696"/>
    </row>
    <row r="136" ht="15" spans="2:2">
      <c r="B136" s="2350" t="s">
        <v>1245</v>
      </c>
    </row>
    <row r="137" ht="15" spans="2:11">
      <c r="B137" s="2351" t="s">
        <v>1246</v>
      </c>
      <c r="C137" s="2352"/>
      <c r="D137" s="2352"/>
      <c r="E137" s="2352"/>
      <c r="F137" s="2352"/>
      <c r="G137" s="2353"/>
      <c r="H137" s="2354"/>
      <c r="I137" s="2377" t="s">
        <v>1247</v>
      </c>
      <c r="J137" s="2352"/>
      <c r="K137" s="2378"/>
    </row>
    <row r="138" ht="15" spans="2:11">
      <c r="B138" s="2355"/>
      <c r="C138" s="2356" t="s">
        <v>1248</v>
      </c>
      <c r="D138" s="2356" t="s">
        <v>1249</v>
      </c>
      <c r="E138" s="2357" t="s">
        <v>1250</v>
      </c>
      <c r="F138" s="2358" t="s">
        <v>1251</v>
      </c>
      <c r="G138" s="2356" t="s">
        <v>1249</v>
      </c>
      <c r="H138" s="2359" t="s">
        <v>1250</v>
      </c>
      <c r="I138" s="2379"/>
      <c r="J138" s="2356" t="s">
        <v>1252</v>
      </c>
      <c r="K138" s="2359" t="s">
        <v>1253</v>
      </c>
    </row>
    <row r="139" ht="15" spans="2:11">
      <c r="B139" s="2360">
        <v>6</v>
      </c>
      <c r="C139" s="2361">
        <v>96</v>
      </c>
      <c r="D139" s="2362" t="s">
        <v>1254</v>
      </c>
      <c r="E139" s="2363">
        <v>100</v>
      </c>
      <c r="F139" s="2364">
        <v>102.5</v>
      </c>
      <c r="G139" s="2362" t="s">
        <v>1254</v>
      </c>
      <c r="H139" s="2365">
        <v>105</v>
      </c>
      <c r="I139" s="2380" t="s">
        <v>1255</v>
      </c>
      <c r="J139" s="2361">
        <v>20</v>
      </c>
      <c r="K139" s="2381">
        <f>C145/(J139-2)</f>
        <v>0.00405555555555556</v>
      </c>
    </row>
    <row r="140" ht="15" spans="2:11">
      <c r="B140" s="2366">
        <v>5</v>
      </c>
      <c r="C140" s="2367">
        <v>100</v>
      </c>
      <c r="D140" s="2367"/>
      <c r="E140" s="2368"/>
      <c r="F140" s="2369">
        <v>102</v>
      </c>
      <c r="G140" s="2367"/>
      <c r="H140" s="2370"/>
      <c r="I140" s="2382" t="s">
        <v>1256</v>
      </c>
      <c r="J140" s="474">
        <f>ROUNDUP((J139-1)/2,0)</f>
        <v>10</v>
      </c>
      <c r="K140" s="2383">
        <v>100</v>
      </c>
    </row>
    <row r="141" ht="15" spans="2:11">
      <c r="B141" s="2366">
        <v>4</v>
      </c>
      <c r="C141" s="2367">
        <v>102</v>
      </c>
      <c r="D141" s="2367"/>
      <c r="E141" s="2368"/>
      <c r="F141" s="2369">
        <v>101.5</v>
      </c>
      <c r="G141" s="2367"/>
      <c r="H141" s="2370"/>
      <c r="I141" s="2382" t="s">
        <v>1257</v>
      </c>
      <c r="J141" s="474">
        <v>1</v>
      </c>
      <c r="K141" s="2384">
        <f>ROUND(100+(J141-J140)*K139*100,1)</f>
        <v>96.4</v>
      </c>
    </row>
    <row r="142" ht="15" spans="2:11">
      <c r="B142" s="2366">
        <v>3</v>
      </c>
      <c r="C142" s="2367">
        <v>103</v>
      </c>
      <c r="D142" s="2367"/>
      <c r="E142" s="2368"/>
      <c r="F142" s="2369">
        <v>101</v>
      </c>
      <c r="G142" s="2367"/>
      <c r="H142" s="2370"/>
      <c r="I142" s="2382" t="s">
        <v>1258</v>
      </c>
      <c r="J142" s="474">
        <f>J139</f>
        <v>20</v>
      </c>
      <c r="K142" s="2385">
        <v>95</v>
      </c>
    </row>
    <row r="143" ht="15" spans="2:11">
      <c r="B143" s="2366">
        <v>2</v>
      </c>
      <c r="C143" s="2367">
        <v>100</v>
      </c>
      <c r="D143" s="2367"/>
      <c r="E143" s="2368"/>
      <c r="F143" s="2369">
        <v>100.5</v>
      </c>
      <c r="G143" s="2367"/>
      <c r="H143" s="2370"/>
      <c r="I143" s="2382" t="s">
        <v>1259</v>
      </c>
      <c r="J143" s="2367">
        <v>15</v>
      </c>
      <c r="K143" s="2384">
        <f>ROUND(100+(J143-J140)*K139*100,1)</f>
        <v>102</v>
      </c>
    </row>
    <row r="144" ht="15" spans="2:11">
      <c r="B144" s="2366">
        <v>1</v>
      </c>
      <c r="C144" s="2367">
        <v>98</v>
      </c>
      <c r="D144" s="2371" t="s">
        <v>1260</v>
      </c>
      <c r="E144" s="2368">
        <v>102</v>
      </c>
      <c r="F144" s="2372">
        <v>100</v>
      </c>
      <c r="G144" s="2371" t="s">
        <v>1260</v>
      </c>
      <c r="H144" s="2370">
        <v>105</v>
      </c>
      <c r="I144" s="2382" t="s">
        <v>1259</v>
      </c>
      <c r="J144" s="2367">
        <v>18</v>
      </c>
      <c r="K144" s="2384">
        <f>ROUND(100+(J144-J140)*K139*100,1)</f>
        <v>103.2</v>
      </c>
    </row>
    <row r="145" ht="15.75" spans="2:11">
      <c r="B145" s="2373" t="s">
        <v>1261</v>
      </c>
      <c r="C145" s="2374">
        <f>ROUND(MAX(C139:C144)/MIN(C139:C144)-1,3)</f>
        <v>0.073</v>
      </c>
      <c r="D145" s="2375"/>
      <c r="E145" s="2375"/>
      <c r="F145" s="2376" t="s">
        <v>1262</v>
      </c>
      <c r="G145" s="1742"/>
      <c r="H145" s="1747"/>
      <c r="I145" s="2386" t="s">
        <v>1259</v>
      </c>
      <c r="J145" s="2387">
        <v>8</v>
      </c>
      <c r="K145" s="2388">
        <f>ROUND(100+(J145-J140)*K139*100,1)</f>
        <v>99.2</v>
      </c>
    </row>
    <row r="147" spans="2:2">
      <c r="B147" s="2350" t="s">
        <v>1263</v>
      </c>
    </row>
    <row r="148" spans="2:2">
      <c r="B148" s="2350" t="s">
        <v>1264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c r="D1" s="1997" t="s">
        <v>124</v>
      </c>
      <c r="E1" s="1998" t="s">
        <v>1266</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280" t="e">
        <f ca="1">C40+J29+L46</f>
        <v>#DIV/0!</v>
      </c>
      <c r="C2" s="2003" t="s">
        <v>1268</v>
      </c>
      <c r="D2" s="2003"/>
      <c r="E2" s="2005"/>
      <c r="F2" s="2006"/>
      <c r="G2" s="2007"/>
      <c r="H2" s="2008"/>
      <c r="I2" s="2008"/>
      <c r="J2" s="2008"/>
      <c r="K2" s="2170"/>
      <c r="L2" s="2008"/>
      <c r="M2" s="2008"/>
    </row>
    <row r="3" ht="18" customHeight="1" spans="1:13">
      <c r="A3" s="2009" t="s">
        <v>1269</v>
      </c>
      <c r="B3" s="2010">
        <f ca="1">IF(ISERROR(B2*10000/F43),0,ROUND(B2*10000/F43,0))</f>
        <v>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0</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ROUND(F6*F8*F7*(1-F9)/10000,0)</f>
        <v>0</v>
      </c>
      <c r="D6" s="2025" t="s">
        <v>1280</v>
      </c>
      <c r="E6" s="2026" t="s">
        <v>1281</v>
      </c>
      <c r="F6" s="2027">
        <f ca="1">INDIRECT("'数据-取费表'!u"&amp;$G$1)</f>
        <v>0</v>
      </c>
      <c r="G6" s="799"/>
      <c r="H6" s="2022" t="s">
        <v>898</v>
      </c>
      <c r="I6" s="2023" t="s">
        <v>1279</v>
      </c>
      <c r="J6" s="2100">
        <f ca="1">ROUND(M6*M8*M7*(1-M9)/10000,0)</f>
        <v>0</v>
      </c>
      <c r="K6" s="2025" t="s">
        <v>1282</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0</v>
      </c>
      <c r="G7" s="799"/>
      <c r="H7" s="2033"/>
      <c r="I7" s="2029"/>
      <c r="J7" s="2034"/>
      <c r="K7" s="2031"/>
      <c r="L7" s="2026" t="s">
        <v>1283</v>
      </c>
      <c r="M7" s="2027">
        <f ca="1">F7</f>
        <v>0</v>
      </c>
    </row>
    <row r="8" ht="18" customHeight="1" spans="1:13">
      <c r="A8" s="2033"/>
      <c r="B8" s="2029"/>
      <c r="C8" s="2034"/>
      <c r="D8" s="2031"/>
      <c r="E8" s="2026" t="s">
        <v>1284</v>
      </c>
      <c r="F8" s="2027">
        <f ca="1">INDIRECT("'数据-取费表'!ai"&amp;$G$1)</f>
        <v>0</v>
      </c>
      <c r="G8" s="799"/>
      <c r="H8" s="2033"/>
      <c r="I8" s="2029"/>
      <c r="J8" s="2034"/>
      <c r="K8" s="2031"/>
      <c r="L8" s="2026" t="s">
        <v>1284</v>
      </c>
      <c r="M8" s="2027">
        <f ca="1">INDIRECT("'数据-取费表'!ai"&amp;$G$1)</f>
        <v>0</v>
      </c>
    </row>
    <row r="9" ht="18" customHeight="1" spans="1:13">
      <c r="A9" s="2033"/>
      <c r="B9" s="2035"/>
      <c r="C9" s="2034"/>
      <c r="D9" s="2031"/>
      <c r="E9" s="2026" t="s">
        <v>1285</v>
      </c>
      <c r="F9" s="2036">
        <f ca="1">INDIRECT("'数据-取费表'!w"&amp;$G$1)</f>
        <v>0</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0</v>
      </c>
      <c r="D10" s="2038" t="s">
        <v>1287</v>
      </c>
      <c r="E10" s="2039" t="s">
        <v>1288</v>
      </c>
      <c r="F10" s="2040"/>
      <c r="G10" s="799"/>
      <c r="H10" s="2022" t="s">
        <v>902</v>
      </c>
      <c r="I10" s="2037" t="s">
        <v>1286</v>
      </c>
      <c r="J10" s="2100">
        <f ca="1">ROUND(IF(M10="押一",J6/12*M11,IF(M10="押二",J6/12*2*M11,IF(M10="押三",J6/12*3*M11,J11*M11))),0)</f>
        <v>0</v>
      </c>
      <c r="K10" s="2038" t="s">
        <v>1287</v>
      </c>
      <c r="L10" s="2039" t="s">
        <v>1288</v>
      </c>
      <c r="M10" s="2040"/>
    </row>
    <row r="11" ht="18" customHeight="1" spans="1:13">
      <c r="A11" s="2041"/>
      <c r="B11" s="2042" t="s">
        <v>1289</v>
      </c>
      <c r="C11" s="2043"/>
      <c r="D11" s="2281"/>
      <c r="E11" s="2039" t="s">
        <v>1290</v>
      </c>
      <c r="F11" s="2044">
        <f ca="1">'数据-取费表'!B39</f>
        <v>0.015</v>
      </c>
      <c r="G11" s="799"/>
      <c r="H11" s="2045"/>
      <c r="I11" s="2042" t="s">
        <v>1289</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0</v>
      </c>
      <c r="D13" s="2055" t="s">
        <v>1293</v>
      </c>
      <c r="E13" s="2055" t="s">
        <v>1294</v>
      </c>
      <c r="F13" s="2056">
        <f ca="1">INDIRECT("'数据-取费表'!y"&amp;$G$1)</f>
        <v>0</v>
      </c>
      <c r="G13" s="799"/>
      <c r="H13" s="2052">
        <v>2</v>
      </c>
      <c r="I13" s="2053" t="s">
        <v>1292</v>
      </c>
      <c r="J13" s="2179">
        <f ca="1">ROUND(J14*J15,0)</f>
        <v>0</v>
      </c>
      <c r="K13" s="2078" t="s">
        <v>1293</v>
      </c>
      <c r="L13" s="2180"/>
      <c r="M13" s="2181"/>
    </row>
    <row r="14" ht="18" customHeight="1" spans="1:13">
      <c r="A14" s="2057" t="s">
        <v>921</v>
      </c>
      <c r="B14" s="2026" t="s">
        <v>1295</v>
      </c>
      <c r="C14" s="2058">
        <f ca="1">INDIRECT("'数据-取费表'!m"&amp;$G$1)+INDIRECT("'数据-取费表'!t"&amp;$G$1)</f>
        <v>0</v>
      </c>
      <c r="D14" s="2059" t="s">
        <v>1296</v>
      </c>
      <c r="E14" s="2060"/>
      <c r="F14" s="2061"/>
      <c r="G14" s="799"/>
      <c r="H14" s="2057" t="s">
        <v>898</v>
      </c>
      <c r="I14" s="2026" t="s">
        <v>1297</v>
      </c>
      <c r="J14" s="1048">
        <f ca="1">C29</f>
        <v>0</v>
      </c>
      <c r="K14" s="2182"/>
      <c r="L14" s="2183"/>
      <c r="M14" s="2184"/>
    </row>
    <row r="15" s="1993" customFormat="1" ht="18" customHeight="1" spans="1:37">
      <c r="A15" s="2057" t="s">
        <v>925</v>
      </c>
      <c r="B15" s="2026" t="s">
        <v>1104</v>
      </c>
      <c r="C15" s="1048">
        <f ca="1">ROUND(C14*F15,0)</f>
        <v>0</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ROUND(INDIRECT("'数据-取费表'!m"&amp;$G$1)*F16,0)</f>
        <v>0</v>
      </c>
      <c r="D16" s="2026" t="s">
        <v>1298</v>
      </c>
      <c r="E16" s="2026" t="s">
        <v>1299</v>
      </c>
      <c r="F16" s="2066">
        <f ca="1">IF(INDIRECT("'数据-取费表'!c"&amp;$G$1)="住宅",'数据-取费表'!B34,0)</f>
        <v>0</v>
      </c>
      <c r="G16" s="799"/>
      <c r="H16" s="2052" t="s">
        <v>1300</v>
      </c>
      <c r="I16" s="2053" t="s">
        <v>1301</v>
      </c>
      <c r="J16" s="2054">
        <f ca="1">ROUND(J17+J22+J23+J24,0)</f>
        <v>0</v>
      </c>
      <c r="K16" s="2078" t="s">
        <v>1302</v>
      </c>
      <c r="L16" s="2079"/>
      <c r="M16" s="2021"/>
    </row>
    <row r="17" s="1993" customFormat="1" ht="18" customHeight="1" spans="1:37">
      <c r="A17" s="2057" t="s">
        <v>1303</v>
      </c>
      <c r="B17" s="2026" t="s">
        <v>1304</v>
      </c>
      <c r="C17" s="1048">
        <f ca="1">ROUND(F17*(F43+INDIRECT("'数据-取费表'!S"&amp;$G$1))/10000,0)</f>
        <v>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ROUND(IF(AND(项目基本情况!B11="自然人",项目基本情况!B10="北京市"),J6*M17/(1+'数据-取费表'!C42),J18+J19+J20),2)</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0</v>
      </c>
      <c r="D18" s="2026" t="s">
        <v>1298</v>
      </c>
      <c r="E18" s="2026" t="s">
        <v>1299</v>
      </c>
      <c r="F18" s="2066">
        <f>'数据-取费表'!B36</f>
        <v>0.015</v>
      </c>
      <c r="G18" s="2064"/>
      <c r="H18" s="2057" t="s">
        <v>921</v>
      </c>
      <c r="I18" s="2026" t="s">
        <v>1311</v>
      </c>
      <c r="J18" s="1048">
        <f ca="1">ROUND(J6*M18/(1+'数据-取费表'!C42),2)</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0</v>
      </c>
      <c r="D19" s="2068" t="s">
        <v>1314</v>
      </c>
      <c r="E19" s="1050"/>
      <c r="F19" s="2067"/>
      <c r="G19" s="799"/>
      <c r="H19" s="2057" t="s">
        <v>925</v>
      </c>
      <c r="I19" s="2026" t="s">
        <v>1315</v>
      </c>
      <c r="J19" s="1048">
        <f ca="1">IF(K19="按租金收入计税",ROUND(J6*M19/(1+'数据-取费表'!C42),2),ROUND(C29*M19*0.7,2))</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0</v>
      </c>
      <c r="D20" s="2069" t="s">
        <v>1318</v>
      </c>
      <c r="E20" s="2026" t="s">
        <v>1299</v>
      </c>
      <c r="F20" s="2066">
        <f>'数据-取费表'!B37</f>
        <v>0.02</v>
      </c>
      <c r="G20" s="2064"/>
      <c r="H20" s="2057" t="s">
        <v>928</v>
      </c>
      <c r="I20" s="2025" t="s">
        <v>1319</v>
      </c>
      <c r="J20" s="2087">
        <f ca="1">ROUND(M20*M21/10000,2)</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ROUND(J14*M22,2)</f>
        <v>0</v>
      </c>
      <c r="K22" s="2082" t="s">
        <v>1328</v>
      </c>
      <c r="L22" s="2026" t="s">
        <v>1299</v>
      </c>
      <c r="M22" s="2094">
        <f ca="1">INDIRECT("'数据-取费表'!Ak"&amp;$G$1)</f>
        <v>0</v>
      </c>
    </row>
    <row r="23" s="1993" customFormat="1" ht="18" customHeight="1" spans="1:37">
      <c r="A23" s="2057" t="s">
        <v>921</v>
      </c>
      <c r="B23" s="2026" t="s">
        <v>1329</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ROUND(J13*M23,2)</f>
        <v>0</v>
      </c>
      <c r="K23" s="2082" t="s">
        <v>1332</v>
      </c>
      <c r="L23" s="2026" t="s">
        <v>1299</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ROUND(J5*M24,2)</f>
        <v>0</v>
      </c>
      <c r="K24" s="2075" t="s">
        <v>1335</v>
      </c>
      <c r="L24" s="2050" t="s">
        <v>1299</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954</v>
      </c>
      <c r="B25" s="2026" t="s">
        <v>1336</v>
      </c>
      <c r="C25" s="1048"/>
      <c r="D25" s="2068" t="s">
        <v>1337</v>
      </c>
      <c r="E25" s="1050"/>
      <c r="F25" s="2067"/>
      <c r="G25" s="799"/>
      <c r="H25" s="2052" t="s">
        <v>1338</v>
      </c>
      <c r="I25" s="2096" t="s">
        <v>1339</v>
      </c>
      <c r="J25" s="2054">
        <f ca="1">J5-J16</f>
        <v>0</v>
      </c>
      <c r="K25" s="2097" t="s">
        <v>1340</v>
      </c>
      <c r="L25" s="2098"/>
      <c r="M25" s="2099"/>
    </row>
    <row r="26" spans="1:13">
      <c r="A26" s="2057" t="s">
        <v>921</v>
      </c>
      <c r="B26" s="2026" t="s">
        <v>1341</v>
      </c>
      <c r="C26" s="1048">
        <f ca="1">ROUND((C19+C20)*F26,0)</f>
        <v>0</v>
      </c>
      <c r="D26" s="2069" t="s">
        <v>1342</v>
      </c>
      <c r="E26" s="2039" t="s">
        <v>1343</v>
      </c>
      <c r="F26" s="2036">
        <f ca="1">INDIRECT("'数据-取费表'!q"&amp;$G$1)</f>
        <v>0</v>
      </c>
      <c r="G26" s="799"/>
      <c r="H26" s="2016" t="s">
        <v>1344</v>
      </c>
      <c r="I26" s="2017" t="s">
        <v>1345</v>
      </c>
      <c r="J26" s="2100">
        <f ca="1">IF(J5&lt;&gt;0,ROUND(J25*(1-((1+M28)/(1+M26))^M27)/(M26-M28),0),0)</f>
        <v>0</v>
      </c>
      <c r="K26" s="2088" t="s">
        <v>1346</v>
      </c>
      <c r="L26" s="2026" t="s">
        <v>1347</v>
      </c>
      <c r="M26" s="2036">
        <f ca="1">INDIRECT("'数据-取费表'!I"&amp;$G$1)</f>
        <v>0</v>
      </c>
    </row>
    <row r="27" ht="18" customHeight="1" spans="1:13">
      <c r="A27" s="2057" t="s">
        <v>925</v>
      </c>
      <c r="B27" s="2026" t="s">
        <v>1348</v>
      </c>
      <c r="C27" s="1048">
        <f ca="1">ROUND(F21*F26,4)</f>
        <v>0</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0</v>
      </c>
      <c r="D29" s="2075"/>
      <c r="E29" s="2050"/>
      <c r="F29" s="2076"/>
      <c r="G29" s="2064"/>
      <c r="H29" s="2077" t="s">
        <v>1356</v>
      </c>
      <c r="I29" s="2107" t="s">
        <v>1357</v>
      </c>
      <c r="J29" s="2108">
        <f ca="1">ROUND(J26/(1+F40)^F41,0)</f>
        <v>0</v>
      </c>
      <c r="K29" s="2109" t="s">
        <v>1358</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0</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ROUND(IF(AND(项目基本情况!B11="自然人",项目基本情况!B10="北京市"),C6*F31/(1+'数据-取费表'!C42),C32+C33+C34),2)</f>
        <v>0</v>
      </c>
      <c r="D31" s="2059" t="s">
        <v>1308</v>
      </c>
      <c r="E31" s="2082" t="s">
        <v>1309</v>
      </c>
      <c r="F31" s="2083">
        <f ca="1">IF(项目基本情况!B11="企业","——",IF(M47="住宅",IF(F6*F7*F8/12/(1+'数据-取费表'!F30)&gt;100000,4%,2.5%),IF(F6*F7*F8/12/(1+'数据-取费表'!F30)&gt;100000,12%,7%)))</f>
        <v>0.07</v>
      </c>
      <c r="G31" s="799"/>
      <c r="H31" s="2084" t="s">
        <v>1359</v>
      </c>
      <c r="I31" s="2190"/>
      <c r="J31" s="2191"/>
      <c r="K31" s="2192"/>
      <c r="L31" s="2193"/>
      <c r="M31" s="2194"/>
    </row>
    <row r="32" ht="18" customHeight="1" spans="1:13">
      <c r="A32" s="2057" t="s">
        <v>921</v>
      </c>
      <c r="B32" s="2026" t="s">
        <v>1311</v>
      </c>
      <c r="C32" s="1048" t="str">
        <f ca="1">IF(项目基本情况!B11="自然人","——",ROUND(C6*F32/(1+'数据-取费表'!C42),2))</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IF(项目基本情况!B11="自然人","——",IF(D33="按租金收入计税",ROUND(C6*F33/(1+'数据-取费表'!C42),2),IF(D33="按房产原值计税",ROUND(C29*F33*0.7,2),INDIRECT("'数据-取费表'!Aj"&amp;$G$1))))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IF(项目基本情况!B11="自然人","——",ROUND(F34*F35/10000,2))</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ROUND(C29*F36,2)</f>
        <v>0</v>
      </c>
      <c r="D36" s="2082" t="s">
        <v>1360</v>
      </c>
      <c r="E36" s="2026" t="s">
        <v>1299</v>
      </c>
      <c r="F36" s="2094">
        <f ca="1">INDIRECT("'数据-取费表'!Ak"&amp;$G$1)</f>
        <v>0</v>
      </c>
      <c r="G36" s="799"/>
      <c r="H36" s="2086"/>
      <c r="I36" s="2190"/>
      <c r="J36" s="2191"/>
      <c r="K36" s="2198"/>
      <c r="L36" s="2086"/>
      <c r="M36" s="2086"/>
    </row>
    <row r="37" ht="18" customHeight="1" spans="1:13">
      <c r="A37" s="2057" t="s">
        <v>947</v>
      </c>
      <c r="B37" s="2026" t="s">
        <v>1331</v>
      </c>
      <c r="C37" s="1048">
        <f ca="1">ROUND(C13*F37,2)</f>
        <v>0</v>
      </c>
      <c r="D37" s="2082" t="s">
        <v>1332</v>
      </c>
      <c r="E37" s="2026" t="s">
        <v>1299</v>
      </c>
      <c r="F37" s="2095">
        <f ca="1">INDIRECT("'数据-取费表'!Al"&amp;$G$1)</f>
        <v>0</v>
      </c>
      <c r="G37" s="799"/>
      <c r="H37" s="2086"/>
      <c r="I37" s="2190"/>
      <c r="J37" s="2191"/>
      <c r="K37" s="2198"/>
      <c r="L37" s="2086"/>
      <c r="M37" s="2086"/>
    </row>
    <row r="38" ht="18" customHeight="1" spans="1:13">
      <c r="A38" s="2065" t="s">
        <v>950</v>
      </c>
      <c r="B38" s="2050" t="s">
        <v>1317</v>
      </c>
      <c r="C38" s="2074">
        <f ca="1">ROUND(C5*F38,2)</f>
        <v>0</v>
      </c>
      <c r="D38" s="2075" t="s">
        <v>1335</v>
      </c>
      <c r="E38" s="2050" t="s">
        <v>1299</v>
      </c>
      <c r="F38" s="2051">
        <f ca="1">INDIRECT("'数据-取费表'!Am"&amp;$G$1)</f>
        <v>0</v>
      </c>
      <c r="G38" s="799"/>
      <c r="H38" s="2086"/>
      <c r="I38" s="2190"/>
      <c r="J38" s="2191"/>
      <c r="K38" s="2199"/>
      <c r="L38" s="2086"/>
      <c r="M38" s="2086"/>
    </row>
    <row r="39" ht="24.6" customHeight="1" spans="1:13">
      <c r="A39" s="2052" t="s">
        <v>1338</v>
      </c>
      <c r="B39" s="2096" t="s">
        <v>1339</v>
      </c>
      <c r="C39" s="2054">
        <f ca="1">C5-C30</f>
        <v>0</v>
      </c>
      <c r="D39" s="2097" t="s">
        <v>1340</v>
      </c>
      <c r="E39" s="2098"/>
      <c r="F39" s="2099"/>
      <c r="G39" s="799"/>
      <c r="H39" s="2086"/>
      <c r="I39" s="2190"/>
      <c r="J39" s="2191"/>
      <c r="K39" s="2199"/>
      <c r="L39" s="2086"/>
      <c r="M39" s="2086"/>
    </row>
    <row r="40" ht="18" customHeight="1" spans="1:13">
      <c r="A40" s="2016" t="s">
        <v>1344</v>
      </c>
      <c r="B40" s="2017" t="s">
        <v>1361</v>
      </c>
      <c r="C40" s="2100" t="e">
        <f ca="1">ROUND(C39*(1-((1+F42)/(1+F40))^F41)/(F40-F42),0)</f>
        <v>#DIV/0!</v>
      </c>
      <c r="D40" s="2088" t="s">
        <v>1346</v>
      </c>
      <c r="E40" s="2026" t="s">
        <v>1347</v>
      </c>
      <c r="F40" s="2036">
        <f ca="1">INDIRECT("'数据-取费表'!I"&amp;$G$1)</f>
        <v>0</v>
      </c>
      <c r="G40" s="799"/>
      <c r="H40" s="2101"/>
      <c r="I40" s="2190"/>
      <c r="J40" s="2191"/>
      <c r="K40" s="2199"/>
      <c r="L40" s="2101"/>
      <c r="M40" s="2101"/>
    </row>
    <row r="41" ht="18" customHeight="1" spans="1:13">
      <c r="A41" s="2033"/>
      <c r="B41" s="2102"/>
      <c r="C41" s="2034"/>
      <c r="D41" s="2103" t="s">
        <v>1350</v>
      </c>
      <c r="E41" s="2026" t="s">
        <v>1351</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1354</v>
      </c>
      <c r="F42" s="2036">
        <f ca="1">INDIRECT("'数据-取费表'!v"&amp;$G$1)</f>
        <v>0</v>
      </c>
      <c r="G42" s="799"/>
      <c r="H42" s="2105"/>
      <c r="I42" s="2190"/>
      <c r="J42" s="2191"/>
      <c r="K42" s="2198"/>
      <c r="L42" s="2105"/>
      <c r="M42" s="2105"/>
    </row>
    <row r="43" ht="18" customHeight="1" spans="1:13">
      <c r="A43" s="2077" t="s">
        <v>1356</v>
      </c>
      <c r="B43" s="2107" t="s">
        <v>1362</v>
      </c>
      <c r="C43" s="2108" t="e">
        <f ca="1">ROUND(C40*10000/F43,0)</f>
        <v>#DIV/0!</v>
      </c>
      <c r="D43" s="2109" t="s">
        <v>1363</v>
      </c>
      <c r="E43" s="2110" t="s">
        <v>1364</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287" t="s">
        <v>1365</v>
      </c>
      <c r="P45" s="2101"/>
      <c r="Q45" s="2101"/>
      <c r="R45" s="2101"/>
    </row>
    <row r="46" s="799" customFormat="1" ht="13.5" spans="1:18">
      <c r="A46" s="2117" t="s">
        <v>1366</v>
      </c>
      <c r="C46" s="2118" t="e">
        <f ca="1">C68-C40</f>
        <v>#DIV/0!</v>
      </c>
      <c r="D46" s="2119" t="str">
        <f>C2</f>
        <v>万元</v>
      </c>
      <c r="E46" s="2112"/>
      <c r="F46" s="2112"/>
      <c r="I46" s="2202" t="s">
        <v>1367</v>
      </c>
      <c r="J46" s="2203"/>
      <c r="K46" s="2204"/>
      <c r="L46" s="2205" t="e">
        <f ca="1">IF(M47="住宅",0,IF(L48&gt;J51,L60,J60))</f>
        <v>#DIV/0!</v>
      </c>
      <c r="O46" s="2206" t="s">
        <v>1368</v>
      </c>
      <c r="P46" s="2207" t="s">
        <v>1369</v>
      </c>
      <c r="Q46" s="2254" t="s">
        <v>1370</v>
      </c>
      <c r="R46" s="2254" t="s">
        <v>1371</v>
      </c>
    </row>
    <row r="47" s="799" customFormat="1" ht="13.5" spans="1:18">
      <c r="A47" s="2120" t="s">
        <v>1272</v>
      </c>
      <c r="B47" s="2121" t="s">
        <v>1273</v>
      </c>
      <c r="C47" s="2282" t="s">
        <v>1274</v>
      </c>
      <c r="D47" s="2121" t="s">
        <v>1275</v>
      </c>
      <c r="E47" s="2122" t="s">
        <v>1276</v>
      </c>
      <c r="F47" s="1041"/>
      <c r="G47" s="2123"/>
      <c r="I47" s="2208" t="s">
        <v>1372</v>
      </c>
      <c r="J47" s="2209"/>
      <c r="K47" s="2210" t="s">
        <v>1373</v>
      </c>
      <c r="L47" s="2211">
        <f ca="1">INDIRECT("'数据-取费表'!d"&amp;$G$1)</f>
        <v>0</v>
      </c>
      <c r="M47" s="2212" t="str">
        <f>IF(ISNUMBER(FIND("住宅",C1)),"住宅","非住宅")</f>
        <v>非住宅</v>
      </c>
      <c r="O47" s="2213" t="s">
        <v>1003</v>
      </c>
      <c r="P47" s="2214" t="s">
        <v>1374</v>
      </c>
      <c r="Q47" s="2255" t="e">
        <f ca="1">C40+J29</f>
        <v>#DIV/0!</v>
      </c>
      <c r="R47" s="2255" t="s">
        <v>1375</v>
      </c>
    </row>
    <row r="48" s="799" customFormat="1" ht="26.25" spans="1:18">
      <c r="A48" s="2124" t="s">
        <v>1376</v>
      </c>
      <c r="B48" s="2017" t="s">
        <v>1277</v>
      </c>
      <c r="C48" s="1049">
        <f ca="1">C49+C53+C55</f>
        <v>0</v>
      </c>
      <c r="D48" s="2125"/>
      <c r="E48" s="2126"/>
      <c r="F48" s="2127"/>
      <c r="G48" s="2123"/>
      <c r="H48" s="2128"/>
      <c r="I48" s="2215" t="s">
        <v>1377</v>
      </c>
      <c r="J48" s="2216"/>
      <c r="K48" s="2217" t="s">
        <v>1378</v>
      </c>
      <c r="L48" s="2218">
        <f ca="1">INDIRECT("'数据-取费表'!f"&amp;$G$1)</f>
        <v>0</v>
      </c>
      <c r="O48" s="2213" t="s">
        <v>1006</v>
      </c>
      <c r="P48" s="2214" t="s">
        <v>1379</v>
      </c>
      <c r="Q48" s="2255" t="e">
        <f ca="1">J60</f>
        <v>#DIV/0!</v>
      </c>
      <c r="R48" s="2255" t="s">
        <v>1380</v>
      </c>
    </row>
    <row r="49" s="799" customFormat="1" ht="13.5" spans="1:18">
      <c r="A49" s="2129" t="s">
        <v>1381</v>
      </c>
      <c r="B49" s="2130" t="s">
        <v>1382</v>
      </c>
      <c r="C49" s="2131">
        <f ca="1">ROUND(F49*F51*F50*(1-F52)/10000,0)</f>
        <v>0</v>
      </c>
      <c r="D49" s="2132" t="s">
        <v>1282</v>
      </c>
      <c r="E49" s="2133" t="s">
        <v>1383</v>
      </c>
      <c r="F49" s="2134"/>
      <c r="G49" s="2135"/>
      <c r="H49" s="2128"/>
      <c r="I49" s="2215" t="s">
        <v>1384</v>
      </c>
      <c r="J49" s="2219"/>
      <c r="K49" s="2217" t="s">
        <v>1385</v>
      </c>
      <c r="L49" s="2220"/>
      <c r="O49" s="2221" t="s">
        <v>1386</v>
      </c>
      <c r="P49" s="2214" t="s">
        <v>1387</v>
      </c>
      <c r="Q49" s="2255">
        <f ca="1">C29</f>
        <v>0</v>
      </c>
      <c r="R49" s="2255" t="s">
        <v>1375</v>
      </c>
    </row>
    <row r="50" s="799" customFormat="1" ht="13.5" spans="1:18">
      <c r="A50" s="2136"/>
      <c r="B50" s="2137"/>
      <c r="C50" s="2283"/>
      <c r="D50" s="2139"/>
      <c r="E50" s="2140" t="s">
        <v>1283</v>
      </c>
      <c r="F50" s="2141">
        <f ca="1">F7</f>
        <v>0</v>
      </c>
      <c r="H50" s="2128"/>
      <c r="I50" s="2215" t="s">
        <v>1388</v>
      </c>
      <c r="J50" s="2222">
        <f>SUMPRODUCT((I63:I65=J47)*(J62:L62=J48)*(J63:L65))</f>
        <v>0</v>
      </c>
      <c r="K50" s="2217" t="s">
        <v>1389</v>
      </c>
      <c r="L50" s="2220"/>
      <c r="M50" s="2223"/>
      <c r="O50" s="2221" t="s">
        <v>1390</v>
      </c>
      <c r="P50" s="2214" t="s">
        <v>1391</v>
      </c>
      <c r="Q50" s="2256" t="e">
        <f ca="1">J58</f>
        <v>#DIV/0!</v>
      </c>
      <c r="R50" s="2255"/>
    </row>
    <row r="51" s="799" customFormat="1" ht="13.5" spans="1:18">
      <c r="A51" s="2142"/>
      <c r="B51" s="2137"/>
      <c r="C51" s="2138"/>
      <c r="D51" s="2139"/>
      <c r="E51" s="2143" t="s">
        <v>1284</v>
      </c>
      <c r="F51" s="2027">
        <f ca="1">F8</f>
        <v>0</v>
      </c>
      <c r="I51" s="2224" t="s">
        <v>1392</v>
      </c>
      <c r="J51" s="2225">
        <f>IF(J49="",J50,J49+J50-YEAR('数据-取费表'!B2))</f>
        <v>0</v>
      </c>
      <c r="K51" s="2226" t="s">
        <v>1393</v>
      </c>
      <c r="L51" s="2227">
        <f ca="1">ROUND(-PV(INDIRECT("'数据-取费表'!h"&amp;$G$1),J51,(C39-C13*C76),0),0)</f>
        <v>0</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c r="O52" s="2221" t="s">
        <v>1398</v>
      </c>
      <c r="P52" s="2214" t="s">
        <v>1399</v>
      </c>
      <c r="Q52" s="2255">
        <f ca="1">J53</f>
        <v>0</v>
      </c>
      <c r="R52" s="2255" t="s">
        <v>1400</v>
      </c>
    </row>
    <row r="53" s="799" customFormat="1" ht="24.75" spans="1:18">
      <c r="A53" s="2284" t="s">
        <v>1401</v>
      </c>
      <c r="B53" s="2285" t="s">
        <v>1286</v>
      </c>
      <c r="C53" s="1047">
        <f ca="1">ROUND(IF(F53="押一",C49/12*F11,IF(F53="押二",C49/12*2*F11,IF(F53="押三",C49/12*3*F11,C54*F11))),0)</f>
        <v>0</v>
      </c>
      <c r="D53" s="2038" t="s">
        <v>1287</v>
      </c>
      <c r="E53" s="2039" t="s">
        <v>1288</v>
      </c>
      <c r="F53" s="2040"/>
      <c r="I53" s="2231" t="s">
        <v>1402</v>
      </c>
      <c r="J53" s="2232">
        <f ca="1">IF(M47="住宅",IF(D1="——",MAX(J51,L48),MAX(J51,L48-'数据-取费表'!B24)),IF(D1="——",MIN(J51,L48),MIN(J51,L48-'数据-取费表'!B24)))</f>
        <v>0</v>
      </c>
      <c r="K53" s="2233" t="s">
        <v>1403</v>
      </c>
      <c r="L53" s="2234"/>
      <c r="O53" s="2213" t="s">
        <v>1106</v>
      </c>
      <c r="P53" s="2214" t="s">
        <v>1404</v>
      </c>
      <c r="Q53" s="2255" t="e">
        <f ca="1">Q47+Q48</f>
        <v>#DIV/0!</v>
      </c>
      <c r="R53" s="2255" t="s">
        <v>1405</v>
      </c>
    </row>
    <row r="54" s="799" customFormat="1" ht="13.5" spans="1:18">
      <c r="A54" s="2286"/>
      <c r="B54" s="2042" t="s">
        <v>1289</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#DIV/0!</v>
      </c>
      <c r="K55" s="2240" t="s">
        <v>1408</v>
      </c>
      <c r="L55" s="2241"/>
      <c r="O55" s="2206" t="s">
        <v>1368</v>
      </c>
      <c r="P55" s="2207" t="s">
        <v>1369</v>
      </c>
      <c r="Q55" s="2254" t="s">
        <v>1370</v>
      </c>
      <c r="R55" s="2254" t="s">
        <v>1371</v>
      </c>
    </row>
    <row r="56" s="799" customFormat="1" ht="25.5" spans="1:18">
      <c r="A56" s="2149">
        <v>2</v>
      </c>
      <c r="B56" s="2150" t="s">
        <v>1292</v>
      </c>
      <c r="C56" s="430">
        <f ca="1">C13</f>
        <v>0</v>
      </c>
      <c r="D56" s="2151"/>
      <c r="E56" s="2152"/>
      <c r="F56" s="2148"/>
      <c r="I56" s="2242" t="s">
        <v>1409</v>
      </c>
      <c r="J56" s="2243"/>
      <c r="K56" s="2215" t="s">
        <v>1410</v>
      </c>
      <c r="L56" s="2218">
        <f ca="1">IF(L48&lt;J51,"——",L48-J53)</f>
        <v>0</v>
      </c>
      <c r="O56" s="2213" t="s">
        <v>1003</v>
      </c>
      <c r="P56" s="2214" t="s">
        <v>1374</v>
      </c>
      <c r="Q56" s="2255" t="e">
        <f ca="1">C40+J29</f>
        <v>#DIV/0!</v>
      </c>
      <c r="R56" s="2255" t="s">
        <v>1375</v>
      </c>
    </row>
    <row r="57" s="799" customFormat="1" ht="24.75" spans="1:18">
      <c r="A57" s="2153"/>
      <c r="B57" s="2154" t="s">
        <v>1355</v>
      </c>
      <c r="C57" s="440">
        <f ca="1">C29</f>
        <v>0</v>
      </c>
      <c r="D57" s="2155"/>
      <c r="E57" s="2156"/>
      <c r="F57" s="2157"/>
      <c r="I57" s="2244" t="s">
        <v>1411</v>
      </c>
      <c r="J57" s="2245">
        <f ca="1">IF(OR(M47="住宅",J51&lt;L48,J56="是"),"——",J51-L48)</f>
        <v>0</v>
      </c>
      <c r="K57" s="2215" t="s">
        <v>1412</v>
      </c>
      <c r="L57" s="2218">
        <f ca="1">IF(L48&lt;J51,"——",IF(L55="比较法",L49,IF(L55="基准地价",L50,L51)))</f>
        <v>0</v>
      </c>
      <c r="O57" s="2213" t="s">
        <v>1006</v>
      </c>
      <c r="P57" s="2214" t="s">
        <v>1413</v>
      </c>
      <c r="Q57" s="2255" t="e">
        <f ca="1">L60</f>
        <v>#DIV/0!</v>
      </c>
      <c r="R57" s="2255" t="s">
        <v>1414</v>
      </c>
    </row>
    <row r="58" s="799" customFormat="1" ht="24.75" spans="1:18">
      <c r="A58" s="2158" t="s">
        <v>1300</v>
      </c>
      <c r="B58" s="2150" t="s">
        <v>1301</v>
      </c>
      <c r="C58" s="1047">
        <f ca="1">ROUND(C59+C64+C65+C66,0)</f>
        <v>0</v>
      </c>
      <c r="D58" s="2159" t="s">
        <v>1302</v>
      </c>
      <c r="E58" s="2160"/>
      <c r="F58" s="2127"/>
      <c r="I58" s="2244" t="s">
        <v>1415</v>
      </c>
      <c r="J58" s="2246" t="e">
        <f ca="1">IF(J55&lt;0.4,0.4,J55)</f>
        <v>#DIV/0!</v>
      </c>
      <c r="K58" s="2226" t="s">
        <v>1416</v>
      </c>
      <c r="L58" s="2218" t="e">
        <f ca="1">ROUND(POWER(1+L52,L47-L48)*(POWER(1+L52,L48)-1)/(POWER(1+L52,L47)-1),4)</f>
        <v>#DIV/0!</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1390</v>
      </c>
      <c r="P59" s="2214" t="s">
        <v>1419</v>
      </c>
      <c r="Q59" s="2256">
        <f>L52</f>
        <v>0</v>
      </c>
      <c r="R59" s="2255"/>
    </row>
    <row r="60" s="799" customFormat="1" ht="17.25" spans="1:18">
      <c r="A60" s="2057" t="s">
        <v>921</v>
      </c>
      <c r="B60" s="2154" t="s">
        <v>1311</v>
      </c>
      <c r="C60" s="1048" t="str">
        <f ca="1">IF(项目基本情况!B11="自然人","——",ROUND(C48*F60/(1+'数据-取费表'!C42),2))</f>
        <v>——</v>
      </c>
      <c r="D60" s="2162" t="s">
        <v>1312</v>
      </c>
      <c r="E60" s="2154" t="s">
        <v>1299</v>
      </c>
      <c r="F60" s="2073">
        <f t="shared" ref="F60:F66" si="0">F32</f>
        <v>0.056</v>
      </c>
      <c r="I60" s="2247" t="s">
        <v>1420</v>
      </c>
      <c r="J60" s="2248" t="e">
        <f ca="1">IF(OR(M47="住宅",J51&lt;L48,J56="是"),"0",ROUND(J59/(1+J52)^J53,0))</f>
        <v>#DIV/0!</v>
      </c>
      <c r="K60" s="2249" t="s">
        <v>1421</v>
      </c>
      <c r="L60" s="2248" t="e">
        <f ca="1">IF(OR(M47="住宅",L48&lt;J51),0,ROUND(L57*(L58/L59-1),0))</f>
        <v>#DIV/0!</v>
      </c>
      <c r="O60" s="2221" t="s">
        <v>1394</v>
      </c>
      <c r="P60" s="2214" t="s">
        <v>1422</v>
      </c>
      <c r="Q60" s="2255" t="e">
        <f ca="1">L58</f>
        <v>#DIV/0!</v>
      </c>
      <c r="R60" s="2255" t="s">
        <v>1423</v>
      </c>
    </row>
    <row r="61" s="799" customFormat="1" ht="13.5" spans="1:18">
      <c r="A61" s="2057" t="s">
        <v>925</v>
      </c>
      <c r="B61" s="2154" t="s">
        <v>1315</v>
      </c>
      <c r="C61" s="1048" t="str">
        <f ca="1">IF(项目基本情况!B11="自然人","——",IF(D61="按租金收入计税",ROUND(C49*F61/(1+'数据-取费表'!C42),2),IF(D61="按房产原值计税",ROUND(C57*F61*0.7,2),INDIRECT("'数据-取费表'!Aj"&amp;$G$1))))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t="e">
        <f ca="1">L59</f>
        <v>#DIV/0!</v>
      </c>
      <c r="R61" s="2255" t="s">
        <v>1424</v>
      </c>
    </row>
    <row r="62" s="799" customFormat="1" ht="13.5" spans="1:18">
      <c r="A62" s="2057" t="s">
        <v>928</v>
      </c>
      <c r="B62" s="2163" t="s">
        <v>1319</v>
      </c>
      <c r="C62" s="2087" t="str">
        <f ca="1">IF(项目基本情况!B11="自然人","——",ROUND(F62*F63/10000,2))</f>
        <v>——</v>
      </c>
      <c r="D62" s="2164" t="s">
        <v>1320</v>
      </c>
      <c r="E62" s="2154" t="s">
        <v>1321</v>
      </c>
      <c r="F62" s="2072">
        <f t="shared" si="0"/>
        <v>0</v>
      </c>
      <c r="I62" s="2250" t="s">
        <v>1425</v>
      </c>
      <c r="J62" s="2251" t="s">
        <v>1426</v>
      </c>
      <c r="K62" s="2251" t="s">
        <v>1427</v>
      </c>
      <c r="L62" s="2251" t="s">
        <v>1428</v>
      </c>
      <c r="M62" s="2252" t="s">
        <v>1429</v>
      </c>
      <c r="O62" s="2213" t="s">
        <v>1106</v>
      </c>
      <c r="P62" s="2214" t="s">
        <v>1404</v>
      </c>
      <c r="Q62" s="2255" t="e">
        <f ca="1">Q56+Q57</f>
        <v>#DIV/0!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ROUND(C57*F64,2)</f>
        <v>0</v>
      </c>
      <c r="D64" s="2162" t="s">
        <v>1360</v>
      </c>
      <c r="E64" s="2154" t="s">
        <v>1299</v>
      </c>
      <c r="F64" s="2094">
        <f ca="1" t="shared" si="0"/>
        <v>0</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ROUND(C56*F65,2)</f>
        <v>0</v>
      </c>
      <c r="D65" s="2162" t="s">
        <v>1332</v>
      </c>
      <c r="E65" s="2154" t="s">
        <v>1299</v>
      </c>
      <c r="F65" s="2095">
        <f ca="1" t="shared" si="0"/>
        <v>0</v>
      </c>
      <c r="I65" s="2250" t="s">
        <v>1433</v>
      </c>
      <c r="J65" s="2251">
        <v>40</v>
      </c>
      <c r="K65" s="2251">
        <v>30</v>
      </c>
      <c r="L65" s="2251">
        <v>50</v>
      </c>
      <c r="M65" s="2253">
        <v>0.02</v>
      </c>
      <c r="O65" s="2213" t="s">
        <v>1003</v>
      </c>
      <c r="P65" s="2214" t="s">
        <v>1374</v>
      </c>
      <c r="Q65" s="2255" t="e">
        <f ca="1">C40+J29</f>
        <v>#DIV/0!</v>
      </c>
      <c r="R65" s="2255" t="s">
        <v>1375</v>
      </c>
    </row>
    <row r="66" s="799" customFormat="1" ht="17.25" spans="1:18">
      <c r="A66" s="2057" t="s">
        <v>950</v>
      </c>
      <c r="B66" s="2154" t="s">
        <v>1317</v>
      </c>
      <c r="C66" s="1048">
        <f ca="1">ROUND(C48*F66,2)</f>
        <v>0</v>
      </c>
      <c r="D66" s="2162" t="s">
        <v>1335</v>
      </c>
      <c r="E66" s="2154" t="s">
        <v>1299</v>
      </c>
      <c r="F66" s="2036">
        <f ca="1" t="shared" si="0"/>
        <v>0</v>
      </c>
      <c r="O66" s="2213" t="s">
        <v>1006</v>
      </c>
      <c r="P66" s="2214" t="s">
        <v>1413</v>
      </c>
      <c r="Q66" s="2255" t="e">
        <f ca="1">L60</f>
        <v>#DIV/0!</v>
      </c>
      <c r="R66" s="2255" t="s">
        <v>1414</v>
      </c>
    </row>
    <row r="67" s="799" customFormat="1" ht="17.25" spans="1:18">
      <c r="A67" s="2149" t="s">
        <v>1338</v>
      </c>
      <c r="B67" s="2257" t="s">
        <v>1339</v>
      </c>
      <c r="C67" s="1047">
        <f ca="1">C48-C58</f>
        <v>0</v>
      </c>
      <c r="D67" s="2161" t="s">
        <v>1340</v>
      </c>
      <c r="E67" s="2258"/>
      <c r="F67" s="2259"/>
      <c r="O67" s="2221" t="s">
        <v>1386</v>
      </c>
      <c r="P67" s="2214" t="s">
        <v>1417</v>
      </c>
      <c r="Q67" s="2279">
        <f ca="1">L51</f>
        <v>0</v>
      </c>
      <c r="R67" s="2255" t="s">
        <v>1434</v>
      </c>
    </row>
    <row r="68" s="799" customFormat="1" ht="17.25" spans="1:18">
      <c r="A68" s="2260" t="s">
        <v>1344</v>
      </c>
      <c r="B68" s="2261" t="s">
        <v>1361</v>
      </c>
      <c r="C68" s="2100" t="e">
        <f ca="1">ROUND(C67*(1-((1+F70)/(1+F68))^F69)/(F68-F70),0)</f>
        <v>#DIV/0!</v>
      </c>
      <c r="D68" s="2164" t="s">
        <v>1346</v>
      </c>
      <c r="E68" s="2154" t="s">
        <v>1347</v>
      </c>
      <c r="F68" s="2036">
        <f ca="1">F40</f>
        <v>0</v>
      </c>
      <c r="O68" s="2221" t="s">
        <v>1390</v>
      </c>
      <c r="P68" s="2278" t="s">
        <v>1435</v>
      </c>
      <c r="Q68" s="2255">
        <f ca="1">ROUND(Q69-Q70*Q71,0)</f>
        <v>0</v>
      </c>
      <c r="R68" s="2255" t="s">
        <v>1436</v>
      </c>
    </row>
    <row r="69" s="799" customFormat="1" ht="13.5" spans="1:18">
      <c r="A69" s="2262"/>
      <c r="B69" s="2263"/>
      <c r="C69" s="2034"/>
      <c r="D69" s="2264" t="s">
        <v>1350</v>
      </c>
      <c r="E69" s="2154" t="s">
        <v>1351</v>
      </c>
      <c r="F69" s="2189">
        <f ca="1">F41</f>
        <v>0</v>
      </c>
      <c r="O69" s="2221" t="s">
        <v>1437</v>
      </c>
      <c r="P69" s="2278" t="s">
        <v>1438</v>
      </c>
      <c r="Q69" s="2255">
        <f ca="1">C39</f>
        <v>0</v>
      </c>
      <c r="R69" s="2255" t="s">
        <v>1375</v>
      </c>
    </row>
    <row r="70" s="799" customFormat="1" ht="13.5" spans="1:18">
      <c r="A70" s="2265"/>
      <c r="B70" s="2266"/>
      <c r="C70" s="2054"/>
      <c r="D70" s="2166"/>
      <c r="E70" s="2154" t="s">
        <v>1354</v>
      </c>
      <c r="F70" s="2144"/>
      <c r="O70" s="2221" t="s">
        <v>1439</v>
      </c>
      <c r="P70" s="2278" t="s">
        <v>1440</v>
      </c>
      <c r="Q70" s="2255">
        <f ca="1">C13</f>
        <v>0</v>
      </c>
      <c r="R70" s="2255" t="s">
        <v>1375</v>
      </c>
    </row>
    <row r="71" s="799" customFormat="1" ht="13.5" spans="1:18">
      <c r="A71" s="2267" t="s">
        <v>1356</v>
      </c>
      <c r="B71" s="2268" t="s">
        <v>1362</v>
      </c>
      <c r="C71" s="2108" t="e">
        <f ca="1">ROUND(C68*10000/F71,0)</f>
        <v>#DIV/0!</v>
      </c>
      <c r="D71" s="2269" t="s">
        <v>1363</v>
      </c>
      <c r="E71" s="2270" t="s">
        <v>1364</v>
      </c>
      <c r="F71" s="2111">
        <f ca="1">F43</f>
        <v>0</v>
      </c>
      <c r="O71" s="2221" t="s">
        <v>1441</v>
      </c>
      <c r="P71" s="2278" t="s">
        <v>1442</v>
      </c>
      <c r="Q71" s="2256">
        <f ca="1">C76</f>
        <v>0</v>
      </c>
      <c r="R71" s="2255"/>
    </row>
    <row r="72" s="799" customFormat="1" ht="13.5" spans="2:18">
      <c r="B72" s="1082"/>
      <c r="C72" s="1082"/>
      <c r="O72" s="2221" t="s">
        <v>1394</v>
      </c>
      <c r="P72" s="2214" t="s">
        <v>1419</v>
      </c>
      <c r="Q72" s="2256">
        <f>L52</f>
        <v>0</v>
      </c>
      <c r="R72" s="2255"/>
    </row>
    <row r="73" ht="17.25" spans="1:18">
      <c r="A73" s="799"/>
      <c r="B73" s="1082"/>
      <c r="C73" s="1082"/>
      <c r="D73" s="799"/>
      <c r="E73" s="799"/>
      <c r="F73" s="799"/>
      <c r="O73" s="2221" t="s">
        <v>1398</v>
      </c>
      <c r="P73" s="2214" t="s">
        <v>1422</v>
      </c>
      <c r="Q73" s="2255" t="e">
        <f ca="1">L58</f>
        <v>#DIV/0!</v>
      </c>
      <c r="R73" s="2255" t="s">
        <v>1423</v>
      </c>
    </row>
    <row r="74" ht="13.5" spans="1:18">
      <c r="A74" s="799"/>
      <c r="B74" s="475" t="s">
        <v>1443</v>
      </c>
      <c r="C74" s="2271"/>
      <c r="D74" s="799"/>
      <c r="E74" s="799"/>
      <c r="F74" s="799"/>
      <c r="O74" s="2221" t="s">
        <v>1444</v>
      </c>
      <c r="P74" s="2214" t="str">
        <f>K59</f>
        <v>建筑物剩余耐用年限下的土地年期修正系数Kn</v>
      </c>
      <c r="Q74" s="2255" t="e">
        <f ca="1">L59</f>
        <v>#DIV/0!</v>
      </c>
      <c r="R74" s="2255" t="s">
        <v>1424</v>
      </c>
    </row>
    <row r="75" ht="13.5" spans="1:18">
      <c r="A75" s="799"/>
      <c r="B75" s="2272" t="s">
        <v>1445</v>
      </c>
      <c r="C75" s="2273">
        <f ca="1">ROUND(C13*C76,0)</f>
        <v>0</v>
      </c>
      <c r="D75" s="799"/>
      <c r="E75" s="799"/>
      <c r="F75" s="799"/>
      <c r="K75" s="2200"/>
      <c r="L75" s="799"/>
      <c r="O75" s="2213" t="s">
        <v>1106</v>
      </c>
      <c r="P75" s="2214" t="s">
        <v>1404</v>
      </c>
      <c r="Q75" s="2255" t="e">
        <f ca="1">Q65+Q66</f>
        <v>#DIV/0!</v>
      </c>
      <c r="R75" s="2255" t="s">
        <v>1405</v>
      </c>
    </row>
    <row r="76" spans="2:12">
      <c r="B76" s="575" t="s">
        <v>1446</v>
      </c>
      <c r="C76" s="2274">
        <f ca="1">INDIRECT("'数据-取费表'!j"&amp;$G$1)</f>
        <v>0</v>
      </c>
      <c r="I76" s="799"/>
      <c r="J76" s="799"/>
      <c r="K76" s="2200"/>
      <c r="L76" s="799"/>
    </row>
    <row r="77" spans="2:12">
      <c r="B77" s="2275" t="s">
        <v>1447</v>
      </c>
      <c r="C77" s="2276"/>
      <c r="I77" s="799"/>
      <c r="J77" s="799"/>
      <c r="K77" s="2200"/>
      <c r="L77" s="799"/>
    </row>
    <row r="78" spans="2:3">
      <c r="B78" s="473" t="s">
        <v>1448</v>
      </c>
      <c r="C78" s="2277"/>
    </row>
    <row r="79" spans="2:3">
      <c r="B79" s="2272" t="s">
        <v>1449</v>
      </c>
      <c r="C79" s="476" t="e">
        <f ca="1">1-C80</f>
        <v>#DIV/0!</v>
      </c>
    </row>
    <row r="80" spans="2:3">
      <c r="B80" s="2272" t="s">
        <v>1450</v>
      </c>
      <c r="C80" s="476" t="e">
        <f ca="1">ROUND(C75/C39,3)</f>
        <v>#DIV/0!</v>
      </c>
    </row>
    <row r="81" spans="2:3">
      <c r="B81" s="473" t="s">
        <v>1451</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9" workbookViewId="0">
      <selection activeCell="D22" sqref="D2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t="s">
        <v>412</v>
      </c>
      <c r="D1" s="1997" t="s">
        <v>124</v>
      </c>
      <c r="E1" s="1998" t="s">
        <v>1266</v>
      </c>
      <c r="F1" s="1999">
        <f ca="1">J53</f>
        <v>70</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002">
        <f ca="1">ROUND(D2/10000,4)</f>
        <v>396.735</v>
      </c>
      <c r="C2" s="2003" t="s">
        <v>1268</v>
      </c>
      <c r="D2" s="2004">
        <f ca="1">C40+J29+L46</f>
        <v>3967350</v>
      </c>
      <c r="E2" s="2005" t="s">
        <v>1452</v>
      </c>
      <c r="F2" s="2006"/>
      <c r="G2" s="2007"/>
      <c r="H2" s="2008"/>
      <c r="I2" s="2008"/>
      <c r="J2" s="2008"/>
      <c r="K2" s="2170"/>
      <c r="L2" s="2008"/>
      <c r="M2" s="2008"/>
    </row>
    <row r="3" ht="18" customHeight="1" spans="1:13">
      <c r="A3" s="2009" t="s">
        <v>1269</v>
      </c>
      <c r="B3" s="2010">
        <f ca="1">IF(ISERROR(D2/F43),0,ROUND(D2/F43,0))</f>
        <v>56920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101038</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ROUND(F6*F8*F7*(1-F9),0)</f>
        <v>100912</v>
      </c>
      <c r="D6" s="2025" t="s">
        <v>1453</v>
      </c>
      <c r="E6" s="2026" t="s">
        <v>1281</v>
      </c>
      <c r="F6" s="2027">
        <f ca="1">INDIRECT("'数据-取费表'!u"&amp;$G$1)</f>
        <v>127</v>
      </c>
      <c r="G6" s="799"/>
      <c r="H6" s="2022" t="s">
        <v>898</v>
      </c>
      <c r="I6" s="2023" t="s">
        <v>1279</v>
      </c>
      <c r="J6" s="2100">
        <f ca="1">ROUND(M6*M8*M7*(1-M9),0)</f>
        <v>0</v>
      </c>
      <c r="K6" s="2173" t="s">
        <v>1454</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69.7</v>
      </c>
      <c r="G7" s="799"/>
      <c r="H7" s="2033"/>
      <c r="I7" s="2029"/>
      <c r="J7" s="2034"/>
      <c r="K7" s="2031"/>
      <c r="L7" s="2026" t="s">
        <v>1283</v>
      </c>
      <c r="M7" s="2027">
        <f ca="1">F7</f>
        <v>69.7</v>
      </c>
    </row>
    <row r="8" ht="18" customHeight="1" spans="1:13">
      <c r="A8" s="2033"/>
      <c r="B8" s="2029"/>
      <c r="C8" s="2034"/>
      <c r="D8" s="2031"/>
      <c r="E8" s="2026" t="s">
        <v>1284</v>
      </c>
      <c r="F8" s="2027">
        <f ca="1">INDIRECT("'数据-取费表'!ai"&amp;$G$1)</f>
        <v>12</v>
      </c>
      <c r="G8" s="799"/>
      <c r="H8" s="2033"/>
      <c r="I8" s="2029"/>
      <c r="J8" s="2034"/>
      <c r="K8" s="2031"/>
      <c r="L8" s="2026" t="s">
        <v>1284</v>
      </c>
      <c r="M8" s="2027">
        <f ca="1">INDIRECT("'数据-取费表'!ai"&amp;$G$1)</f>
        <v>12</v>
      </c>
    </row>
    <row r="9" ht="18" customHeight="1" spans="1:13">
      <c r="A9" s="2033"/>
      <c r="B9" s="2035"/>
      <c r="C9" s="2034"/>
      <c r="D9" s="2031"/>
      <c r="E9" s="2026" t="s">
        <v>1285</v>
      </c>
      <c r="F9" s="2036">
        <f ca="1">INDIRECT("'数据-取费表'!w"&amp;$G$1)</f>
        <v>0.05</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126</v>
      </c>
      <c r="D10" s="2038" t="s">
        <v>1287</v>
      </c>
      <c r="E10" s="2039" t="s">
        <v>1288</v>
      </c>
      <c r="F10" s="2040" t="s">
        <v>1455</v>
      </c>
      <c r="G10" s="799"/>
      <c r="H10" s="2022" t="s">
        <v>902</v>
      </c>
      <c r="I10" s="2037" t="s">
        <v>1286</v>
      </c>
      <c r="J10" s="2100">
        <f ca="1">ROUND(IF(M10="押一",J6/12*M11,IF(M10="押二",J6/12*2*M11,IF(M10="押三",J6/12*3*M11,J11*M11))),0)</f>
        <v>0</v>
      </c>
      <c r="K10" s="2174" t="s">
        <v>1456</v>
      </c>
      <c r="L10" s="2039" t="s">
        <v>1288</v>
      </c>
      <c r="M10" s="2040"/>
    </row>
    <row r="11" ht="18" customHeight="1" spans="1:13">
      <c r="A11" s="2041"/>
      <c r="B11" s="2042" t="s">
        <v>1457</v>
      </c>
      <c r="C11" s="2043"/>
      <c r="D11" s="2031"/>
      <c r="E11" s="2039" t="s">
        <v>1290</v>
      </c>
      <c r="F11" s="2044">
        <f ca="1">'数据-取费表'!B39</f>
        <v>0.015</v>
      </c>
      <c r="G11" s="799"/>
      <c r="H11" s="2045"/>
      <c r="I11" s="2042" t="s">
        <v>1458</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248692</v>
      </c>
      <c r="D13" s="2055" t="s">
        <v>1293</v>
      </c>
      <c r="E13" s="2055" t="s">
        <v>1294</v>
      </c>
      <c r="F13" s="2056">
        <f ca="1">INDIRECT("'数据-取费表'!y"&amp;$G$1)</f>
        <v>0.6</v>
      </c>
      <c r="G13" s="799"/>
      <c r="H13" s="2052">
        <v>2</v>
      </c>
      <c r="I13" s="2053" t="s">
        <v>1292</v>
      </c>
      <c r="J13" s="2179">
        <f ca="1">ROUND(J14*J15,0)</f>
        <v>0</v>
      </c>
      <c r="K13" s="2078" t="s">
        <v>1293</v>
      </c>
      <c r="L13" s="2180"/>
      <c r="M13" s="2181"/>
    </row>
    <row r="14" ht="18" customHeight="1" spans="1:13">
      <c r="A14" s="2057" t="s">
        <v>921</v>
      </c>
      <c r="B14" s="2026" t="s">
        <v>1295</v>
      </c>
      <c r="C14" s="2058">
        <f ca="1">ROUND(INDIRECT("'数据-取费表'!l"&amp;$G$1)*F43+'数据-取费表'!L14*INDIRECT("'数据-取费表'!S"&amp;$G$1),0)</f>
        <v>243950</v>
      </c>
      <c r="D14" s="2059" t="s">
        <v>1296</v>
      </c>
      <c r="E14" s="2060"/>
      <c r="F14" s="2061"/>
      <c r="G14" s="799"/>
      <c r="H14" s="2057" t="s">
        <v>898</v>
      </c>
      <c r="I14" s="2026" t="s">
        <v>1297</v>
      </c>
      <c r="J14" s="1048">
        <f ca="1">C29</f>
        <v>414486</v>
      </c>
      <c r="K14" s="2182"/>
      <c r="L14" s="2183"/>
      <c r="M14" s="2184"/>
    </row>
    <row r="15" s="1993" customFormat="1" ht="18" customHeight="1" spans="1:37">
      <c r="A15" s="2057" t="s">
        <v>925</v>
      </c>
      <c r="B15" s="2026" t="s">
        <v>1104</v>
      </c>
      <c r="C15" s="1048">
        <f ca="1">ROUND(C14*F15,0)</f>
        <v>7319</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ROUND(INDIRECT("'数据-取费表'!l"&amp;$G$1)*F43*F16,0)</f>
        <v>24395</v>
      </c>
      <c r="D16" s="2026" t="s">
        <v>1298</v>
      </c>
      <c r="E16" s="2026" t="s">
        <v>1299</v>
      </c>
      <c r="F16" s="2066">
        <f ca="1">IF(INDIRECT("'数据-取费表'!c"&amp;$G$1)="住宅",'数据-取费表'!B34,0)</f>
        <v>0.1</v>
      </c>
      <c r="G16" s="799"/>
      <c r="H16" s="2052" t="s">
        <v>1300</v>
      </c>
      <c r="I16" s="2053" t="s">
        <v>1301</v>
      </c>
      <c r="J16" s="2054">
        <f ca="1">ROUND(J17+J22+J23+J24,0)</f>
        <v>4145</v>
      </c>
      <c r="K16" s="2078" t="s">
        <v>1302</v>
      </c>
      <c r="L16" s="2079"/>
      <c r="M16" s="2021"/>
    </row>
    <row r="17" s="1993" customFormat="1" ht="18" customHeight="1" spans="1:37">
      <c r="A17" s="2057" t="s">
        <v>1303</v>
      </c>
      <c r="B17" s="2026" t="s">
        <v>1304</v>
      </c>
      <c r="C17" s="1048">
        <f ca="1">ROUND(F17*(F43+INDIRECT("'数据-取费表'!S"&amp;$G$1)),0)</f>
        <v>20910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ROUND(IF(AND(项目基本情况!B11="自然人",项目基本情况!B10="北京市"),J6*M17/(1+'数据-取费表'!C42),J18+J19+J20),0)</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3659</v>
      </c>
      <c r="D18" s="2026" t="s">
        <v>1298</v>
      </c>
      <c r="E18" s="2026" t="s">
        <v>1299</v>
      </c>
      <c r="F18" s="2066">
        <f>'数据-取费表'!B36</f>
        <v>0.015</v>
      </c>
      <c r="G18" s="2064"/>
      <c r="H18" s="2057" t="s">
        <v>921</v>
      </c>
      <c r="I18" s="2026" t="s">
        <v>1311</v>
      </c>
      <c r="J18" s="1048">
        <f ca="1">ROUND(J6*M18/(1+'数据-取费表'!C42),0)</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300233</v>
      </c>
      <c r="D19" s="2068" t="s">
        <v>1314</v>
      </c>
      <c r="E19" s="1050"/>
      <c r="F19" s="2067"/>
      <c r="G19" s="799"/>
      <c r="H19" s="2057" t="s">
        <v>925</v>
      </c>
      <c r="I19" s="2026" t="s">
        <v>1315</v>
      </c>
      <c r="J19" s="1048">
        <f ca="1">IF(K19="按租金收入计税",ROUND(J6*M19/(1+'数据-取费表'!C42),0),ROUND(C29*M19*0.7,0))</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6005</v>
      </c>
      <c r="D20" s="2069" t="s">
        <v>1318</v>
      </c>
      <c r="E20" s="2026" t="s">
        <v>1299</v>
      </c>
      <c r="F20" s="2066">
        <f>'数据-取费表'!B37</f>
        <v>0.02</v>
      </c>
      <c r="G20" s="2064"/>
      <c r="H20" s="2057" t="s">
        <v>928</v>
      </c>
      <c r="I20" s="2025" t="s">
        <v>1319</v>
      </c>
      <c r="J20" s="2087">
        <f ca="1">ROUND(M20*M21,0)</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ROUND(J14*M22,0)</f>
        <v>4145</v>
      </c>
      <c r="K22" s="2082" t="s">
        <v>1328</v>
      </c>
      <c r="L22" s="2026" t="s">
        <v>1299</v>
      </c>
      <c r="M22" s="2094">
        <f ca="1">INDIRECT("'数据-取费表'!Ak"&amp;$G$1)</f>
        <v>0.01</v>
      </c>
    </row>
    <row r="23" s="1993" customFormat="1" ht="18" customHeight="1" spans="1:37">
      <c r="A23" s="2057" t="s">
        <v>921</v>
      </c>
      <c r="B23" s="2026" t="s">
        <v>1329</v>
      </c>
      <c r="C23" s="1048">
        <f ca="1">IF('数据-取费表'!B22&lt;=1,ROUND(C19*F24*F23/2,0)+ROUND(C20*F24*F23/2,0),ROUND(C19*(POWER((1+F24),F23/2)-1),0)+ROUND(C20*(POWER((1+F24),F23/2)-1),0))</f>
        <v>14546</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ROUND(J13*M23,0)</f>
        <v>0</v>
      </c>
      <c r="K23" s="2082" t="s">
        <v>1332</v>
      </c>
      <c r="L23" s="2026" t="s">
        <v>1299</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ROUND(J5*M24,0)</f>
        <v>0</v>
      </c>
      <c r="K24" s="2075" t="s">
        <v>1335</v>
      </c>
      <c r="L24" s="2050" t="s">
        <v>1299</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954</v>
      </c>
      <c r="B25" s="2026" t="s">
        <v>1336</v>
      </c>
      <c r="C25" s="1048"/>
      <c r="D25" s="2068" t="s">
        <v>1337</v>
      </c>
      <c r="E25" s="1050"/>
      <c r="F25" s="2067"/>
      <c r="G25" s="799"/>
      <c r="H25" s="2052" t="s">
        <v>1338</v>
      </c>
      <c r="I25" s="2096" t="s">
        <v>1339</v>
      </c>
      <c r="J25" s="2054">
        <f ca="1">J5-J16</f>
        <v>-4145</v>
      </c>
      <c r="K25" s="2097" t="s">
        <v>1340</v>
      </c>
      <c r="L25" s="2098"/>
      <c r="M25" s="2099"/>
    </row>
    <row r="26" ht="18" customHeight="1" spans="1:13">
      <c r="A26" s="2057" t="s">
        <v>921</v>
      </c>
      <c r="B26" s="2026" t="s">
        <v>1341</v>
      </c>
      <c r="C26" s="1048">
        <f ca="1">ROUND((C19+C20)*F26,0)</f>
        <v>61248</v>
      </c>
      <c r="D26" s="2069" t="s">
        <v>1342</v>
      </c>
      <c r="E26" s="2039" t="s">
        <v>1343</v>
      </c>
      <c r="F26" s="2036">
        <f ca="1">INDIRECT("'数据-取费表'!q"&amp;$G$1)</f>
        <v>0.2</v>
      </c>
      <c r="G26" s="799"/>
      <c r="H26" s="2016" t="s">
        <v>1344</v>
      </c>
      <c r="I26" s="2017" t="s">
        <v>1345</v>
      </c>
      <c r="J26" s="2100">
        <f ca="1">IF(J5&lt;&gt;0,ROUND(J25*(1-((1+M28)/(1+M26))^M27)/(M26-M28),0),0)</f>
        <v>0</v>
      </c>
      <c r="K26" s="2088" t="s">
        <v>1346</v>
      </c>
      <c r="L26" s="2026" t="s">
        <v>1347</v>
      </c>
      <c r="M26" s="2036">
        <f ca="1">INDIRECT("'数据-取费表'!I"&amp;$G$1)</f>
        <v>0.04</v>
      </c>
    </row>
    <row r="27" ht="18" customHeight="1" spans="1:13">
      <c r="A27" s="2057" t="s">
        <v>925</v>
      </c>
      <c r="B27" s="2026" t="s">
        <v>1348</v>
      </c>
      <c r="C27" s="1048">
        <f ca="1">ROUND(F21*F26,4)</f>
        <v>0.004</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414486</v>
      </c>
      <c r="D29" s="2075"/>
      <c r="E29" s="2050"/>
      <c r="F29" s="2076"/>
      <c r="G29" s="2064"/>
      <c r="H29" s="2077" t="s">
        <v>1356</v>
      </c>
      <c r="I29" s="2107" t="s">
        <v>1357</v>
      </c>
      <c r="J29" s="2108">
        <f ca="1">ROUND(J26/(1+F40)^F41,0)</f>
        <v>0</v>
      </c>
      <c r="K29" s="2109" t="s">
        <v>1358</v>
      </c>
      <c r="L29" s="2110"/>
      <c r="M29" s="2111">
        <f ca="1">INDIRECT("'数据-取费表'!k"&amp;$G$1)</f>
        <v>69.7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7807</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ROUND(IF(AND(项目基本情况!B11="自然人",项目基本情况!B10="北京市"),C6*F31/(1+'数据-取费表'!C42),C32+C33+C34),0)</f>
        <v>2403</v>
      </c>
      <c r="D31" s="2059" t="s">
        <v>1308</v>
      </c>
      <c r="E31" s="2082" t="s">
        <v>1309</v>
      </c>
      <c r="F31" s="2083">
        <f ca="1">IF(项目基本情况!B11="企业","——",IF(M47="住宅",IF(F6*F7*F8/12/(1+'数据-取费表'!F30)&gt;100000,4%,2.5%),IF(F6*F7*F8/12/(1+'数据-取费表'!F30)&gt;100000,12%,7%)))</f>
        <v>0.025</v>
      </c>
      <c r="G31" s="799"/>
      <c r="H31" s="2084" t="s">
        <v>1359</v>
      </c>
      <c r="I31" s="2190"/>
      <c r="J31" s="2191"/>
      <c r="K31" s="2192"/>
      <c r="L31" s="2193"/>
      <c r="M31" s="2194"/>
    </row>
    <row r="32" ht="18" customHeight="1" spans="1:13">
      <c r="A32" s="2057" t="s">
        <v>921</v>
      </c>
      <c r="B32" s="2026" t="s">
        <v>1311</v>
      </c>
      <c r="C32" s="1048" t="str">
        <f ca="1">IF(项目基本情况!B11="自然人","——",ROUND(C6*F32/(1+'数据-取费表'!C42),0))</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IF(项目基本情况!B11="自然人","——",IF(D33="按租金收入计税",ROUND(C6*F33/(1+'数据-取费表'!C42),0),IF(D33="按房产原值计税",ROUND(C29*F33*0.7,0),INDIRECT("'数据-取费表'!Aj"&amp;$G$1))))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IF(项目基本情况!B11="自然人","——",ROUND(F34*F35,0))</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ROUND(C29*F36,0)</f>
        <v>4145</v>
      </c>
      <c r="D36" s="2082" t="s">
        <v>1360</v>
      </c>
      <c r="E36" s="2026" t="s">
        <v>1299</v>
      </c>
      <c r="F36" s="2094">
        <f ca="1">INDIRECT("'数据-取费表'!Ak"&amp;$G$1)</f>
        <v>0.01</v>
      </c>
      <c r="G36" s="799"/>
      <c r="H36" s="2086"/>
      <c r="I36" s="2190"/>
      <c r="J36" s="2191"/>
      <c r="K36" s="2198"/>
      <c r="L36" s="2086"/>
      <c r="M36" s="2086"/>
    </row>
    <row r="37" ht="18" customHeight="1" spans="1:13">
      <c r="A37" s="2057" t="s">
        <v>947</v>
      </c>
      <c r="B37" s="2026" t="s">
        <v>1331</v>
      </c>
      <c r="C37" s="1048">
        <f ca="1">ROUND(C13*F37,0)</f>
        <v>249</v>
      </c>
      <c r="D37" s="2082" t="s">
        <v>1332</v>
      </c>
      <c r="E37" s="2026" t="s">
        <v>1299</v>
      </c>
      <c r="F37" s="2095">
        <f ca="1">INDIRECT("'数据-取费表'!Al"&amp;$G$1)</f>
        <v>0.001</v>
      </c>
      <c r="G37" s="799"/>
      <c r="H37" s="2086"/>
      <c r="I37" s="2190"/>
      <c r="J37" s="2191"/>
      <c r="K37" s="2198"/>
      <c r="L37" s="2086"/>
      <c r="M37" s="2086"/>
    </row>
    <row r="38" ht="18" customHeight="1" spans="1:13">
      <c r="A38" s="2065" t="s">
        <v>950</v>
      </c>
      <c r="B38" s="2050" t="s">
        <v>1317</v>
      </c>
      <c r="C38" s="2074">
        <f ca="1">ROUND(C5*F38,0)</f>
        <v>1010</v>
      </c>
      <c r="D38" s="2075" t="s">
        <v>1335</v>
      </c>
      <c r="E38" s="2050" t="s">
        <v>1299</v>
      </c>
      <c r="F38" s="2051">
        <f ca="1">INDIRECT("'数据-取费表'!Am"&amp;$G$1)</f>
        <v>0.01</v>
      </c>
      <c r="G38" s="799"/>
      <c r="H38" s="2086"/>
      <c r="I38" s="2190"/>
      <c r="J38" s="2191"/>
      <c r="K38" s="2199"/>
      <c r="L38" s="2086"/>
      <c r="M38" s="2086"/>
    </row>
    <row r="39" ht="24.6" customHeight="1" spans="1:13">
      <c r="A39" s="2052" t="s">
        <v>1338</v>
      </c>
      <c r="B39" s="2096" t="s">
        <v>1339</v>
      </c>
      <c r="C39" s="2054">
        <f ca="1">C5-C30</f>
        <v>93231</v>
      </c>
      <c r="D39" s="2097" t="s">
        <v>1340</v>
      </c>
      <c r="E39" s="2098"/>
      <c r="F39" s="2099"/>
      <c r="G39" s="799"/>
      <c r="H39" s="2086"/>
      <c r="I39" s="2190"/>
      <c r="J39" s="2191"/>
      <c r="K39" s="2199"/>
      <c r="L39" s="2086"/>
      <c r="M39" s="2086"/>
    </row>
    <row r="40" ht="18" customHeight="1" spans="1:13">
      <c r="A40" s="2016" t="s">
        <v>1344</v>
      </c>
      <c r="B40" s="2017" t="s">
        <v>1361</v>
      </c>
      <c r="C40" s="2100">
        <f ca="1">ROUND(C39*(1-((1+F42)/(1+F40))^F41)/(F40-F42),0)</f>
        <v>3967350</v>
      </c>
      <c r="D40" s="2088" t="s">
        <v>1346</v>
      </c>
      <c r="E40" s="2026" t="s">
        <v>1347</v>
      </c>
      <c r="F40" s="2036">
        <f ca="1">INDIRECT("'数据-取费表'!I"&amp;$G$1)</f>
        <v>0.04</v>
      </c>
      <c r="G40" s="799"/>
      <c r="H40" s="2101"/>
      <c r="I40" s="2190"/>
      <c r="J40" s="2191"/>
      <c r="K40" s="2199"/>
      <c r="L40" s="2101"/>
      <c r="M40" s="2101"/>
    </row>
    <row r="41" ht="18" customHeight="1" spans="1:13">
      <c r="A41" s="2033"/>
      <c r="B41" s="2102"/>
      <c r="C41" s="2034"/>
      <c r="D41" s="2103" t="s">
        <v>1350</v>
      </c>
      <c r="E41" s="2026" t="s">
        <v>1351</v>
      </c>
      <c r="F41" s="2104">
        <f ca="1">L47</f>
        <v>70</v>
      </c>
      <c r="G41" s="799"/>
      <c r="H41" s="2105"/>
      <c r="I41" s="2190"/>
      <c r="J41" s="2191"/>
      <c r="K41" s="2198"/>
      <c r="L41" s="2105"/>
      <c r="M41" s="2105"/>
    </row>
    <row r="42" ht="18" customHeight="1" spans="1:13">
      <c r="A42" s="2041"/>
      <c r="B42" s="2106"/>
      <c r="C42" s="2054"/>
      <c r="D42" s="2092"/>
      <c r="E42" s="2026" t="s">
        <v>1354</v>
      </c>
      <c r="F42" s="2036">
        <f ca="1">INDIRECT("'数据-取费表'!v"&amp;$G$1)</f>
        <v>0.025</v>
      </c>
      <c r="G42" s="799"/>
      <c r="H42" s="2105"/>
      <c r="I42" s="2190"/>
      <c r="J42" s="2191"/>
      <c r="K42" s="2198"/>
      <c r="L42" s="2105"/>
      <c r="M42" s="2105"/>
    </row>
    <row r="43" ht="18" customHeight="1" spans="1:13">
      <c r="A43" s="2077" t="s">
        <v>1356</v>
      </c>
      <c r="B43" s="2107" t="s">
        <v>1362</v>
      </c>
      <c r="C43" s="2108">
        <f ca="1">ROUND(C40/F43,0)</f>
        <v>56920</v>
      </c>
      <c r="D43" s="2109" t="s">
        <v>1363</v>
      </c>
      <c r="E43" s="2110" t="s">
        <v>1364</v>
      </c>
      <c r="F43" s="2111">
        <f ca="1">INDIRECT("'数据-取费表'!k"&amp;$G$1)</f>
        <v>69.7</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1459</v>
      </c>
      <c r="B45" s="2112"/>
      <c r="C45" s="2115">
        <f ca="1">ROUND((C68-C40)/10000,4)</f>
        <v>-407.0145</v>
      </c>
      <c r="D45" s="2116" t="s">
        <v>1460</v>
      </c>
      <c r="E45" s="2112"/>
      <c r="F45" s="2112"/>
      <c r="O45" s="2201" t="s">
        <v>1365</v>
      </c>
      <c r="P45" s="2101"/>
      <c r="Q45" s="2101"/>
      <c r="R45" s="2101"/>
    </row>
    <row r="46" s="799" customFormat="1" ht="13.5" spans="1:18">
      <c r="A46" s="2117" t="s">
        <v>1366</v>
      </c>
      <c r="C46" s="2118">
        <f ca="1">ROUND(C45,0)</f>
        <v>-407</v>
      </c>
      <c r="D46" s="2119" t="str">
        <f>C2</f>
        <v>万元</v>
      </c>
      <c r="I46" s="2202" t="s">
        <v>1367</v>
      </c>
      <c r="J46" s="2203"/>
      <c r="K46" s="2204"/>
      <c r="L46" s="2205">
        <f ca="1">IF(M47="住宅",0,IF(L48&gt;J51,L60,J60))</f>
        <v>0</v>
      </c>
      <c r="O46" s="2206" t="s">
        <v>1368</v>
      </c>
      <c r="P46" s="2207" t="s">
        <v>1369</v>
      </c>
      <c r="Q46" s="2254" t="s">
        <v>1370</v>
      </c>
      <c r="R46" s="2254" t="s">
        <v>1371</v>
      </c>
    </row>
    <row r="47" s="799" customFormat="1" ht="13.5" spans="1:18">
      <c r="A47" s="2120" t="s">
        <v>1272</v>
      </c>
      <c r="B47" s="2121" t="s">
        <v>1273</v>
      </c>
      <c r="C47" s="2121" t="s">
        <v>1274</v>
      </c>
      <c r="D47" s="2121" t="s">
        <v>1275</v>
      </c>
      <c r="E47" s="2122" t="s">
        <v>1276</v>
      </c>
      <c r="F47" s="1041"/>
      <c r="G47" s="2123"/>
      <c r="I47" s="2208" t="s">
        <v>1372</v>
      </c>
      <c r="J47" s="2209" t="s">
        <v>1242</v>
      </c>
      <c r="K47" s="2210" t="s">
        <v>1373</v>
      </c>
      <c r="L47" s="2211">
        <f ca="1">INDIRECT("'数据-取费表'!d"&amp;$G$1)</f>
        <v>70</v>
      </c>
      <c r="M47" s="2212" t="str">
        <f>IF(ISNUMBER(FIND("住宅",C1)),"住宅","非住宅")</f>
        <v>住宅</v>
      </c>
      <c r="O47" s="2213" t="s">
        <v>1003</v>
      </c>
      <c r="P47" s="2214" t="s">
        <v>1374</v>
      </c>
      <c r="Q47" s="2255">
        <f ca="1">C40+J29</f>
        <v>3967350</v>
      </c>
      <c r="R47" s="2255" t="s">
        <v>1375</v>
      </c>
    </row>
    <row r="48" s="799" customFormat="1" ht="26.25" spans="1:18">
      <c r="A48" s="2124" t="s">
        <v>1376</v>
      </c>
      <c r="B48" s="2017" t="s">
        <v>1277</v>
      </c>
      <c r="C48" s="1049">
        <f ca="1">C49+C53+C55</f>
        <v>0</v>
      </c>
      <c r="D48" s="2125"/>
      <c r="E48" s="2126"/>
      <c r="F48" s="2127"/>
      <c r="G48" s="2123"/>
      <c r="H48" s="2128"/>
      <c r="I48" s="2215" t="s">
        <v>1377</v>
      </c>
      <c r="J48" s="2216" t="s">
        <v>1461</v>
      </c>
      <c r="K48" s="2217" t="s">
        <v>1378</v>
      </c>
      <c r="L48" s="2218">
        <f ca="1">INDIRECT("'数据-取费表'!f"&amp;$G$1)</f>
        <v>70</v>
      </c>
      <c r="O48" s="2213" t="s">
        <v>1006</v>
      </c>
      <c r="P48" s="2214" t="s">
        <v>1379</v>
      </c>
      <c r="Q48" s="2255" t="str">
        <f ca="1">J60</f>
        <v>0</v>
      </c>
      <c r="R48" s="2255" t="s">
        <v>1380</v>
      </c>
    </row>
    <row r="49" s="799" customFormat="1" ht="13.5" spans="1:18">
      <c r="A49" s="2129" t="s">
        <v>1381</v>
      </c>
      <c r="B49" s="2130" t="s">
        <v>1382</v>
      </c>
      <c r="C49" s="2131">
        <f ca="1">ROUND(F49*F51*F50*(1-F52),0)</f>
        <v>0</v>
      </c>
      <c r="D49" s="2132" t="s">
        <v>1462</v>
      </c>
      <c r="E49" s="2133" t="s">
        <v>1383</v>
      </c>
      <c r="F49" s="2134"/>
      <c r="G49" s="2135"/>
      <c r="H49" s="2128"/>
      <c r="I49" s="2215" t="s">
        <v>1384</v>
      </c>
      <c r="J49" s="2219">
        <v>1999</v>
      </c>
      <c r="K49" s="2217" t="s">
        <v>1385</v>
      </c>
      <c r="L49" s="2220"/>
      <c r="O49" s="2221" t="s">
        <v>1386</v>
      </c>
      <c r="P49" s="2214" t="s">
        <v>1387</v>
      </c>
      <c r="Q49" s="2255">
        <f ca="1">C29</f>
        <v>414486</v>
      </c>
      <c r="R49" s="2255" t="s">
        <v>1375</v>
      </c>
    </row>
    <row r="50" s="799" customFormat="1" ht="13.5" spans="1:18">
      <c r="A50" s="2136"/>
      <c r="B50" s="2137"/>
      <c r="C50" s="2138"/>
      <c r="D50" s="2139"/>
      <c r="E50" s="2140" t="s">
        <v>1283</v>
      </c>
      <c r="F50" s="2141">
        <f ca="1">F7</f>
        <v>69.7</v>
      </c>
      <c r="H50" s="2128"/>
      <c r="I50" s="2215" t="s">
        <v>1388</v>
      </c>
      <c r="J50" s="2222">
        <f>SUMPRODUCT((I63:I65=J47)*(J62:L62=J48)*(J63:L65))</f>
        <v>60</v>
      </c>
      <c r="K50" s="2217" t="s">
        <v>1389</v>
      </c>
      <c r="L50" s="2220"/>
      <c r="M50" s="2223"/>
      <c r="O50" s="2221" t="s">
        <v>1390</v>
      </c>
      <c r="P50" s="2214" t="s">
        <v>1391</v>
      </c>
      <c r="Q50" s="2256" t="e">
        <f ca="1">J58</f>
        <v>#VALUE!</v>
      </c>
      <c r="R50" s="2255"/>
    </row>
    <row r="51" s="799" customFormat="1" ht="13.5" spans="1:18">
      <c r="A51" s="2142"/>
      <c r="B51" s="2137"/>
      <c r="C51" s="2138"/>
      <c r="D51" s="2139"/>
      <c r="E51" s="2143" t="s">
        <v>1284</v>
      </c>
      <c r="F51" s="2027">
        <f ca="1">F8</f>
        <v>12</v>
      </c>
      <c r="I51" s="2224" t="s">
        <v>1392</v>
      </c>
      <c r="J51" s="2225">
        <f>IF(J49="",J50,J49+J50-YEAR('数据-取费表'!B2))</f>
        <v>36</v>
      </c>
      <c r="K51" s="2226" t="s">
        <v>1393</v>
      </c>
      <c r="L51" s="2227">
        <f ca="1">ROUND(-PV(INDIRECT("'数据-取费表'!h"&amp;$G$1),J51,(C39-C13*C76),0),0)</f>
        <v>1410163</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v>0.045</v>
      </c>
      <c r="O52" s="2221" t="s">
        <v>1398</v>
      </c>
      <c r="P52" s="2214" t="s">
        <v>1399</v>
      </c>
      <c r="Q52" s="2255">
        <f ca="1">J53</f>
        <v>70</v>
      </c>
      <c r="R52" s="2255" t="s">
        <v>1400</v>
      </c>
    </row>
    <row r="53" s="799" customFormat="1" ht="30.75" customHeight="1" spans="1:18">
      <c r="A53" s="2145" t="s">
        <v>1401</v>
      </c>
      <c r="B53" s="2069" t="s">
        <v>1286</v>
      </c>
      <c r="C53" s="1047">
        <f ca="1">ROUND(IF(F53="押一",C49/12*F11,IF(F53="押二",C49/12*2*F11,IF(F53="押三",C49/12*3*F11,C54*F11))),0)</f>
        <v>0</v>
      </c>
      <c r="D53" s="2038" t="s">
        <v>1463</v>
      </c>
      <c r="E53" s="2039" t="s">
        <v>1288</v>
      </c>
      <c r="F53" s="2040"/>
      <c r="I53" s="2231" t="s">
        <v>1402</v>
      </c>
      <c r="J53" s="2232">
        <f ca="1">IF(M47="住宅",IF(D1="——",MAX(J51,L48),MAX(J51,L48-'数据-取费表'!B24)),IF(D1="——",MIN(J51,L48),MIN(J51,L48-'数据-取费表'!B24)))</f>
        <v>70</v>
      </c>
      <c r="K53" s="2233" t="s">
        <v>1403</v>
      </c>
      <c r="L53" s="2234"/>
      <c r="O53" s="2213" t="s">
        <v>1106</v>
      </c>
      <c r="P53" s="2214" t="s">
        <v>1404</v>
      </c>
      <c r="Q53" s="2255">
        <f ca="1">Q47+Q48</f>
        <v>3967350</v>
      </c>
      <c r="R53" s="2255" t="s">
        <v>1405</v>
      </c>
    </row>
    <row r="54" s="799" customFormat="1" ht="13.5" spans="1:18">
      <c r="A54" s="2129"/>
      <c r="B54" s="2146" t="s">
        <v>1458</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#VALUE!</v>
      </c>
      <c r="K55" s="2240" t="s">
        <v>1408</v>
      </c>
      <c r="L55" s="2241" t="s">
        <v>1464</v>
      </c>
      <c r="O55" s="2206" t="s">
        <v>1368</v>
      </c>
      <c r="P55" s="2207" t="s">
        <v>1369</v>
      </c>
      <c r="Q55" s="2254" t="s">
        <v>1370</v>
      </c>
      <c r="R55" s="2254" t="s">
        <v>1371</v>
      </c>
    </row>
    <row r="56" s="799" customFormat="1" ht="36" customHeight="1" spans="1:18">
      <c r="A56" s="2149">
        <v>2</v>
      </c>
      <c r="B56" s="2150" t="s">
        <v>1292</v>
      </c>
      <c r="C56" s="430">
        <f ca="1">C13</f>
        <v>248692</v>
      </c>
      <c r="D56" s="2151"/>
      <c r="E56" s="2152"/>
      <c r="F56" s="2148"/>
      <c r="I56" s="2242" t="s">
        <v>1409</v>
      </c>
      <c r="J56" s="2243" t="s">
        <v>557</v>
      </c>
      <c r="K56" s="2215" t="s">
        <v>1410</v>
      </c>
      <c r="L56" s="2218">
        <f ca="1">IF(L48&lt;J51,"——",L48-J51)</f>
        <v>34</v>
      </c>
      <c r="O56" s="2213" t="s">
        <v>1003</v>
      </c>
      <c r="P56" s="2214" t="s">
        <v>1374</v>
      </c>
      <c r="Q56" s="2255">
        <f ca="1">C40+J29</f>
        <v>3967350</v>
      </c>
      <c r="R56" s="2255" t="s">
        <v>1375</v>
      </c>
    </row>
    <row r="57" s="799" customFormat="1" ht="24.75" spans="1:18">
      <c r="A57" s="2153"/>
      <c r="B57" s="2154" t="s">
        <v>1355</v>
      </c>
      <c r="C57" s="440">
        <f ca="1">C29</f>
        <v>414486</v>
      </c>
      <c r="D57" s="2155"/>
      <c r="E57" s="2156"/>
      <c r="F57" s="2157"/>
      <c r="I57" s="2244" t="s">
        <v>1411</v>
      </c>
      <c r="J57" s="2245" t="str">
        <f ca="1">IF(OR(M47="住宅",J51&lt;L48,J56="是"),"——",J51-L48)</f>
        <v>——</v>
      </c>
      <c r="K57" s="2215" t="s">
        <v>1465</v>
      </c>
      <c r="L57" s="2218">
        <f ca="1">IF(L48&lt;J51,"——",IF(L55="比较法",L49,IF(L55="基准地价",L50,L51)))</f>
        <v>0</v>
      </c>
      <c r="O57" s="2213" t="s">
        <v>1006</v>
      </c>
      <c r="P57" s="2214" t="s">
        <v>1413</v>
      </c>
      <c r="Q57" s="2255">
        <f ca="1">L60</f>
        <v>0</v>
      </c>
      <c r="R57" s="2255" t="s">
        <v>1414</v>
      </c>
    </row>
    <row r="58" s="799" customFormat="1" ht="24.75" spans="1:18">
      <c r="A58" s="2158" t="s">
        <v>1300</v>
      </c>
      <c r="B58" s="2150" t="s">
        <v>1301</v>
      </c>
      <c r="C58" s="1047">
        <f ca="1">ROUND(C59+C64+C65+C66,0)</f>
        <v>4394</v>
      </c>
      <c r="D58" s="2159" t="s">
        <v>1302</v>
      </c>
      <c r="E58" s="2160"/>
      <c r="F58" s="2127"/>
      <c r="I58" s="2244" t="s">
        <v>1415</v>
      </c>
      <c r="J58" s="2246" t="e">
        <f ca="1">IF(J55&lt;0.4,0.4,J55)</f>
        <v>#VALUE!</v>
      </c>
      <c r="K58" s="2226" t="s">
        <v>1466</v>
      </c>
      <c r="L58" s="2218">
        <f ca="1">ROUND(POWER(1+L52,L47-L48)*(POWER(1+L52,L48)-1)/(POWER(1+L52,L47)-1),4)</f>
        <v>1</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f ca="1">ROUND(IF(D1="在建（套用方法）",M59,IF(D1="土地（套用方法）",N59,POWER(1+L52,L47-J51)*(POWER(1+L52,J51)-1)/(POWER(1+L52,L47)-1))),4)</f>
        <v>0.8332</v>
      </c>
      <c r="M59" s="2237">
        <f ca="1">ROUND(POWER(1+L52,L47-(J51+'数据-取费表'!B24))*(POWER(1+L52,(J51+'数据-取费表'!B24))-1)/(POWER(1+L52,L47)-1),4)</f>
        <v>0.8332</v>
      </c>
      <c r="N59" s="2237">
        <f ca="1">ROUND(POWER(1+L52,L47-(J51+'数据-取费表'!B20))*(POWER(1+L52,(J51+'数据-取费表'!B20))-1)/(POWER(1+L52,L47)-1),4)</f>
        <v>0.8513</v>
      </c>
      <c r="O59" s="2221" t="s">
        <v>1390</v>
      </c>
      <c r="P59" s="2214" t="s">
        <v>1419</v>
      </c>
      <c r="Q59" s="2256">
        <f>L52</f>
        <v>0.045</v>
      </c>
      <c r="R59" s="2255"/>
    </row>
    <row r="60" s="799" customFormat="1" ht="17.25" spans="1:18">
      <c r="A60" s="2057" t="s">
        <v>921</v>
      </c>
      <c r="B60" s="2154" t="s">
        <v>1311</v>
      </c>
      <c r="C60" s="1048" t="str">
        <f ca="1">IF(项目基本情况!B11="自然人","——",ROUND(C48*F60/(1+'数据-取费表'!C42),0))</f>
        <v>——</v>
      </c>
      <c r="D60" s="2162" t="s">
        <v>1312</v>
      </c>
      <c r="E60" s="2154" t="s">
        <v>1299</v>
      </c>
      <c r="F60" s="2073">
        <f t="shared" ref="F60:F66" si="0">F32</f>
        <v>0.056</v>
      </c>
      <c r="I60" s="2247" t="s">
        <v>1420</v>
      </c>
      <c r="J60" s="2248" t="str">
        <f ca="1">IF(OR(M47="住宅",J51&lt;L48,J56="是"),"0",ROUND(J59/(1+J52)^J53,0))</f>
        <v>0</v>
      </c>
      <c r="K60" s="2249" t="s">
        <v>1421</v>
      </c>
      <c r="L60" s="2248">
        <f ca="1">IF(OR(M47="住宅",L48&lt;J51),0,ROUND(L57*(L58/L59-1),0))</f>
        <v>0</v>
      </c>
      <c r="O60" s="2221" t="s">
        <v>1394</v>
      </c>
      <c r="P60" s="2214" t="s">
        <v>1422</v>
      </c>
      <c r="Q60" s="2255">
        <f ca="1">L58</f>
        <v>1</v>
      </c>
      <c r="R60" s="2255" t="s">
        <v>1423</v>
      </c>
    </row>
    <row r="61" s="799" customFormat="1" ht="13.5" spans="1:18">
      <c r="A61" s="2057" t="s">
        <v>925</v>
      </c>
      <c r="B61" s="2154" t="s">
        <v>1315</v>
      </c>
      <c r="C61" s="1048" t="str">
        <f ca="1">IF(项目基本情况!B11="自然人","——",IF(D61="按租金收入计税",ROUND(C49*F61/(1+'数据-取费表'!C42),0),IF(D61="按房产原值计税",ROUND(C57*F61*0.7,0),INDIRECT("'数据-取费表'!Aj"&amp;$G$1))))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f ca="1">L59</f>
        <v>0.8332</v>
      </c>
      <c r="R61" s="2255" t="s">
        <v>1424</v>
      </c>
    </row>
    <row r="62" s="799" customFormat="1" ht="13.5" spans="1:18">
      <c r="A62" s="2057" t="s">
        <v>928</v>
      </c>
      <c r="B62" s="2163" t="s">
        <v>1319</v>
      </c>
      <c r="C62" s="2087" t="str">
        <f ca="1">IF(项目基本情况!B11="自然人","——",ROUND(F62*F63,0))</f>
        <v>——</v>
      </c>
      <c r="D62" s="2164" t="s">
        <v>1320</v>
      </c>
      <c r="E62" s="2154" t="s">
        <v>1321</v>
      </c>
      <c r="F62" s="2072">
        <f t="shared" si="0"/>
        <v>0</v>
      </c>
      <c r="I62" s="2250" t="s">
        <v>1425</v>
      </c>
      <c r="J62" s="2251" t="s">
        <v>1426</v>
      </c>
      <c r="K62" s="2251" t="s">
        <v>1427</v>
      </c>
      <c r="L62" s="2251" t="s">
        <v>1428</v>
      </c>
      <c r="M62" s="2252" t="s">
        <v>1429</v>
      </c>
      <c r="O62" s="2213" t="s">
        <v>1106</v>
      </c>
      <c r="P62" s="2214" t="s">
        <v>1404</v>
      </c>
      <c r="Q62" s="2255">
        <f ca="1">Q56+Q57</f>
        <v>3967350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ROUND(C57*F64,0)</f>
        <v>4145</v>
      </c>
      <c r="D64" s="2162" t="s">
        <v>1360</v>
      </c>
      <c r="E64" s="2154" t="s">
        <v>1299</v>
      </c>
      <c r="F64" s="2094">
        <f ca="1" t="shared" si="0"/>
        <v>0.01</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ROUND(C56*F65,0)</f>
        <v>249</v>
      </c>
      <c r="D65" s="2162" t="s">
        <v>1332</v>
      </c>
      <c r="E65" s="2154" t="s">
        <v>1299</v>
      </c>
      <c r="F65" s="2095">
        <f ca="1" t="shared" si="0"/>
        <v>0.001</v>
      </c>
      <c r="I65" s="2250" t="s">
        <v>1433</v>
      </c>
      <c r="J65" s="2251">
        <v>40</v>
      </c>
      <c r="K65" s="2251">
        <v>30</v>
      </c>
      <c r="L65" s="2251">
        <v>50</v>
      </c>
      <c r="M65" s="2253">
        <v>0.02</v>
      </c>
      <c r="O65" s="2213" t="s">
        <v>1003</v>
      </c>
      <c r="P65" s="2214" t="s">
        <v>1374</v>
      </c>
      <c r="Q65" s="2255">
        <f ca="1">C40+J29</f>
        <v>3967350</v>
      </c>
      <c r="R65" s="2255" t="s">
        <v>1375</v>
      </c>
    </row>
    <row r="66" s="799" customFormat="1" ht="17.25" spans="1:18">
      <c r="A66" s="2057" t="s">
        <v>950</v>
      </c>
      <c r="B66" s="2154" t="s">
        <v>1317</v>
      </c>
      <c r="C66" s="1048">
        <f ca="1">ROUND(C48*F66,0)</f>
        <v>0</v>
      </c>
      <c r="D66" s="2162" t="s">
        <v>1335</v>
      </c>
      <c r="E66" s="2154" t="s">
        <v>1299</v>
      </c>
      <c r="F66" s="2036">
        <f ca="1" t="shared" si="0"/>
        <v>0.01</v>
      </c>
      <c r="O66" s="2213" t="s">
        <v>1006</v>
      </c>
      <c r="P66" s="2214" t="s">
        <v>1413</v>
      </c>
      <c r="Q66" s="2255">
        <f ca="1">L60</f>
        <v>0</v>
      </c>
      <c r="R66" s="2255" t="s">
        <v>1414</v>
      </c>
    </row>
    <row r="67" s="799" customFormat="1" ht="17.25" spans="1:18">
      <c r="A67" s="2149" t="s">
        <v>1338</v>
      </c>
      <c r="B67" s="2257" t="s">
        <v>1339</v>
      </c>
      <c r="C67" s="1047">
        <f ca="1">C48-C58</f>
        <v>-4394</v>
      </c>
      <c r="D67" s="2161" t="s">
        <v>1340</v>
      </c>
      <c r="E67" s="2258"/>
      <c r="F67" s="2259"/>
      <c r="O67" s="2221" t="s">
        <v>1386</v>
      </c>
      <c r="P67" s="2214" t="s">
        <v>1417</v>
      </c>
      <c r="Q67" s="2279">
        <f ca="1">L51</f>
        <v>1410163</v>
      </c>
      <c r="R67" s="2255" t="s">
        <v>1434</v>
      </c>
    </row>
    <row r="68" s="799" customFormat="1" ht="17.25" spans="1:18">
      <c r="A68" s="2260" t="s">
        <v>1344</v>
      </c>
      <c r="B68" s="2261" t="s">
        <v>1361</v>
      </c>
      <c r="C68" s="2100">
        <f ca="1">ROUND(C67*(1-((1+F70)/(1+F68))^F69)/(F68-F70),0)</f>
        <v>-102795</v>
      </c>
      <c r="D68" s="2164" t="s">
        <v>1346</v>
      </c>
      <c r="E68" s="2154" t="s">
        <v>1347</v>
      </c>
      <c r="F68" s="2036">
        <f ca="1">F40</f>
        <v>0.04</v>
      </c>
      <c r="O68" s="2221" t="s">
        <v>1390</v>
      </c>
      <c r="P68" s="2278" t="s">
        <v>1435</v>
      </c>
      <c r="Q68" s="2255">
        <f ca="1">ROUND(Q69-Q70*Q71,0)</f>
        <v>74579</v>
      </c>
      <c r="R68" s="2255" t="s">
        <v>1436</v>
      </c>
    </row>
    <row r="69" s="799" customFormat="1" ht="13.5" spans="1:18">
      <c r="A69" s="2262"/>
      <c r="B69" s="2263"/>
      <c r="C69" s="2034"/>
      <c r="D69" s="2264" t="s">
        <v>1350</v>
      </c>
      <c r="E69" s="2154" t="s">
        <v>1351</v>
      </c>
      <c r="F69" s="2189">
        <f ca="1">F41</f>
        <v>70</v>
      </c>
      <c r="O69" s="2221" t="s">
        <v>1437</v>
      </c>
      <c r="P69" s="2278" t="s">
        <v>1438</v>
      </c>
      <c r="Q69" s="2255">
        <f ca="1">C39</f>
        <v>93231</v>
      </c>
      <c r="R69" s="2255" t="s">
        <v>1375</v>
      </c>
    </row>
    <row r="70" s="799" customFormat="1" ht="13.5" spans="1:18">
      <c r="A70" s="2265"/>
      <c r="B70" s="2266"/>
      <c r="C70" s="2054"/>
      <c r="D70" s="2166"/>
      <c r="E70" s="2154" t="s">
        <v>1354</v>
      </c>
      <c r="F70" s="2144"/>
      <c r="O70" s="2221" t="s">
        <v>1439</v>
      </c>
      <c r="P70" s="2278" t="s">
        <v>1440</v>
      </c>
      <c r="Q70" s="2255">
        <f ca="1">C13</f>
        <v>248692</v>
      </c>
      <c r="R70" s="2255" t="s">
        <v>1375</v>
      </c>
    </row>
    <row r="71" s="799" customFormat="1" ht="13.5" spans="1:18">
      <c r="A71" s="2267" t="s">
        <v>1356</v>
      </c>
      <c r="B71" s="2268" t="s">
        <v>1362</v>
      </c>
      <c r="C71" s="2108">
        <f ca="1">ROUND(C68/F71,0)</f>
        <v>-1475</v>
      </c>
      <c r="D71" s="2269" t="s">
        <v>1363</v>
      </c>
      <c r="E71" s="2270" t="s">
        <v>1364</v>
      </c>
      <c r="F71" s="2111">
        <f ca="1">F43</f>
        <v>69.7</v>
      </c>
      <c r="O71" s="2221" t="s">
        <v>1441</v>
      </c>
      <c r="P71" s="2278" t="s">
        <v>1442</v>
      </c>
      <c r="Q71" s="2256">
        <f ca="1">C76</f>
        <v>0.075</v>
      </c>
      <c r="R71" s="2255"/>
    </row>
    <row r="72" s="799" customFormat="1" ht="13.5" spans="2:18">
      <c r="B72" s="1082"/>
      <c r="C72" s="1082"/>
      <c r="O72" s="2221" t="s">
        <v>1394</v>
      </c>
      <c r="P72" s="2214" t="s">
        <v>1419</v>
      </c>
      <c r="Q72" s="2256">
        <f>L52</f>
        <v>0.045</v>
      </c>
      <c r="R72" s="2255"/>
    </row>
    <row r="73" ht="17.25" spans="1:18">
      <c r="A73" s="799"/>
      <c r="B73" s="1082"/>
      <c r="C73" s="1082"/>
      <c r="D73" s="799"/>
      <c r="E73" s="799"/>
      <c r="F73" s="799"/>
      <c r="O73" s="2221" t="s">
        <v>1398</v>
      </c>
      <c r="P73" s="2214" t="s">
        <v>1422</v>
      </c>
      <c r="Q73" s="2255">
        <f ca="1">L58</f>
        <v>1</v>
      </c>
      <c r="R73" s="2255" t="s">
        <v>1423</v>
      </c>
    </row>
    <row r="74" ht="13.5" spans="1:18">
      <c r="A74" s="799"/>
      <c r="B74" s="475" t="s">
        <v>1443</v>
      </c>
      <c r="C74" s="2271"/>
      <c r="D74" s="799"/>
      <c r="E74" s="799"/>
      <c r="F74" s="799"/>
      <c r="O74" s="2221" t="s">
        <v>1444</v>
      </c>
      <c r="P74" s="2214" t="str">
        <f>K59</f>
        <v>建筑物剩余耐用年限下的土地年期修正系数Kn</v>
      </c>
      <c r="Q74" s="2255">
        <f ca="1">L59</f>
        <v>0.8332</v>
      </c>
      <c r="R74" s="2255" t="s">
        <v>1424</v>
      </c>
    </row>
    <row r="75" ht="13.5" spans="1:18">
      <c r="A75" s="799"/>
      <c r="B75" s="2272" t="s">
        <v>1445</v>
      </c>
      <c r="C75" s="2273">
        <f ca="1">ROUND(C13*C76,0)</f>
        <v>18652</v>
      </c>
      <c r="D75" s="799"/>
      <c r="E75" s="799"/>
      <c r="F75" s="799"/>
      <c r="K75" s="2200"/>
      <c r="L75" s="799"/>
      <c r="O75" s="2213" t="s">
        <v>1106</v>
      </c>
      <c r="P75" s="2214" t="s">
        <v>1404</v>
      </c>
      <c r="Q75" s="2255">
        <f ca="1">Q65+Q66</f>
        <v>3967350</v>
      </c>
      <c r="R75" s="2255" t="s">
        <v>1405</v>
      </c>
    </row>
    <row r="76" spans="2:12">
      <c r="B76" s="575" t="s">
        <v>1446</v>
      </c>
      <c r="C76" s="2274">
        <f ca="1">INDIRECT("'数据-取费表'!j"&amp;$G$1)</f>
        <v>0.075</v>
      </c>
      <c r="I76" s="799"/>
      <c r="J76" s="799"/>
      <c r="K76" s="2200"/>
      <c r="L76" s="799"/>
    </row>
    <row r="77" spans="2:12">
      <c r="B77" s="2275" t="s">
        <v>1447</v>
      </c>
      <c r="C77" s="2276"/>
      <c r="I77" s="799"/>
      <c r="J77" s="799"/>
      <c r="K77" s="2200"/>
      <c r="L77" s="799"/>
    </row>
    <row r="78" spans="2:3">
      <c r="B78" s="473" t="s">
        <v>1448</v>
      </c>
      <c r="C78" s="2277"/>
    </row>
    <row r="79" spans="2:3">
      <c r="B79" s="2272" t="s">
        <v>1449</v>
      </c>
      <c r="C79" s="476">
        <f ca="1">1-C80</f>
        <v>0.8</v>
      </c>
    </row>
    <row r="80" spans="2:3">
      <c r="B80" s="2272" t="s">
        <v>1450</v>
      </c>
      <c r="C80" s="476">
        <f ca="1">ROUND(C75/C39,3)</f>
        <v>0.2</v>
      </c>
    </row>
    <row r="81" spans="2:3">
      <c r="B81" s="473" t="s">
        <v>1451</v>
      </c>
      <c r="C81" s="440"/>
    </row>
    <row r="82" spans="2:3">
      <c r="B82" s="475" t="s">
        <v>1082</v>
      </c>
      <c r="C82" s="477">
        <f ca="1">1-C83</f>
        <v>0.937</v>
      </c>
    </row>
    <row r="83" spans="2:3">
      <c r="B83" s="475" t="s">
        <v>1083</v>
      </c>
      <c r="C83" s="476">
        <f ca="1">ROUND(C13/C40,3)</f>
        <v>0.063</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4:AI58"/>
  <sheetViews>
    <sheetView zoomScale="110" zoomScaleNormal="110" topLeftCell="S1"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3">
      <c r="AF41">
        <v>2</v>
      </c>
      <c r="AG41">
        <f t="shared" si="0"/>
        <v>96</v>
      </c>
    </row>
    <row r="42" spans="32:33">
      <c r="AF42">
        <v>3</v>
      </c>
      <c r="AG42">
        <f t="shared" si="0"/>
        <v>96.5</v>
      </c>
    </row>
    <row r="43" spans="32:33">
      <c r="AF43">
        <v>4</v>
      </c>
      <c r="AG43">
        <f t="shared" si="0"/>
        <v>97</v>
      </c>
    </row>
    <row r="44" spans="32:33">
      <c r="AF44">
        <v>5</v>
      </c>
      <c r="AG44">
        <f t="shared" si="0"/>
        <v>97.5</v>
      </c>
    </row>
    <row r="45" spans="32:33">
      <c r="AF45">
        <v>6</v>
      </c>
      <c r="AG45">
        <f t="shared" si="0"/>
        <v>98</v>
      </c>
    </row>
    <row r="46" spans="32:33">
      <c r="AF46">
        <v>7</v>
      </c>
      <c r="AG46">
        <f t="shared" si="0"/>
        <v>98.5</v>
      </c>
    </row>
    <row r="47" spans="32:33">
      <c r="AF47">
        <v>8</v>
      </c>
      <c r="AG47">
        <f t="shared" si="0"/>
        <v>99</v>
      </c>
    </row>
    <row r="48" spans="32:33">
      <c r="AF48">
        <v>9</v>
      </c>
      <c r="AG48">
        <f t="shared" si="0"/>
        <v>99.5</v>
      </c>
    </row>
    <row r="49" spans="32:33">
      <c r="AF49">
        <v>10</v>
      </c>
      <c r="AG49">
        <v>100</v>
      </c>
    </row>
    <row r="50" spans="32:33">
      <c r="AF50">
        <v>11</v>
      </c>
      <c r="AG50">
        <f>AG49+$AI$40</f>
        <v>100.5</v>
      </c>
    </row>
    <row r="51" spans="32:33">
      <c r="AF51">
        <v>12</v>
      </c>
      <c r="AG51">
        <f t="shared" ref="AG51:AG56" si="1">AG50+$AI$40</f>
        <v>101</v>
      </c>
    </row>
    <row r="52" spans="32:33">
      <c r="AF52">
        <v>13</v>
      </c>
      <c r="AG52">
        <f t="shared" si="1"/>
        <v>101.5</v>
      </c>
    </row>
    <row r="53" spans="32:33">
      <c r="AF53">
        <v>14</v>
      </c>
      <c r="AG53">
        <f t="shared" si="1"/>
        <v>102</v>
      </c>
    </row>
    <row r="54" spans="32:33">
      <c r="AF54">
        <v>15</v>
      </c>
      <c r="AG54">
        <f t="shared" si="1"/>
        <v>102.5</v>
      </c>
    </row>
    <row r="55" spans="32:33">
      <c r="AF55">
        <v>16</v>
      </c>
      <c r="AG55">
        <f t="shared" si="1"/>
        <v>103</v>
      </c>
    </row>
    <row r="56" spans="32:35">
      <c r="AF56">
        <v>17</v>
      </c>
      <c r="AG56">
        <f t="shared" si="1"/>
        <v>103.5</v>
      </c>
      <c r="AI56">
        <f>AG56-AG40</f>
        <v>8</v>
      </c>
    </row>
    <row r="57" spans="32:33">
      <c r="AF57">
        <v>18</v>
      </c>
      <c r="AG57">
        <v>95</v>
      </c>
    </row>
    <row r="58" spans="32:32">
      <c r="AF58">
        <v>19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G115" sqref="G115"/>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1467</v>
      </c>
      <c r="B1" s="1809"/>
      <c r="C1" s="1810"/>
      <c r="D1" s="1810"/>
      <c r="E1" s="1811"/>
      <c r="F1" s="1812"/>
      <c r="G1" s="1813"/>
      <c r="J1" s="1920" t="s">
        <v>1468</v>
      </c>
      <c r="K1" s="1921"/>
      <c r="L1" s="1921"/>
      <c r="M1" s="1921"/>
      <c r="N1" s="1921"/>
      <c r="O1" s="1921"/>
      <c r="P1" s="1921"/>
      <c r="Q1" s="1921"/>
      <c r="R1" s="1969"/>
      <c r="S1" s="1970"/>
      <c r="T1" s="1970"/>
      <c r="U1" s="1970"/>
    </row>
    <row r="2" s="1801" customFormat="1" customHeight="1" spans="1:22">
      <c r="A2" s="1814" t="s">
        <v>1267</v>
      </c>
      <c r="B2" s="1815" t="e">
        <f>IF(D2="——",C40,C40+E2)</f>
        <v>#DIV/0!</v>
      </c>
      <c r="C2" s="1810" t="s">
        <v>1268</v>
      </c>
      <c r="D2" s="1816" t="s">
        <v>1469</v>
      </c>
      <c r="E2" s="1817"/>
      <c r="F2" s="1818"/>
      <c r="G2" s="1819"/>
      <c r="H2" s="1820"/>
      <c r="I2" s="1922"/>
      <c r="J2" s="1923" t="s">
        <v>1470</v>
      </c>
      <c r="K2" s="1924"/>
      <c r="L2" s="1925" t="s">
        <v>1471</v>
      </c>
      <c r="M2" s="1925" t="s">
        <v>1472</v>
      </c>
      <c r="N2" s="1925" t="s">
        <v>1473</v>
      </c>
      <c r="O2" s="1925" t="s">
        <v>1474</v>
      </c>
      <c r="P2" s="1925" t="s">
        <v>1475</v>
      </c>
      <c r="Q2" s="1971" t="s">
        <v>1476</v>
      </c>
      <c r="R2" s="1972" t="s">
        <v>1477</v>
      </c>
      <c r="S2" s="1970"/>
      <c r="T2" s="1970"/>
      <c r="U2" s="1970"/>
      <c r="V2" s="1922"/>
    </row>
    <row r="3" s="1801" customFormat="1" customHeight="1" spans="1:22">
      <c r="A3" s="1821" t="s">
        <v>1269</v>
      </c>
      <c r="B3" s="1822" t="e">
        <f>ROUND(B2*10000/B4,0)</f>
        <v>#DIV/0!</v>
      </c>
      <c r="C3" s="1810" t="s">
        <v>1270</v>
      </c>
      <c r="D3" s="1810"/>
      <c r="E3" s="1823"/>
      <c r="F3" s="1818"/>
      <c r="G3" s="1819"/>
      <c r="H3" s="1820"/>
      <c r="I3" s="1922"/>
      <c r="J3" s="1926" t="s">
        <v>1478</v>
      </c>
      <c r="K3" s="1927"/>
      <c r="L3" s="1928"/>
      <c r="M3" s="1928"/>
      <c r="N3" s="1928"/>
      <c r="O3" s="1928"/>
      <c r="P3" s="1928"/>
      <c r="Q3" s="1973"/>
      <c r="R3" s="1974">
        <f>SUM(L3:Q3)</f>
        <v>0</v>
      </c>
      <c r="S3" s="1970"/>
      <c r="T3" s="1970"/>
      <c r="U3" s="1970"/>
      <c r="V3" s="1922"/>
    </row>
    <row r="4" s="1801" customFormat="1" customHeight="1" spans="1:22">
      <c r="A4" s="1824" t="s">
        <v>1479</v>
      </c>
      <c r="B4" s="1825"/>
      <c r="C4" s="1810"/>
      <c r="D4" s="1810"/>
      <c r="E4" s="1823"/>
      <c r="F4" s="1818"/>
      <c r="G4" s="1819"/>
      <c r="H4" s="1820"/>
      <c r="I4" s="1922"/>
      <c r="J4" s="1926" t="s">
        <v>1480</v>
      </c>
      <c r="K4" s="1927"/>
      <c r="L4" s="1929"/>
      <c r="M4" s="1929"/>
      <c r="N4" s="1929"/>
      <c r="O4" s="1929"/>
      <c r="P4" s="1929"/>
      <c r="Q4" s="1975"/>
      <c r="R4" s="1976">
        <f>SUM(L4:Q4)</f>
        <v>0</v>
      </c>
      <c r="S4" s="1970"/>
      <c r="T4" s="1970"/>
      <c r="U4" s="1970"/>
      <c r="V4" s="1922"/>
    </row>
    <row r="5" s="1801" customFormat="1" customHeight="1" spans="1:22">
      <c r="A5" s="1826" t="s">
        <v>1481</v>
      </c>
      <c r="B5" s="1827"/>
      <c r="C5" s="1810"/>
      <c r="D5" s="1828"/>
      <c r="E5" s="1818"/>
      <c r="F5" s="1818"/>
      <c r="G5" s="1819"/>
      <c r="H5" s="1820"/>
      <c r="I5" s="1922"/>
      <c r="J5" s="1930" t="s">
        <v>1482</v>
      </c>
      <c r="K5" s="1931"/>
      <c r="L5" s="1931"/>
      <c r="M5" s="1932"/>
      <c r="N5" s="1932"/>
      <c r="O5" s="1932"/>
      <c r="P5" s="1932"/>
      <c r="Q5" s="1932"/>
      <c r="R5" s="1972">
        <f>SUM(R14,R19,R24,R25,R27,R28)</f>
        <v>0</v>
      </c>
      <c r="S5" s="1970"/>
      <c r="T5" s="1970" t="s">
        <v>1483</v>
      </c>
      <c r="U5" s="1970" t="e">
        <f>ROUND(R5*10000/365/R3,1)</f>
        <v>#DIV/0!</v>
      </c>
      <c r="V5" s="1922"/>
    </row>
    <row r="6" s="1801" customFormat="1" customHeight="1" spans="1:22">
      <c r="A6" s="1829" t="s">
        <v>1484</v>
      </c>
      <c r="B6" s="1830"/>
      <c r="C6" s="1831"/>
      <c r="D6" s="1832"/>
      <c r="E6" s="1833"/>
      <c r="F6" s="1834"/>
      <c r="G6" s="1835"/>
      <c r="H6" s="1820"/>
      <c r="I6" s="1922"/>
      <c r="J6" s="1933">
        <v>1</v>
      </c>
      <c r="K6" s="1934" t="s">
        <v>1485</v>
      </c>
      <c r="L6" s="1935" t="s">
        <v>1486</v>
      </c>
      <c r="M6" s="1936" t="s">
        <v>1487</v>
      </c>
      <c r="N6" s="1936" t="s">
        <v>1488</v>
      </c>
      <c r="O6" s="1936" t="s">
        <v>1489</v>
      </c>
      <c r="P6" s="1936" t="s">
        <v>1490</v>
      </c>
      <c r="Q6" s="1936" t="s">
        <v>1491</v>
      </c>
      <c r="R6" s="1974" t="s">
        <v>1492</v>
      </c>
      <c r="S6" s="1970"/>
      <c r="T6" s="1970" t="s">
        <v>1493</v>
      </c>
      <c r="U6" s="1970"/>
      <c r="V6" s="1922"/>
    </row>
    <row r="7" s="1801" customFormat="1" customHeight="1" spans="1:22">
      <c r="A7" s="1836" t="s">
        <v>1494</v>
      </c>
      <c r="B7" s="1837"/>
      <c r="C7" s="1838"/>
      <c r="D7" s="1839">
        <f>SUM(D9,D10,D11,D17,0)</f>
        <v>0</v>
      </c>
      <c r="E7" s="1840" t="e">
        <f>E9+E10+E11+E17</f>
        <v>#DIV/0!</v>
      </c>
      <c r="F7" s="1841"/>
      <c r="G7" s="1842"/>
      <c r="H7" s="1820"/>
      <c r="I7" s="1922"/>
      <c r="J7" s="1933"/>
      <c r="K7" s="1937"/>
      <c r="L7" s="1938" t="s">
        <v>1495</v>
      </c>
      <c r="M7" s="1939"/>
      <c r="N7" s="1825"/>
      <c r="O7" s="1940"/>
      <c r="P7" s="1940"/>
      <c r="Q7" s="1861">
        <v>365</v>
      </c>
      <c r="R7" s="1977">
        <f>ROUND(M7*N7*O7*P7*Q7/10000,0)</f>
        <v>0</v>
      </c>
      <c r="S7" s="1970"/>
      <c r="T7" s="1970" t="s">
        <v>1496</v>
      </c>
      <c r="U7" s="1970"/>
      <c r="V7" s="1922"/>
    </row>
    <row r="8" s="1801" customFormat="1" customHeight="1" spans="1:22">
      <c r="A8" s="1843" t="s">
        <v>1497</v>
      </c>
      <c r="B8" s="1844" t="s">
        <v>1498</v>
      </c>
      <c r="C8" s="1845"/>
      <c r="D8" s="1846" t="s">
        <v>1499</v>
      </c>
      <c r="E8" s="1847" t="s">
        <v>1500</v>
      </c>
      <c r="F8" s="1848" t="s">
        <v>1501</v>
      </c>
      <c r="G8" s="1849"/>
      <c r="H8" s="1820"/>
      <c r="I8" s="1922"/>
      <c r="J8" s="1933"/>
      <c r="K8" s="1937"/>
      <c r="L8" s="1938" t="s">
        <v>1502</v>
      </c>
      <c r="M8" s="1939"/>
      <c r="N8" s="1825"/>
      <c r="O8" s="1940"/>
      <c r="P8" s="1940"/>
      <c r="Q8" s="1861">
        <v>365</v>
      </c>
      <c r="R8" s="1977">
        <f t="shared" ref="R8:R13" si="0">ROUND(M8*N8*O8*P8*Q8/10000,0)</f>
        <v>0</v>
      </c>
      <c r="S8" s="1970"/>
      <c r="T8" s="1970" t="s">
        <v>1503</v>
      </c>
      <c r="U8" s="1970"/>
      <c r="V8" s="1922"/>
    </row>
    <row r="9" s="1801" customFormat="1" customHeight="1" spans="1:22">
      <c r="A9" s="1843">
        <v>1</v>
      </c>
      <c r="B9" s="1844" t="s">
        <v>1504</v>
      </c>
      <c r="C9" s="1845"/>
      <c r="D9" s="1846">
        <f>ROUND(D6*E9,0)</f>
        <v>0</v>
      </c>
      <c r="E9" s="1850"/>
      <c r="F9" s="1851" t="s">
        <v>1505</v>
      </c>
      <c r="G9" s="1835"/>
      <c r="H9" s="1820"/>
      <c r="I9" s="1922"/>
      <c r="J9" s="1933"/>
      <c r="K9" s="1937"/>
      <c r="L9" s="1938" t="s">
        <v>1506</v>
      </c>
      <c r="M9" s="1939"/>
      <c r="N9" s="1825"/>
      <c r="O9" s="1940"/>
      <c r="P9" s="1940"/>
      <c r="Q9" s="1861">
        <v>365</v>
      </c>
      <c r="R9" s="1977">
        <f t="shared" si="0"/>
        <v>0</v>
      </c>
      <c r="S9" s="1970"/>
      <c r="T9" s="1970"/>
      <c r="U9" s="1970"/>
      <c r="V9" s="1922"/>
    </row>
    <row r="10" s="1801" customFormat="1" customHeight="1" spans="1:22">
      <c r="A10" s="1843">
        <v>2</v>
      </c>
      <c r="B10" s="1844" t="s">
        <v>1507</v>
      </c>
      <c r="C10" s="1845"/>
      <c r="D10" s="1846">
        <f>ROUND(D6*E10,0)</f>
        <v>0</v>
      </c>
      <c r="E10" s="1850"/>
      <c r="F10" s="1851" t="s">
        <v>1508</v>
      </c>
      <c r="G10" s="1835"/>
      <c r="H10" s="1820"/>
      <c r="I10" s="1922"/>
      <c r="J10" s="1933"/>
      <c r="K10" s="1937"/>
      <c r="L10" s="1938" t="s">
        <v>1509</v>
      </c>
      <c r="M10" s="1939"/>
      <c r="N10" s="1825"/>
      <c r="O10" s="1940"/>
      <c r="P10" s="1940"/>
      <c r="Q10" s="1861">
        <v>365</v>
      </c>
      <c r="R10" s="1977">
        <f t="shared" si="0"/>
        <v>0</v>
      </c>
      <c r="S10" s="1970"/>
      <c r="T10" s="1970"/>
      <c r="U10" s="1970"/>
      <c r="V10" s="1922"/>
    </row>
    <row r="11" s="1801" customFormat="1" customHeight="1" spans="1:22">
      <c r="A11" s="1843">
        <v>3</v>
      </c>
      <c r="B11" s="1844" t="s">
        <v>1510</v>
      </c>
      <c r="C11" s="1845"/>
      <c r="D11" s="1846">
        <f>D12+D14+D15+D16</f>
        <v>0</v>
      </c>
      <c r="E11" s="1852" t="e">
        <f>D11/D6</f>
        <v>#DIV/0!</v>
      </c>
      <c r="F11" s="1848"/>
      <c r="G11" s="1849"/>
      <c r="H11" s="1820"/>
      <c r="I11" s="1922"/>
      <c r="J11" s="1933"/>
      <c r="K11" s="1937"/>
      <c r="L11" s="1938" t="s">
        <v>1511</v>
      </c>
      <c r="M11" s="1939"/>
      <c r="N11" s="1825"/>
      <c r="O11" s="1940"/>
      <c r="P11" s="1940"/>
      <c r="Q11" s="1861">
        <v>365</v>
      </c>
      <c r="R11" s="1977">
        <f t="shared" si="0"/>
        <v>0</v>
      </c>
      <c r="S11" s="1970"/>
      <c r="T11" s="1970"/>
      <c r="U11" s="1970"/>
      <c r="V11" s="1922"/>
    </row>
    <row r="12" s="1801" customFormat="1" customHeight="1" spans="1:22">
      <c r="A12" s="1853" t="s">
        <v>1512</v>
      </c>
      <c r="B12" s="1854" t="s">
        <v>1513</v>
      </c>
      <c r="C12" s="1855"/>
      <c r="D12" s="1856">
        <f>ROUND(D13*1.2%*(1-30%),0)</f>
        <v>0</v>
      </c>
      <c r="E12" s="1857">
        <v>0.012</v>
      </c>
      <c r="F12" s="1848" t="s">
        <v>1514</v>
      </c>
      <c r="G12" s="1849"/>
      <c r="H12" s="1820"/>
      <c r="I12" s="1922"/>
      <c r="J12" s="1933"/>
      <c r="K12" s="1937"/>
      <c r="L12" s="1938" t="s">
        <v>1515</v>
      </c>
      <c r="M12" s="1939"/>
      <c r="N12" s="1825"/>
      <c r="O12" s="1940"/>
      <c r="P12" s="1940"/>
      <c r="Q12" s="1861">
        <v>365</v>
      </c>
      <c r="R12" s="1977">
        <f t="shared" si="0"/>
        <v>0</v>
      </c>
      <c r="S12" s="1970"/>
      <c r="T12" s="1970"/>
      <c r="U12" s="1970"/>
      <c r="V12" s="1922"/>
    </row>
    <row r="13" s="1801" customFormat="1" customHeight="1" spans="1:22">
      <c r="A13" s="1853"/>
      <c r="B13" s="1854"/>
      <c r="C13" s="1858" t="s">
        <v>1516</v>
      </c>
      <c r="D13" s="1859"/>
      <c r="E13" s="1860"/>
      <c r="F13" s="1848"/>
      <c r="G13" s="1849"/>
      <c r="H13" s="1820"/>
      <c r="I13" s="1922"/>
      <c r="J13" s="1933"/>
      <c r="K13" s="1937"/>
      <c r="L13" s="1938" t="s">
        <v>1517</v>
      </c>
      <c r="M13" s="1939"/>
      <c r="N13" s="1825"/>
      <c r="O13" s="1940"/>
      <c r="P13" s="1940"/>
      <c r="Q13" s="1861">
        <v>365</v>
      </c>
      <c r="R13" s="1977">
        <f t="shared" si="0"/>
        <v>0</v>
      </c>
      <c r="S13" s="1970"/>
      <c r="T13" s="1970"/>
      <c r="U13" s="1970"/>
      <c r="V13" s="1922"/>
    </row>
    <row r="14" s="1801" customFormat="1" customHeight="1" spans="1:22">
      <c r="A14" s="1853" t="s">
        <v>1518</v>
      </c>
      <c r="B14" s="1854" t="s">
        <v>1519</v>
      </c>
      <c r="C14" s="1855"/>
      <c r="D14" s="1856">
        <f>ROUND(E14*B5/10000,0)</f>
        <v>0</v>
      </c>
      <c r="E14" s="1861"/>
      <c r="F14" s="1848" t="s">
        <v>1520</v>
      </c>
      <c r="G14" s="1849"/>
      <c r="H14" s="1820"/>
      <c r="I14" s="1922"/>
      <c r="J14" s="1933"/>
      <c r="K14" s="1941"/>
      <c r="L14" s="1942" t="s">
        <v>1521</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1522</v>
      </c>
      <c r="B15" s="1854" t="s">
        <v>1523</v>
      </c>
      <c r="C15" s="1855"/>
      <c r="D15" s="1856">
        <f>ROUND(D6*E15,0)</f>
        <v>0</v>
      </c>
      <c r="E15" s="1857">
        <v>0.055</v>
      </c>
      <c r="F15" s="1848" t="s">
        <v>1524</v>
      </c>
      <c r="G15" s="1835"/>
      <c r="H15" s="1820"/>
      <c r="I15" s="1922"/>
      <c r="J15" s="1933">
        <v>2</v>
      </c>
      <c r="K15" s="1934" t="s">
        <v>1525</v>
      </c>
      <c r="L15" s="1938" t="s">
        <v>1526</v>
      </c>
      <c r="M15" s="1939" t="s">
        <v>1527</v>
      </c>
      <c r="N15" s="1939" t="s">
        <v>1528</v>
      </c>
      <c r="O15" s="1940" t="s">
        <v>1529</v>
      </c>
      <c r="P15" s="1940" t="s">
        <v>1491</v>
      </c>
      <c r="Q15" s="1825" t="s">
        <v>124</v>
      </c>
      <c r="R15" s="1979" t="s">
        <v>1492</v>
      </c>
      <c r="S15" s="1970"/>
      <c r="T15" s="1970"/>
      <c r="U15" s="1970"/>
      <c r="V15" s="1922"/>
    </row>
    <row r="16" s="1801" customFormat="1" customHeight="1" spans="1:22">
      <c r="A16" s="1853" t="s">
        <v>1530</v>
      </c>
      <c r="B16" s="1854" t="s">
        <v>1531</v>
      </c>
      <c r="C16" s="1855"/>
      <c r="D16" s="1862">
        <f>D6*E16</f>
        <v>0</v>
      </c>
      <c r="E16" s="1863"/>
      <c r="F16" s="1851" t="s">
        <v>1532</v>
      </c>
      <c r="G16" s="1835"/>
      <c r="H16" s="1820"/>
      <c r="I16" s="1922"/>
      <c r="J16" s="1933"/>
      <c r="K16" s="1937"/>
      <c r="L16" s="1938" t="s">
        <v>1533</v>
      </c>
      <c r="M16" s="1939"/>
      <c r="N16" s="1939"/>
      <c r="O16" s="1940"/>
      <c r="P16" s="1861">
        <v>365</v>
      </c>
      <c r="Q16" s="1825"/>
      <c r="R16" s="1979">
        <f>ROUND(M16*N16*O16*P16/10000,0)</f>
        <v>0</v>
      </c>
      <c r="S16" s="1970"/>
      <c r="T16" s="1970"/>
      <c r="U16" s="1970"/>
      <c r="V16" s="1922"/>
    </row>
    <row r="17" s="1801" customFormat="1" customHeight="1" spans="1:22">
      <c r="A17" s="1864">
        <v>4</v>
      </c>
      <c r="B17" s="1865" t="s">
        <v>1534</v>
      </c>
      <c r="C17" s="1866"/>
      <c r="D17" s="1867">
        <f>ROUND(D6*E17,0)</f>
        <v>0</v>
      </c>
      <c r="E17" s="1868"/>
      <c r="F17" s="1869" t="s">
        <v>1535</v>
      </c>
      <c r="G17" s="1835"/>
      <c r="H17" s="1820"/>
      <c r="I17" s="1922"/>
      <c r="J17" s="1933"/>
      <c r="K17" s="1937"/>
      <c r="L17" s="1938" t="s">
        <v>1536</v>
      </c>
      <c r="M17" s="1939"/>
      <c r="N17" s="1939"/>
      <c r="O17" s="1940"/>
      <c r="P17" s="1861">
        <v>365</v>
      </c>
      <c r="Q17" s="1825"/>
      <c r="R17" s="1979">
        <f>ROUND(M17*N17*O17*P17/10000,0)</f>
        <v>0</v>
      </c>
      <c r="S17" s="1970"/>
      <c r="T17" s="1970"/>
      <c r="U17" s="1970"/>
      <c r="V17" s="1922"/>
    </row>
    <row r="18" s="1801" customFormat="1" customHeight="1" spans="1:22">
      <c r="A18" s="1836" t="s">
        <v>1537</v>
      </c>
      <c r="B18" s="1837"/>
      <c r="C18" s="1837"/>
      <c r="D18" s="1870">
        <f>ROUND(D6*E18,0)</f>
        <v>0</v>
      </c>
      <c r="E18" s="1871"/>
      <c r="F18" s="1872" t="s">
        <v>1538</v>
      </c>
      <c r="G18" s="1835"/>
      <c r="H18" s="1820"/>
      <c r="I18" s="1922"/>
      <c r="J18" s="1933"/>
      <c r="K18" s="1937"/>
      <c r="L18" s="1938" t="s">
        <v>1539</v>
      </c>
      <c r="M18" s="1939"/>
      <c r="N18" s="1939"/>
      <c r="O18" s="1940"/>
      <c r="P18" s="1861">
        <v>365</v>
      </c>
      <c r="Q18" s="1825"/>
      <c r="R18" s="1979">
        <f>ROUND(M18*N18*O18*P18/10000,0)</f>
        <v>0</v>
      </c>
      <c r="S18" s="1970"/>
      <c r="T18" s="1970"/>
      <c r="U18" s="1970"/>
      <c r="V18" s="1922"/>
    </row>
    <row r="19" s="1801" customFormat="1" customHeight="1" spans="1:22">
      <c r="A19" s="1873" t="s">
        <v>1540</v>
      </c>
      <c r="B19" s="1833"/>
      <c r="C19" s="1833"/>
      <c r="D19" s="1833"/>
      <c r="E19" s="1833"/>
      <c r="F19" s="1834"/>
      <c r="G19" s="1849"/>
      <c r="H19" s="1820"/>
      <c r="I19" s="1922"/>
      <c r="J19" s="1933"/>
      <c r="K19" s="1941"/>
      <c r="L19" s="1942" t="s">
        <v>1521</v>
      </c>
      <c r="M19" s="1943"/>
      <c r="N19" s="1943">
        <f>SUM(N16:N18)</f>
        <v>0</v>
      </c>
      <c r="O19" s="1944"/>
      <c r="P19" s="1945" t="s">
        <v>1541</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1542</v>
      </c>
      <c r="L20" s="1938" t="s">
        <v>1543</v>
      </c>
      <c r="M20" s="1939" t="s">
        <v>1544</v>
      </c>
      <c r="N20" s="1946" t="s">
        <v>1545</v>
      </c>
      <c r="O20" s="1940" t="s">
        <v>1546</v>
      </c>
      <c r="P20" s="1861" t="s">
        <v>1491</v>
      </c>
      <c r="Q20" s="1825" t="s">
        <v>124</v>
      </c>
      <c r="R20" s="1979" t="s">
        <v>1492</v>
      </c>
      <c r="S20" s="1967"/>
      <c r="T20" s="1967"/>
      <c r="U20" s="1967"/>
      <c r="V20" s="1922"/>
    </row>
    <row r="21" s="1801" customFormat="1" customHeight="1" spans="1:22">
      <c r="A21" s="1836"/>
      <c r="B21" s="1837"/>
      <c r="C21" s="1844" t="s">
        <v>1547</v>
      </c>
      <c r="D21" s="1875" t="s">
        <v>1548</v>
      </c>
      <c r="E21" s="1845" t="s">
        <v>1549</v>
      </c>
      <c r="F21" s="1874"/>
      <c r="G21" s="1849"/>
      <c r="H21" s="1820"/>
      <c r="I21" s="1922"/>
      <c r="J21" s="1933"/>
      <c r="K21" s="1937"/>
      <c r="L21" s="1938" t="s">
        <v>1550</v>
      </c>
      <c r="M21" s="1939"/>
      <c r="N21" s="1939"/>
      <c r="O21" s="1940"/>
      <c r="P21" s="1861">
        <v>365</v>
      </c>
      <c r="Q21" s="1825"/>
      <c r="R21" s="1981">
        <f>ROUND(M21*N21*O21*P21/10000,0)</f>
        <v>0</v>
      </c>
      <c r="S21" s="1967"/>
      <c r="T21" s="1967"/>
      <c r="U21" s="1967"/>
      <c r="V21" s="1922"/>
    </row>
    <row r="22" s="1801" customFormat="1" customHeight="1" spans="1:22">
      <c r="A22" s="1836"/>
      <c r="B22" s="1837"/>
      <c r="C22" s="1876" t="s">
        <v>1551</v>
      </c>
      <c r="D22" s="1877" t="s">
        <v>1552</v>
      </c>
      <c r="E22" s="1878" t="s">
        <v>1553</v>
      </c>
      <c r="F22" s="1874"/>
      <c r="G22" s="1879"/>
      <c r="H22" s="1820"/>
      <c r="I22" s="1922"/>
      <c r="J22" s="1933"/>
      <c r="K22" s="1937"/>
      <c r="L22" s="1938" t="s">
        <v>1554</v>
      </c>
      <c r="M22" s="1939"/>
      <c r="N22" s="1939"/>
      <c r="O22" s="1940"/>
      <c r="P22" s="1861">
        <v>365</v>
      </c>
      <c r="Q22" s="1825"/>
      <c r="R22" s="1981">
        <f>ROUND(M22*N22*O22*P22/10000,0)</f>
        <v>0</v>
      </c>
      <c r="S22" s="1967"/>
      <c r="T22" s="1967"/>
      <c r="U22" s="1967"/>
      <c r="V22" s="1922"/>
    </row>
    <row r="23" s="1801" customFormat="1" customHeight="1" spans="1:22">
      <c r="A23" s="1880">
        <v>1</v>
      </c>
      <c r="B23" s="1881" t="s">
        <v>1555</v>
      </c>
      <c r="C23" s="1882">
        <f>D6</f>
        <v>0</v>
      </c>
      <c r="D23" s="1883">
        <f>C23*(1+D24)</f>
        <v>0</v>
      </c>
      <c r="E23" s="1884">
        <f>D23*(1+E24)</f>
        <v>0</v>
      </c>
      <c r="F23" s="1885"/>
      <c r="G23" s="1886"/>
      <c r="H23" s="1820"/>
      <c r="I23" s="1922"/>
      <c r="J23" s="1933"/>
      <c r="K23" s="1937"/>
      <c r="L23" s="1938" t="s">
        <v>1556</v>
      </c>
      <c r="M23" s="1939"/>
      <c r="N23" s="1939"/>
      <c r="O23" s="1940"/>
      <c r="P23" s="1861">
        <v>365</v>
      </c>
      <c r="Q23" s="1825"/>
      <c r="R23" s="1981">
        <f>ROUND(M23*N23*O23*P23/10000,0)</f>
        <v>0</v>
      </c>
      <c r="S23" s="1970"/>
      <c r="T23" s="1970"/>
      <c r="U23" s="1970"/>
      <c r="V23" s="1922"/>
    </row>
    <row r="24" s="1801" customFormat="1" customHeight="1" spans="1:22">
      <c r="A24" s="1887"/>
      <c r="B24" s="1888" t="s">
        <v>1557</v>
      </c>
      <c r="C24" s="1889"/>
      <c r="D24" s="1890"/>
      <c r="E24" s="1891"/>
      <c r="F24" s="1892"/>
      <c r="G24" s="1886"/>
      <c r="H24" s="1820"/>
      <c r="I24" s="1922"/>
      <c r="J24" s="1933"/>
      <c r="K24" s="1941"/>
      <c r="L24" s="1942" t="s">
        <v>1521</v>
      </c>
      <c r="M24" s="1943">
        <f>SUM(M21:M23)</f>
        <v>0</v>
      </c>
      <c r="N24" s="1943"/>
      <c r="O24" s="1944"/>
      <c r="P24" s="1945" t="s">
        <v>1541</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1558</v>
      </c>
      <c r="L25" s="1948"/>
      <c r="M25" s="1948"/>
      <c r="N25" s="1948"/>
      <c r="O25" s="1948"/>
      <c r="P25" s="1949"/>
      <c r="Q25" s="1982">
        <v>0</v>
      </c>
      <c r="R25" s="1980">
        <f>ROUND(R14*Q25,0)</f>
        <v>0</v>
      </c>
      <c r="S25" s="1970"/>
      <c r="T25" s="1970"/>
      <c r="U25" s="1970"/>
      <c r="V25" s="1956"/>
    </row>
    <row r="26" s="1802" customFormat="1" customHeight="1" spans="1:22">
      <c r="A26" s="1880">
        <v>2</v>
      </c>
      <c r="B26" s="1881" t="s">
        <v>1559</v>
      </c>
      <c r="C26" s="1882">
        <f>D7</f>
        <v>0</v>
      </c>
      <c r="D26" s="1883">
        <f>D23*D27</f>
        <v>0</v>
      </c>
      <c r="E26" s="1884">
        <f>E23*E27</f>
        <v>0</v>
      </c>
      <c r="F26" s="1885"/>
      <c r="G26" s="1886"/>
      <c r="H26" s="1820"/>
      <c r="I26" s="1922"/>
      <c r="J26" s="1950">
        <v>5</v>
      </c>
      <c r="K26" s="1951" t="s">
        <v>1560</v>
      </c>
      <c r="L26" s="1952"/>
      <c r="M26" s="1953"/>
      <c r="N26" s="1954" t="s">
        <v>458</v>
      </c>
      <c r="O26" s="1954" t="s">
        <v>1561</v>
      </c>
      <c r="P26" s="1955" t="s">
        <v>1562</v>
      </c>
      <c r="Q26" s="1955" t="s">
        <v>1563</v>
      </c>
      <c r="R26" s="1974" t="s">
        <v>1492</v>
      </c>
      <c r="S26" s="1983"/>
      <c r="T26" s="1983"/>
      <c r="U26" s="1983"/>
      <c r="V26" s="1956"/>
    </row>
    <row r="27" s="1801" customFormat="1" customHeight="1" spans="1:22">
      <c r="A27" s="1887"/>
      <c r="B27" s="1888" t="s">
        <v>1564</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1565</v>
      </c>
      <c r="F28" s="1892"/>
      <c r="G28" s="1879"/>
      <c r="H28" s="1894"/>
      <c r="I28" s="1956"/>
      <c r="J28" s="1962">
        <v>6</v>
      </c>
      <c r="K28" s="1963" t="s">
        <v>1566</v>
      </c>
      <c r="L28" s="1964" t="s">
        <v>1567</v>
      </c>
      <c r="M28" s="1965"/>
      <c r="N28" s="1964" t="s">
        <v>1568</v>
      </c>
      <c r="O28" s="1966"/>
      <c r="P28" s="1964" t="s">
        <v>1569</v>
      </c>
      <c r="Q28" s="1985">
        <v>0.015</v>
      </c>
      <c r="R28" s="1986"/>
      <c r="S28" s="1967"/>
      <c r="T28" s="1967"/>
      <c r="U28" s="1967"/>
      <c r="V28" s="1956"/>
    </row>
    <row r="29" s="1802" customFormat="1" customHeight="1" spans="1:22">
      <c r="A29" s="1880">
        <v>3</v>
      </c>
      <c r="B29" s="1881" t="s">
        <v>1570</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1564</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1571</v>
      </c>
      <c r="K31" s="1921"/>
      <c r="L31" s="1921"/>
      <c r="M31" s="1921"/>
      <c r="N31" s="1921"/>
      <c r="O31" s="1921"/>
      <c r="P31" s="1921"/>
      <c r="Q31" s="1921"/>
      <c r="R31" s="1969"/>
      <c r="S31" s="1967"/>
      <c r="T31" s="1970"/>
      <c r="U31" s="1970"/>
      <c r="V31" s="1956"/>
    </row>
    <row r="32" s="1802" customFormat="1" customHeight="1" spans="1:22">
      <c r="A32" s="1880">
        <v>4</v>
      </c>
      <c r="B32" s="1881" t="s">
        <v>1572</v>
      </c>
      <c r="C32" s="1882">
        <f>C23-C26-C29</f>
        <v>0</v>
      </c>
      <c r="D32" s="1883">
        <f>D23-D26-D29</f>
        <v>0</v>
      </c>
      <c r="E32" s="1884">
        <f>E23-E26-E29</f>
        <v>0</v>
      </c>
      <c r="F32" s="1885"/>
      <c r="G32" s="1879"/>
      <c r="H32" s="1820"/>
      <c r="I32" s="1922"/>
      <c r="J32" s="1923" t="s">
        <v>1470</v>
      </c>
      <c r="K32" s="1924"/>
      <c r="L32" s="1925" t="s">
        <v>1471</v>
      </c>
      <c r="M32" s="1925" t="s">
        <v>1472</v>
      </c>
      <c r="N32" s="1925" t="s">
        <v>1473</v>
      </c>
      <c r="O32" s="1925" t="s">
        <v>1474</v>
      </c>
      <c r="P32" s="1925" t="s">
        <v>1475</v>
      </c>
      <c r="Q32" s="1971" t="s">
        <v>1476</v>
      </c>
      <c r="R32" s="1987" t="s">
        <v>1477</v>
      </c>
      <c r="S32" s="1967"/>
      <c r="T32" s="1970"/>
      <c r="U32" s="1970"/>
      <c r="V32" s="1956"/>
    </row>
    <row r="33" s="1801" customFormat="1" customHeight="1" spans="1:22">
      <c r="A33" s="1880"/>
      <c r="B33" s="1881"/>
      <c r="C33" s="1882"/>
      <c r="D33" s="1897"/>
      <c r="E33" s="1855"/>
      <c r="F33" s="1885"/>
      <c r="G33" s="1879"/>
      <c r="H33" s="1894"/>
      <c r="I33" s="1956"/>
      <c r="J33" s="1926" t="s">
        <v>1478</v>
      </c>
      <c r="K33" s="1927"/>
      <c r="L33" s="1928"/>
      <c r="M33" s="1928"/>
      <c r="N33" s="1928"/>
      <c r="O33" s="1928"/>
      <c r="P33" s="1928"/>
      <c r="Q33" s="1973"/>
      <c r="R33" s="1988">
        <f>SUM(L33:Q33)</f>
        <v>0</v>
      </c>
      <c r="S33" s="1967"/>
      <c r="T33" s="1970"/>
      <c r="U33" s="1970"/>
      <c r="V33" s="1922"/>
    </row>
    <row r="34" s="1801" customFormat="1" customHeight="1" spans="1:22">
      <c r="A34" s="1880">
        <v>5</v>
      </c>
      <c r="B34" s="1881" t="s">
        <v>1573</v>
      </c>
      <c r="C34" s="1898"/>
      <c r="D34" s="1899"/>
      <c r="E34" s="1900"/>
      <c r="F34" s="1885"/>
      <c r="G34" s="1879"/>
      <c r="H34" s="1894"/>
      <c r="I34" s="1956"/>
      <c r="J34" s="1926" t="s">
        <v>1480</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1574</v>
      </c>
      <c r="C35" s="1901"/>
      <c r="D35" s="1902"/>
      <c r="E35" s="1903"/>
      <c r="F35" s="1885"/>
      <c r="G35" s="1904"/>
      <c r="H35" s="1820"/>
      <c r="I35" s="1956"/>
      <c r="J35" s="1930" t="s">
        <v>1482</v>
      </c>
      <c r="K35" s="1931"/>
      <c r="L35" s="1931"/>
      <c r="M35" s="1932"/>
      <c r="N35" s="1932"/>
      <c r="O35" s="1932"/>
      <c r="P35" s="1932"/>
      <c r="Q35" s="1932"/>
      <c r="R35" s="1990">
        <f>R40+R41+R43</f>
        <v>0</v>
      </c>
      <c r="S35" s="1967"/>
      <c r="T35" s="1970" t="s">
        <v>1483</v>
      </c>
      <c r="U35" s="1970"/>
      <c r="V35" s="1922"/>
    </row>
    <row r="36" s="1801" customFormat="1" customHeight="1" spans="1:22">
      <c r="A36" s="1880">
        <v>7</v>
      </c>
      <c r="B36" s="1905" t="s">
        <v>1575</v>
      </c>
      <c r="C36" s="1906"/>
      <c r="D36" s="1907"/>
      <c r="E36" s="1908"/>
      <c r="F36" s="1909">
        <f>C36+D36+E36</f>
        <v>0</v>
      </c>
      <c r="G36" s="1879"/>
      <c r="H36" s="1820"/>
      <c r="I36" s="1922"/>
      <c r="J36" s="1933">
        <v>1</v>
      </c>
      <c r="K36" s="1934" t="s">
        <v>1576</v>
      </c>
      <c r="L36" s="1935"/>
      <c r="M36" s="1936"/>
      <c r="N36" s="1936"/>
      <c r="O36" s="1936"/>
      <c r="P36" s="1936"/>
      <c r="Q36" s="1936"/>
      <c r="R36" s="1974" t="s">
        <v>1492</v>
      </c>
      <c r="S36" s="1967"/>
      <c r="T36" s="1970" t="s">
        <v>1493</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1496</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1503</v>
      </c>
      <c r="U38" s="1970"/>
      <c r="V38" s="1922"/>
    </row>
    <row r="39" s="1801" customFormat="1" customHeight="1" spans="1:22">
      <c r="A39" s="1880">
        <v>9</v>
      </c>
      <c r="B39" s="1881" t="s">
        <v>1577</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1578</v>
      </c>
      <c r="C40" s="1912" t="e">
        <f>C39+D39+E39</f>
        <v>#DIV/0!</v>
      </c>
      <c r="D40" s="1913"/>
      <c r="E40" s="1913"/>
      <c r="F40" s="1914"/>
      <c r="G40" s="1879"/>
      <c r="H40" s="1820"/>
      <c r="I40" s="1922"/>
      <c r="J40" s="1933"/>
      <c r="K40" s="1941"/>
      <c r="L40" s="1942" t="s">
        <v>1521</v>
      </c>
      <c r="M40" s="1943"/>
      <c r="N40" s="1943"/>
      <c r="O40" s="1944"/>
      <c r="P40" s="1944"/>
      <c r="Q40" s="1978"/>
      <c r="R40" s="1972">
        <f>SUM(R37:R39)</f>
        <v>0</v>
      </c>
      <c r="S40" s="1967"/>
      <c r="T40" s="1970"/>
      <c r="U40" s="1970"/>
      <c r="V40" s="1922"/>
    </row>
    <row r="41" s="1801" customFormat="1" customHeight="1" spans="1:22">
      <c r="A41" s="1915">
        <v>11</v>
      </c>
      <c r="B41" s="1916" t="s">
        <v>1579</v>
      </c>
      <c r="C41" s="1916" t="e">
        <f>ROUND(C40*10000/B4,0)</f>
        <v>#DIV/0!</v>
      </c>
      <c r="D41" s="1917"/>
      <c r="E41" s="1917"/>
      <c r="F41" s="1918"/>
      <c r="G41" s="1919"/>
      <c r="H41" s="1820"/>
      <c r="I41" s="1922"/>
      <c r="J41" s="1933">
        <v>2</v>
      </c>
      <c r="K41" s="1947" t="s">
        <v>1558</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1560</v>
      </c>
      <c r="L42" s="1952"/>
      <c r="M42" s="1953"/>
      <c r="N42" s="1954" t="s">
        <v>458</v>
      </c>
      <c r="O42" s="1954" t="s">
        <v>1561</v>
      </c>
      <c r="P42" s="1955" t="s">
        <v>1562</v>
      </c>
      <c r="Q42" s="1955" t="s">
        <v>1563</v>
      </c>
      <c r="R42" s="1974" t="s">
        <v>1492</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1566</v>
      </c>
      <c r="L44" s="1968" t="s">
        <v>1567</v>
      </c>
      <c r="M44" s="1965"/>
      <c r="N44" s="1968" t="s">
        <v>1568</v>
      </c>
      <c r="O44" s="1965"/>
      <c r="P44" s="1968" t="s">
        <v>1569</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1580</v>
      </c>
      <c r="B1" s="1776"/>
      <c r="C1" s="1776"/>
      <c r="D1" s="1776"/>
      <c r="E1" s="1777"/>
      <c r="F1" s="1778"/>
      <c r="G1" s="1779"/>
      <c r="H1" s="1779"/>
      <c r="I1" s="1779"/>
      <c r="J1" s="1779"/>
      <c r="K1" s="1779"/>
      <c r="L1" s="1779"/>
      <c r="M1" s="1779"/>
      <c r="N1" s="1779"/>
      <c r="O1" s="1779"/>
      <c r="P1" s="1779"/>
      <c r="Q1" s="1779"/>
      <c r="R1" s="1779"/>
      <c r="S1" s="1779"/>
    </row>
    <row r="2" spans="1:19">
      <c r="A2" s="1780" t="s">
        <v>988</v>
      </c>
      <c r="B2" s="1781">
        <f ca="1">SUMIF(B6:B13,"&lt;&gt;#ref!",B6:B13)</f>
        <v>396.735</v>
      </c>
      <c r="C2" s="1782" t="s">
        <v>1581</v>
      </c>
      <c r="D2" s="1783" t="s">
        <v>1582</v>
      </c>
      <c r="E2" s="1784">
        <f>SUM(E6:E13)</f>
        <v>69.7</v>
      </c>
      <c r="F2" s="1778"/>
      <c r="G2" s="1779"/>
      <c r="H2" s="1779"/>
      <c r="I2" s="1779"/>
      <c r="J2" s="1779"/>
      <c r="K2" s="1779"/>
      <c r="L2" s="1779"/>
      <c r="M2" s="1779"/>
      <c r="N2" s="1779"/>
      <c r="O2" s="1779"/>
      <c r="P2" s="1779"/>
      <c r="Q2" s="1779"/>
      <c r="R2" s="1779"/>
      <c r="S2" s="1779"/>
    </row>
    <row r="3" spans="1:19">
      <c r="A3" s="1780" t="s">
        <v>990</v>
      </c>
      <c r="B3" s="1785">
        <f ca="1">ROUND(B2*10000/E2,0)</f>
        <v>56920</v>
      </c>
      <c r="C3" s="1782" t="s">
        <v>1583</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1584</v>
      </c>
      <c r="B5" s="1790" t="s">
        <v>1585</v>
      </c>
      <c r="C5" s="1791"/>
      <c r="D5" s="1792"/>
      <c r="E5" s="1793" t="s">
        <v>1586</v>
      </c>
      <c r="F5" s="1794" t="s">
        <v>1587</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396.735</v>
      </c>
      <c r="C6" s="1782" t="s">
        <v>1581</v>
      </c>
      <c r="D6" s="1786"/>
      <c r="E6" s="1796">
        <f>IF(OR(A6=0,F6="否"),0,'数据-取费表'!K6+'数据-取费表'!S6)</f>
        <v>69.7</v>
      </c>
      <c r="F6" s="1797" t="s">
        <v>1588</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1581</v>
      </c>
      <c r="D7" s="1786"/>
      <c r="E7" s="1796">
        <f>IF(OR(A7=0,F7="否"),0,'数据-取费表'!K7+'数据-取费表'!S7)</f>
        <v>0</v>
      </c>
      <c r="F7" s="1797" t="s">
        <v>1588</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1581</v>
      </c>
      <c r="D8" s="1786"/>
      <c r="E8" s="1796">
        <f>IF(OR(A8=0,F8="否"),0,'数据-取费表'!K8+'数据-取费表'!S8)</f>
        <v>0</v>
      </c>
      <c r="F8" s="1797" t="s">
        <v>1588</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1581</v>
      </c>
      <c r="D9" s="1786"/>
      <c r="E9" s="1796">
        <f>IF(OR(A9=0,F9="否"),0,'数据-取费表'!K9+'数据-取费表'!S9)</f>
        <v>0</v>
      </c>
      <c r="F9" s="1797" t="s">
        <v>1588</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1581</v>
      </c>
      <c r="D10" s="1786"/>
      <c r="E10" s="1796">
        <f>IF(OR(A10=0,F10="否"),0,'数据-取费表'!K10+'数据-取费表'!S10)</f>
        <v>0</v>
      </c>
      <c r="F10" s="1797" t="s">
        <v>1588</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1581</v>
      </c>
      <c r="D11" s="1786"/>
      <c r="E11" s="1796">
        <f>IF(OR(A11=0,F11="否"),0,'数据-取费表'!K11+'数据-取费表'!S11)</f>
        <v>0</v>
      </c>
      <c r="F11" s="1797" t="s">
        <v>1588</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1581</v>
      </c>
      <c r="D12" s="1786"/>
      <c r="E12" s="1796">
        <f>IF(OR(A12=0,F12="否"),0,'数据-取费表'!K12+'数据-取费表'!S12)</f>
        <v>0</v>
      </c>
      <c r="F12" s="1797" t="s">
        <v>1588</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1581</v>
      </c>
      <c r="D13" s="1800"/>
      <c r="E13" s="1796">
        <f>IF(OR(A13=0,F13="否"),0,'数据-取费表'!K13+'数据-取费表'!S13)</f>
        <v>0</v>
      </c>
      <c r="F13" s="1797" t="s">
        <v>1588</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1589</v>
      </c>
      <c r="C1" s="1594" t="s">
        <v>1145</v>
      </c>
      <c r="D1" s="1537"/>
      <c r="E1" s="1754"/>
      <c r="F1" s="1539"/>
      <c r="G1" s="1540" t="s">
        <v>1148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988</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990</v>
      </c>
      <c r="B3" s="1132">
        <f ca="1">IF(C2="——",C49,ROUND(B2*10000/D3,0))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36"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6" si="3">D8/F8</f>
        <v>1</v>
      </c>
      <c r="AB8" s="1376">
        <f t="shared" ref="AB8:AB46" si="4">D8/H8</f>
        <v>1</v>
      </c>
      <c r="AC8" s="1376">
        <f t="shared" ref="AC8:AC46" si="5">D8/J8</f>
        <v>1</v>
      </c>
    </row>
    <row r="9" s="1115" customFormat="1" spans="1:29">
      <c r="A9" s="1160" t="s">
        <v>1169</v>
      </c>
      <c r="B9" s="1161" t="s">
        <v>1170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1175</v>
      </c>
      <c r="B15" s="1503" t="s">
        <v>1590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1177</v>
      </c>
      <c r="Q15" s="700" t="str">
        <f t="shared" si="6"/>
        <v>商业繁华度</v>
      </c>
      <c r="R15" s="1362" t="s">
        <v>1165</v>
      </c>
      <c r="S15" s="1363">
        <f t="shared" si="0"/>
        <v>100</v>
      </c>
      <c r="T15" s="1362" t="s">
        <v>1165</v>
      </c>
      <c r="U15" s="1363">
        <f t="shared" si="1"/>
        <v>100</v>
      </c>
      <c r="V15" s="1362" t="s">
        <v>1165</v>
      </c>
      <c r="W15" s="1363">
        <f t="shared" si="2"/>
        <v>100</v>
      </c>
      <c r="X15" s="1349"/>
      <c r="Y15" s="1314" t="s">
        <v>1177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1592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1594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100</v>
      </c>
      <c r="V28" s="1362" t="s">
        <v>1165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1195</v>
      </c>
      <c r="B32" s="1161" t="s">
        <v>1595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1199</v>
      </c>
      <c r="Q32" s="700" t="str">
        <f t="shared" si="11"/>
        <v>商业类型</v>
      </c>
      <c r="R32" s="1362" t="s">
        <v>1165</v>
      </c>
      <c r="S32" s="1363">
        <f t="shared" si="12"/>
        <v>100</v>
      </c>
      <c r="T32" s="1362" t="s">
        <v>1165</v>
      </c>
      <c r="U32" s="1363">
        <f t="shared" si="13"/>
        <v>100</v>
      </c>
      <c r="V32" s="1362" t="s">
        <v>1165</v>
      </c>
      <c r="W32" s="1363">
        <f t="shared" si="14"/>
        <v>100</v>
      </c>
      <c r="X32" s="1349"/>
      <c r="Y32" s="1324" t="s">
        <v>1199</v>
      </c>
      <c r="Z32" s="1336" t="str">
        <f t="shared" si="15"/>
        <v>商业类型</v>
      </c>
      <c r="AA32" s="1378">
        <f t="shared" si="3"/>
        <v>1</v>
      </c>
      <c r="AB32" s="1378">
        <f t="shared" si="4"/>
        <v>1</v>
      </c>
      <c r="AC32" s="1378">
        <f t="shared" si="5"/>
        <v>1</v>
      </c>
    </row>
    <row r="33" s="1117" customFormat="1" ht="15" spans="1:29">
      <c r="A33" s="1224"/>
      <c r="B33" s="1165" t="s">
        <v>1200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1201</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1165</v>
      </c>
      <c r="S36" s="1363" t="e">
        <f t="shared" si="12"/>
        <v>#N/A</v>
      </c>
      <c r="T36" s="1362" t="s">
        <v>1165</v>
      </c>
      <c r="U36" s="1363" t="e">
        <f t="shared" si="13"/>
        <v>#N/A</v>
      </c>
      <c r="V36" s="1362" t="s">
        <v>1165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1205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1199</v>
      </c>
      <c r="Q38" s="700" t="str">
        <f t="shared" si="11"/>
        <v>业态</v>
      </c>
      <c r="R38" s="1362" t="s">
        <v>1165</v>
      </c>
      <c r="S38" s="1363">
        <f t="shared" si="12"/>
        <v>100</v>
      </c>
      <c r="T38" s="1362" t="s">
        <v>1165</v>
      </c>
      <c r="U38" s="1363">
        <f t="shared" si="13"/>
        <v>100</v>
      </c>
      <c r="V38" s="1362" t="s">
        <v>1165</v>
      </c>
      <c r="W38" s="1363">
        <f t="shared" si="14"/>
        <v>100</v>
      </c>
      <c r="X38" s="1349"/>
      <c r="Y38" s="1324" t="s">
        <v>1199</v>
      </c>
      <c r="Z38" s="1336" t="str">
        <f t="shared" si="15"/>
        <v>业态</v>
      </c>
      <c r="AA38" s="1378">
        <f t="shared" si="3"/>
        <v>1</v>
      </c>
      <c r="AB38" s="1378">
        <f t="shared" si="4"/>
        <v>1</v>
      </c>
      <c r="AC38" s="1378">
        <f t="shared" si="5"/>
        <v>1</v>
      </c>
    </row>
    <row r="39" ht="15" spans="1:29">
      <c r="A39" s="1219"/>
      <c r="B39" s="1165" t="s">
        <v>1597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1598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1212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1214</v>
      </c>
      <c r="B48" s="1581"/>
      <c r="C48" s="1582" t="e">
        <f>R49</f>
        <v>#DIV/0!</v>
      </c>
      <c r="D48" s="1237" t="s">
        <v>1215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1220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1221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1166</v>
      </c>
      <c r="B61" s="1392"/>
      <c r="C61" s="1393" t="s">
        <v>1222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1223</v>
      </c>
      <c r="B63" s="1398" t="s">
        <v>1170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1173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1174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1175</v>
      </c>
      <c r="B76" s="1398" t="s">
        <v>1176</v>
      </c>
      <c r="C76" s="1419" t="s">
        <v>1224</v>
      </c>
      <c r="D76" s="1419" t="s">
        <v>1225</v>
      </c>
      <c r="E76" s="1419" t="s">
        <v>1226</v>
      </c>
      <c r="F76" s="1419" t="s">
        <v>1227</v>
      </c>
      <c r="G76" s="1419" t="s">
        <v>1228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1179</v>
      </c>
      <c r="C78" s="1421" t="s">
        <v>1224</v>
      </c>
      <c r="D78" s="1421" t="s">
        <v>1225</v>
      </c>
      <c r="E78" s="1421" t="s">
        <v>1226</v>
      </c>
      <c r="F78" s="1421" t="s">
        <v>1227</v>
      </c>
      <c r="G78" s="1421" t="s">
        <v>1228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1181</v>
      </c>
      <c r="C80" s="1421" t="s">
        <v>1224</v>
      </c>
      <c r="D80" s="1421" t="s">
        <v>1225</v>
      </c>
      <c r="E80" s="1421" t="s">
        <v>1226</v>
      </c>
      <c r="F80" s="1421" t="s">
        <v>1227</v>
      </c>
      <c r="G80" s="1421" t="s">
        <v>1228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1182</v>
      </c>
      <c r="C82" s="1426" t="s">
        <v>1229</v>
      </c>
      <c r="D82" s="1426" t="s">
        <v>1230</v>
      </c>
      <c r="E82" s="1426" t="s">
        <v>1231</v>
      </c>
      <c r="F82" s="1426" t="s">
        <v>1232</v>
      </c>
      <c r="G82" s="1426" t="s">
        <v>1233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1183</v>
      </c>
      <c r="C84" s="1421" t="s">
        <v>1224</v>
      </c>
      <c r="D84" s="1421" t="s">
        <v>1225</v>
      </c>
      <c r="E84" s="1421" t="s">
        <v>1226</v>
      </c>
      <c r="F84" s="1421" t="s">
        <v>1227</v>
      </c>
      <c r="G84" s="1421" t="s">
        <v>1228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1195</v>
      </c>
      <c r="B100" s="1398" t="s">
        <v>1595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1200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1201</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1203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1205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1208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1212</v>
      </c>
      <c r="C124" s="1421" t="s">
        <v>1224</v>
      </c>
      <c r="D124" s="1421" t="s">
        <v>1225</v>
      </c>
      <c r="E124" s="1421" t="s">
        <v>1226</v>
      </c>
      <c r="F124" s="1421" t="s">
        <v>1227</v>
      </c>
      <c r="G124" s="1421" t="s">
        <v>1228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5" t="s">
        <v>82</v>
      </c>
    </row>
    <row r="2" spans="1:1">
      <c r="A2" s="3686"/>
    </row>
    <row r="3" ht="18" spans="1:1">
      <c r="A3" s="3687" t="str">
        <f>项目基本情况!B5&amp;"："</f>
        <v>：</v>
      </c>
    </row>
    <row r="4" ht="18.75" spans="1:1">
      <c r="A4" s="3688" t="str">
        <f>"受贵公司委托，我公司对"&amp;项目基本情况!S1&amp;"进行了预评估。"</f>
        <v>受贵公司委托，我公司对北京市房地产市场价值进行了预评估。</v>
      </c>
    </row>
    <row r="5" ht="18.75" spans="1:1">
      <c r="A5" s="3689" t="s">
        <v>83</v>
      </c>
    </row>
    <row r="6" ht="18.75" spans="1:1">
      <c r="A6" s="3690" t="s">
        <v>84</v>
      </c>
    </row>
    <row r="7" ht="37.5"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ht="56.25" spans="1:1">
      <c r="A8" s="3691" t="s">
        <v>85</v>
      </c>
    </row>
    <row r="9" ht="18.75" spans="1:1">
      <c r="A9" s="3690" t="s">
        <v>86</v>
      </c>
    </row>
    <row r="10" ht="56.25"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ht="75" spans="1:1">
      <c r="A11" s="3691" t="s">
        <v>87</v>
      </c>
    </row>
    <row r="12" ht="18.75" spans="1:1">
      <c r="A12" s="3689" t="s">
        <v>88</v>
      </c>
    </row>
    <row r="13" ht="38.25" customHeight="1" spans="1:1">
      <c r="A13" s="3692" t="str">
        <f>IF(项目基本情况!B8="抵押",IF(项目基本情况!B5=项目基本情况!B6,定义!C51,定义!B51),定义!D51)</f>
        <v>为估价委托人了解估价对象房地产市场价值提供参考依据。</v>
      </c>
    </row>
    <row r="14" ht="18.75" spans="1:1">
      <c r="A14" s="3693" t="s">
        <v>89</v>
      </c>
    </row>
    <row r="15" ht="18" spans="1:1">
      <c r="A15" s="3694" t="str">
        <f>TEXT(项目基本情况!D3,"yyyy年m月d日;;")&amp;IF(项目基本情况!D3=项目基本情况!B3,"（评估专业人员实地查勘之日）","")</f>
        <v>2023年2月20日（评估专业人员实地查勘之日）</v>
      </c>
    </row>
    <row r="16" ht="18.75" spans="1:1">
      <c r="A16" s="3693" t="s">
        <v>90</v>
      </c>
    </row>
    <row r="17" ht="75" spans="1:1">
      <c r="A17" s="3688" t="s">
        <v>91</v>
      </c>
    </row>
    <row r="18" ht="56.25"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8" t="str">
        <f>IF(项目基本情况!B9="房地产市场价值","——",IF(项目基本情况!E8="房地产抵押价值",定义!C54,IF(项目基本情况!E8="已注销",定义!C55,定义!C56)))</f>
        <v>——</v>
      </c>
    </row>
    <row r="21" ht="18"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8" t="str">
        <f>IF(项目基本情况!B9="房地产市场价值","——",IF(项目基本情况!E9="——","",定义!C57))</f>
        <v>——</v>
      </c>
    </row>
    <row r="23" ht="18.75" spans="1:1">
      <c r="A23" s="3693" t="s">
        <v>92</v>
      </c>
    </row>
    <row r="24" ht="18" spans="1:1">
      <c r="A24" s="3642" t="str">
        <f>"本次评估采用的主估价方法为"&amp;结果表!K4&amp;"和"&amp;结果表!L4&amp;"。"</f>
        <v>本次评估采用的主估价方法为收益法和比较法。</v>
      </c>
    </row>
    <row r="25" ht="18" spans="1:1">
      <c r="A25" s="3642"/>
    </row>
    <row r="26" ht="18.75" spans="1:1">
      <c r="A26" s="3695"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1601</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f ca="1">IF(C2="——",C50,ROUND(B2*10000/D3,0))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726" t="s">
        <v>1156</v>
      </c>
      <c r="Q4" s="1736"/>
      <c r="R4" s="1737" t="s">
        <v>1152</v>
      </c>
      <c r="S4" s="1738"/>
      <c r="T4" s="1737" t="s">
        <v>1153</v>
      </c>
      <c r="U4" s="1738"/>
      <c r="V4" s="1256" t="s">
        <v>1154</v>
      </c>
      <c r="W4" s="1256"/>
      <c r="X4" s="1739"/>
      <c r="Y4" s="1737" t="s">
        <v>1156</v>
      </c>
      <c r="Z4" s="1738"/>
      <c r="AA4" s="1739" t="s">
        <v>1152</v>
      </c>
      <c r="AB4" s="1739" t="s">
        <v>1153</v>
      </c>
      <c r="AC4" s="1743" t="s">
        <v>1154</v>
      </c>
    </row>
    <row r="5" ht="15" spans="1:29">
      <c r="A5" s="1140"/>
      <c r="B5" s="1141"/>
      <c r="C5" s="1142" t="s">
        <v>1157</v>
      </c>
      <c r="D5" s="1143"/>
      <c r="E5" s="1144" t="s">
        <v>1158</v>
      </c>
      <c r="F5" s="1145"/>
      <c r="G5" s="1142" t="s">
        <v>1159</v>
      </c>
      <c r="H5" s="1143"/>
      <c r="I5" s="1142" t="s">
        <v>1160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1168</v>
      </c>
      <c r="Q8" s="1360"/>
      <c r="R8" s="1357" t="s">
        <v>1165</v>
      </c>
      <c r="S8" s="1358">
        <f t="shared" si="0"/>
        <v>100</v>
      </c>
      <c r="T8" s="1357" t="s">
        <v>1165</v>
      </c>
      <c r="U8" s="1358">
        <f t="shared" si="1"/>
        <v>100</v>
      </c>
      <c r="V8" s="1357" t="s">
        <v>1165</v>
      </c>
      <c r="W8" s="1358">
        <f t="shared" si="2"/>
        <v>100</v>
      </c>
      <c r="X8" s="1359"/>
      <c r="Y8" s="1303" t="s">
        <v>1168</v>
      </c>
      <c r="Z8" s="1360"/>
      <c r="AA8" s="1376">
        <f t="shared" ref="AA8:AA47" si="3">D8/F8</f>
        <v>1</v>
      </c>
      <c r="AB8" s="1376">
        <f t="shared" ref="AB8:AB47" si="4">D8/H8</f>
        <v>1</v>
      </c>
      <c r="AC8" s="1745">
        <f t="shared" ref="AC8:AC47" si="5">D8/J8</f>
        <v>1</v>
      </c>
    </row>
    <row r="9" s="1115" customFormat="1" spans="1:29">
      <c r="A9" s="1160" t="s">
        <v>1169</v>
      </c>
      <c r="B9" s="1161" t="s">
        <v>1170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745">
        <f t="shared" si="5"/>
        <v>1</v>
      </c>
    </row>
    <row r="10" s="1116" customFormat="1" ht="27" spans="1:29">
      <c r="A10" s="1164"/>
      <c r="B10" s="1165" t="s">
        <v>1173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1175</v>
      </c>
      <c r="B15" s="1183" t="s">
        <v>1602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1177</v>
      </c>
      <c r="Q15" s="700" t="str">
        <f t="shared" si="6"/>
        <v>办公集聚程度</v>
      </c>
      <c r="R15" s="1362" t="s">
        <v>1165</v>
      </c>
      <c r="S15" s="1363">
        <f t="shared" si="0"/>
        <v>100</v>
      </c>
      <c r="T15" s="1362" t="s">
        <v>1165</v>
      </c>
      <c r="U15" s="1363">
        <f t="shared" si="1"/>
        <v>100</v>
      </c>
      <c r="V15" s="1362" t="s">
        <v>1165</v>
      </c>
      <c r="W15" s="1363">
        <f t="shared" si="2"/>
        <v>100</v>
      </c>
      <c r="X15" s="1349"/>
      <c r="Y15" s="1314" t="s">
        <v>1177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1179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1185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1195</v>
      </c>
      <c r="B33" s="1161" t="s">
        <v>1196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1199</v>
      </c>
      <c r="Q33" s="700" t="str">
        <f t="shared" si="11"/>
        <v>建筑类型</v>
      </c>
      <c r="R33" s="1362" t="s">
        <v>1165</v>
      </c>
      <c r="S33" s="1363">
        <f t="shared" si="12"/>
        <v>100</v>
      </c>
      <c r="T33" s="1362" t="s">
        <v>1165</v>
      </c>
      <c r="U33" s="1363">
        <f t="shared" si="13"/>
        <v>100</v>
      </c>
      <c r="V33" s="1362" t="s">
        <v>1165</v>
      </c>
      <c r="W33" s="1363">
        <f t="shared" si="14"/>
        <v>100</v>
      </c>
      <c r="X33" s="1349"/>
      <c r="Y33" s="1324" t="s">
        <v>1199</v>
      </c>
      <c r="Z33" s="1336" t="str">
        <f t="shared" si="15"/>
        <v>建筑类型</v>
      </c>
      <c r="AA33" s="1378">
        <f t="shared" si="3"/>
        <v>1</v>
      </c>
      <c r="AB33" s="1378">
        <f t="shared" si="4"/>
        <v>1</v>
      </c>
      <c r="AC33" s="1746">
        <f t="shared" si="5"/>
        <v>1</v>
      </c>
    </row>
    <row r="34" s="1117" customFormat="1" ht="15" spans="1:29">
      <c r="A34" s="1224"/>
      <c r="B34" s="1165" t="s">
        <v>1200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1201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1203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1204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1199</v>
      </c>
      <c r="Q39" s="700" t="str">
        <f t="shared" si="11"/>
        <v>物业管理</v>
      </c>
      <c r="R39" s="1362" t="s">
        <v>1165</v>
      </c>
      <c r="S39" s="1363">
        <f t="shared" si="12"/>
        <v>100</v>
      </c>
      <c r="T39" s="1362" t="s">
        <v>1165</v>
      </c>
      <c r="U39" s="1363">
        <f t="shared" si="13"/>
        <v>100</v>
      </c>
      <c r="V39" s="1362" t="s">
        <v>1165</v>
      </c>
      <c r="W39" s="1363">
        <f t="shared" si="14"/>
        <v>100</v>
      </c>
      <c r="X39" s="1349"/>
      <c r="Y39" s="1324" t="s">
        <v>1199</v>
      </c>
      <c r="Z39" s="1336" t="str">
        <f t="shared" si="15"/>
        <v>物业管理</v>
      </c>
      <c r="AA39" s="1378">
        <f t="shared" si="3"/>
        <v>1</v>
      </c>
      <c r="AB39" s="1378">
        <f t="shared" si="4"/>
        <v>1</v>
      </c>
      <c r="AC39" s="1746">
        <f t="shared" si="5"/>
        <v>1</v>
      </c>
    </row>
    <row r="40" ht="15" spans="1:29">
      <c r="A40" s="1219"/>
      <c r="B40" s="1165" t="s">
        <v>1205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1212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1213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1214</v>
      </c>
      <c r="B49" s="1581"/>
      <c r="C49" s="1582" t="e">
        <f>R50</f>
        <v>#DIV/0!</v>
      </c>
      <c r="D49" s="1237" t="s">
        <v>1215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1220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1221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1222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1223</v>
      </c>
      <c r="B64" s="1398" t="s">
        <v>1170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1175</v>
      </c>
      <c r="B77" s="1398" t="s">
        <v>1602</v>
      </c>
      <c r="C77" s="1419" t="s">
        <v>1224</v>
      </c>
      <c r="D77" s="1419" t="s">
        <v>1225</v>
      </c>
      <c r="E77" s="1419" t="s">
        <v>1226</v>
      </c>
      <c r="F77" s="1419" t="s">
        <v>1227</v>
      </c>
      <c r="G77" s="1419" t="s">
        <v>1228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1179</v>
      </c>
      <c r="C79" s="1421" t="s">
        <v>1224</v>
      </c>
      <c r="D79" s="1421" t="s">
        <v>1225</v>
      </c>
      <c r="E79" s="1421" t="s">
        <v>1226</v>
      </c>
      <c r="F79" s="1421" t="s">
        <v>1227</v>
      </c>
      <c r="G79" s="1421" t="s">
        <v>1228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1181</v>
      </c>
      <c r="C81" s="1421" t="s">
        <v>1224</v>
      </c>
      <c r="D81" s="1421" t="s">
        <v>1225</v>
      </c>
      <c r="E81" s="1421" t="s">
        <v>1226</v>
      </c>
      <c r="F81" s="1421" t="s">
        <v>1227</v>
      </c>
      <c r="G81" s="1421" t="s">
        <v>1228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1182</v>
      </c>
      <c r="C83" s="1426" t="s">
        <v>1229</v>
      </c>
      <c r="D83" s="1426" t="s">
        <v>1230</v>
      </c>
      <c r="E83" s="1426" t="s">
        <v>1231</v>
      </c>
      <c r="F83" s="1426" t="s">
        <v>1232</v>
      </c>
      <c r="G83" s="1426" t="s">
        <v>1233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1603</v>
      </c>
      <c r="C85" s="1421" t="s">
        <v>1224</v>
      </c>
      <c r="D85" s="1421" t="s">
        <v>1225</v>
      </c>
      <c r="E85" s="1421" t="s">
        <v>1226</v>
      </c>
      <c r="F85" s="1421" t="s">
        <v>1227</v>
      </c>
      <c r="G85" s="1421" t="s">
        <v>1228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1195</v>
      </c>
      <c r="B101" s="1398" t="s">
        <v>1196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1200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1201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1203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1204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1212</v>
      </c>
      <c r="C125" s="1421" t="s">
        <v>1224</v>
      </c>
      <c r="D125" s="1421" t="s">
        <v>1225</v>
      </c>
      <c r="E125" s="1421" t="s">
        <v>1226</v>
      </c>
      <c r="F125" s="1421" t="s">
        <v>1227</v>
      </c>
      <c r="G125" s="1421" t="s">
        <v>1228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1608</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990</v>
      </c>
      <c r="B3" s="1132">
        <f ca="1">IF(C2="——",C43,ROUND(B2*10000/D3,0))</f>
        <v>0</v>
      </c>
      <c r="C3" s="1547" t="s">
        <v>1149</v>
      </c>
      <c r="D3" s="1548">
        <f>IF(D1="",'数据-汇总表'!E3,SUMIF('数据-汇总表'!$C19:$C33,D1,'数据-汇总表'!$E19:$E33))</f>
        <v>69.7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677"/>
      <c r="M4" s="1678"/>
      <c r="N4" s="1678"/>
      <c r="O4" s="1678"/>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0" si="3">D8/F8</f>
        <v>1</v>
      </c>
      <c r="AB8" s="1376">
        <f t="shared" ref="AB8:AB40" si="4">D8/H8</f>
        <v>1</v>
      </c>
      <c r="AC8" s="1376">
        <f t="shared" ref="AC8:AC40" si="5">D8/J8</f>
        <v>1</v>
      </c>
    </row>
    <row r="9" s="1115" customFormat="1" spans="1:29">
      <c r="A9" s="1160" t="s">
        <v>1169</v>
      </c>
      <c r="B9" s="1161" t="s">
        <v>1170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503" t="s">
        <v>1609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1195</v>
      </c>
      <c r="B29" s="1161" t="s">
        <v>1196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1199</v>
      </c>
      <c r="Q29" s="700" t="str">
        <f t="shared" si="11"/>
        <v>建筑类型</v>
      </c>
      <c r="R29" s="1362" t="s">
        <v>1165</v>
      </c>
      <c r="S29" s="1363">
        <f t="shared" si="12"/>
        <v>100</v>
      </c>
      <c r="T29" s="1362" t="s">
        <v>1165</v>
      </c>
      <c r="U29" s="1363">
        <f t="shared" si="13"/>
        <v>100</v>
      </c>
      <c r="V29" s="1362" t="s">
        <v>1165</v>
      </c>
      <c r="W29" s="1363">
        <f t="shared" si="14"/>
        <v>100</v>
      </c>
      <c r="X29" s="1349"/>
      <c r="Y29" s="1324" t="s">
        <v>1199</v>
      </c>
      <c r="Z29" s="1336" t="str">
        <f t="shared" si="15"/>
        <v>建筑类型</v>
      </c>
      <c r="AA29" s="1378">
        <f t="shared" si="3"/>
        <v>1</v>
      </c>
      <c r="AB29" s="1378">
        <f t="shared" si="4"/>
        <v>1</v>
      </c>
      <c r="AC29" s="1378">
        <f t="shared" si="5"/>
        <v>1</v>
      </c>
    </row>
    <row r="30" s="1117" customFormat="1" ht="15" spans="1:29">
      <c r="A30" s="1224"/>
      <c r="B30" s="1165" t="s">
        <v>1200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1201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1203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1204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1199</v>
      </c>
      <c r="Q35" s="700" t="str">
        <f t="shared" si="11"/>
        <v>市政基础设施</v>
      </c>
      <c r="R35" s="1362" t="s">
        <v>1165</v>
      </c>
      <c r="S35" s="1363">
        <f t="shared" si="12"/>
        <v>100</v>
      </c>
      <c r="T35" s="1362" t="s">
        <v>1165</v>
      </c>
      <c r="U35" s="1363">
        <f t="shared" si="13"/>
        <v>100</v>
      </c>
      <c r="V35" s="1362" t="s">
        <v>1165</v>
      </c>
      <c r="W35" s="1363">
        <f t="shared" si="14"/>
        <v>100</v>
      </c>
      <c r="X35" s="1349"/>
      <c r="Y35" s="1324" t="s">
        <v>1199</v>
      </c>
      <c r="Z35" s="1336" t="str">
        <f t="shared" si="15"/>
        <v>市政基础设施</v>
      </c>
      <c r="AA35" s="1378">
        <f t="shared" si="3"/>
        <v>1</v>
      </c>
      <c r="AB35" s="1378">
        <f t="shared" si="4"/>
        <v>1</v>
      </c>
      <c r="AC35" s="1378">
        <f t="shared" si="5"/>
        <v>1</v>
      </c>
    </row>
    <row r="36" ht="15" spans="1:29">
      <c r="A36" s="1219"/>
      <c r="B36" s="1165" t="s">
        <v>1208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1610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1213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1214</v>
      </c>
      <c r="B42" s="1581"/>
      <c r="C42" s="1582" t="e">
        <f>R43</f>
        <v>#DIV/0!</v>
      </c>
      <c r="D42" s="1237" t="s">
        <v>1215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1220</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1221</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1222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1223</v>
      </c>
      <c r="B57" s="1398" t="s">
        <v>1170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1175</v>
      </c>
      <c r="B70" s="1398" t="s">
        <v>1609</v>
      </c>
      <c r="C70" s="1419" t="s">
        <v>1224</v>
      </c>
      <c r="D70" s="1419" t="s">
        <v>1225</v>
      </c>
      <c r="E70" s="1419" t="s">
        <v>1226</v>
      </c>
      <c r="F70" s="1419" t="s">
        <v>1227</v>
      </c>
      <c r="G70" s="1419" t="s">
        <v>1228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1179</v>
      </c>
      <c r="C72" s="1421" t="s">
        <v>1224</v>
      </c>
      <c r="D72" s="1421" t="s">
        <v>1225</v>
      </c>
      <c r="E72" s="1421" t="s">
        <v>1226</v>
      </c>
      <c r="F72" s="1421" t="s">
        <v>1227</v>
      </c>
      <c r="G72" s="1421" t="s">
        <v>1228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1181</v>
      </c>
      <c r="C74" s="1421" t="s">
        <v>1224</v>
      </c>
      <c r="D74" s="1421" t="s">
        <v>1225</v>
      </c>
      <c r="E74" s="1421" t="s">
        <v>1226</v>
      </c>
      <c r="F74" s="1421" t="s">
        <v>1227</v>
      </c>
      <c r="G74" s="1421" t="s">
        <v>1228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1182</v>
      </c>
      <c r="C76" s="1426" t="s">
        <v>1229</v>
      </c>
      <c r="D76" s="1426" t="s">
        <v>1230</v>
      </c>
      <c r="E76" s="1426" t="s">
        <v>1231</v>
      </c>
      <c r="F76" s="1426" t="s">
        <v>1232</v>
      </c>
      <c r="G76" s="1426" t="s">
        <v>1233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1603</v>
      </c>
      <c r="C78" s="1421" t="s">
        <v>1224</v>
      </c>
      <c r="D78" s="1421" t="s">
        <v>1225</v>
      </c>
      <c r="E78" s="1421" t="s">
        <v>1226</v>
      </c>
      <c r="F78" s="1421" t="s">
        <v>1227</v>
      </c>
      <c r="G78" s="1421" t="s">
        <v>1228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1195</v>
      </c>
      <c r="B88" s="1398" t="s">
        <v>1196</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1200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1201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1203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1204</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1611</v>
      </c>
      <c r="C106" s="1421" t="s">
        <v>1224</v>
      </c>
      <c r="D106" s="1421" t="s">
        <v>1225</v>
      </c>
      <c r="E106" s="1421" t="s">
        <v>1226</v>
      </c>
      <c r="F106" s="1421" t="s">
        <v>1227</v>
      </c>
      <c r="G106" s="1421" t="s">
        <v>1228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1613</v>
      </c>
      <c r="C1" s="1536" t="s">
        <v>1145</v>
      </c>
      <c r="D1" s="1537"/>
      <c r="E1" s="1538"/>
      <c r="F1" s="1539"/>
      <c r="G1" s="1615" t="s">
        <v>1148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990</v>
      </c>
      <c r="B3" s="1132" t="e">
        <f ca="1">IF(AND(C2="——",B37="元/平方米"),C39,ROUND(B2*10000/D3,0))</f>
        <v>#DIV/0!</v>
      </c>
      <c r="C3" s="1547" t="s">
        <v>1149</v>
      </c>
      <c r="D3" s="1548">
        <f>SUMIF('数据-汇总表'!$C19:$C33,D1,'数据-汇总表'!$E19:$E33)</f>
        <v>0</v>
      </c>
      <c r="E3" s="1547" t="s">
        <v>1614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6" si="3">D8/F8</f>
        <v>1</v>
      </c>
      <c r="AB8" s="1376">
        <f t="shared" ref="AB8:AB36" si="4">D8/H8</f>
        <v>1</v>
      </c>
      <c r="AC8" s="1376">
        <f t="shared" ref="AC8:AC36" si="5">D8/J8</f>
        <v>1</v>
      </c>
    </row>
    <row r="9" s="1115" customFormat="1" spans="1:29">
      <c r="A9" s="1617" t="s">
        <v>1169</v>
      </c>
      <c r="B9" s="1618" t="s">
        <v>1170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620"/>
      <c r="B10" s="1621" t="s">
        <v>1173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1175</v>
      </c>
      <c r="B14" s="1183" t="s">
        <v>1179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1195</v>
      </c>
      <c r="B26" s="1634" t="s">
        <v>1615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1199</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1199</v>
      </c>
      <c r="Z26" s="1336" t="str">
        <f t="shared" ref="Z26:Z36" si="15">Q26</f>
        <v>配套类型</v>
      </c>
      <c r="AA26" s="1378" t="e">
        <f t="shared" si="3"/>
        <v>#DIV/0!</v>
      </c>
      <c r="AB26" s="1378" t="e">
        <f t="shared" si="4"/>
        <v>#DIV/0!</v>
      </c>
      <c r="AC26" s="1378" t="e">
        <f t="shared" si="5"/>
        <v>#DIV/0!</v>
      </c>
    </row>
    <row r="27" s="1117" customFormat="1" ht="15" spans="1:29">
      <c r="A27" s="1636"/>
      <c r="B27" s="1205" t="s">
        <v>1616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1203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1199</v>
      </c>
      <c r="Q32" s="700" t="str">
        <f t="shared" si="11"/>
        <v>车位类型</v>
      </c>
      <c r="R32" s="1362" t="s">
        <v>1165</v>
      </c>
      <c r="S32" s="1363">
        <f t="shared" si="12"/>
        <v>100</v>
      </c>
      <c r="T32" s="1362" t="s">
        <v>1165</v>
      </c>
      <c r="U32" s="1363">
        <f t="shared" si="13"/>
        <v>100</v>
      </c>
      <c r="V32" s="1362" t="s">
        <v>1165</v>
      </c>
      <c r="W32" s="1363">
        <f t="shared" si="14"/>
        <v>100</v>
      </c>
      <c r="X32" s="1349"/>
      <c r="Y32" s="1324" t="s">
        <v>1199</v>
      </c>
      <c r="Z32" s="1336" t="str">
        <f t="shared" si="15"/>
        <v>车位类型</v>
      </c>
      <c r="AA32" s="1378">
        <f t="shared" si="3"/>
        <v>1</v>
      </c>
      <c r="AB32" s="1378">
        <f t="shared" si="4"/>
        <v>1</v>
      </c>
      <c r="AC32" s="1378">
        <f t="shared" si="5"/>
        <v>1</v>
      </c>
    </row>
    <row r="33" ht="15" spans="1:29">
      <c r="A33" s="1638"/>
      <c r="B33" s="1205" t="s">
        <v>1621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1622</v>
      </c>
      <c r="B37" s="1641" t="s">
        <v>1623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1214</v>
      </c>
      <c r="B38" s="1581" t="str">
        <f>B37</f>
        <v>元/平方米</v>
      </c>
      <c r="C38" s="1582" t="e">
        <f>R39</f>
        <v>#DIV/0!</v>
      </c>
      <c r="D38" s="1237" t="s">
        <v>1215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1220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1221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1222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1223</v>
      </c>
      <c r="B53" s="1398" t="s">
        <v>1170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1175</v>
      </c>
      <c r="B63" s="1398" t="s">
        <v>1179</v>
      </c>
      <c r="C63" s="1419" t="s">
        <v>1224</v>
      </c>
      <c r="D63" s="1419" t="s">
        <v>1225</v>
      </c>
      <c r="E63" s="1419" t="s">
        <v>1226</v>
      </c>
      <c r="F63" s="1419" t="s">
        <v>1227</v>
      </c>
      <c r="G63" s="1419" t="s">
        <v>1228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1181</v>
      </c>
      <c r="C65" s="1421" t="s">
        <v>1224</v>
      </c>
      <c r="D65" s="1421" t="s">
        <v>1225</v>
      </c>
      <c r="E65" s="1421" t="s">
        <v>1226</v>
      </c>
      <c r="F65" s="1421" t="s">
        <v>1227</v>
      </c>
      <c r="G65" s="1421" t="s">
        <v>1228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1182</v>
      </c>
      <c r="C67" s="1426" t="s">
        <v>1229</v>
      </c>
      <c r="D67" s="1426" t="s">
        <v>1230</v>
      </c>
      <c r="E67" s="1426" t="s">
        <v>1231</v>
      </c>
      <c r="F67" s="1426" t="s">
        <v>1232</v>
      </c>
      <c r="G67" s="1426" t="s">
        <v>1233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1183</v>
      </c>
      <c r="C69" s="1421" t="s">
        <v>1224</v>
      </c>
      <c r="D69" s="1421" t="s">
        <v>1225</v>
      </c>
      <c r="E69" s="1421" t="s">
        <v>1226</v>
      </c>
      <c r="F69" s="1421" t="s">
        <v>1227</v>
      </c>
      <c r="G69" s="1421" t="s">
        <v>1228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1195</v>
      </c>
      <c r="B79" s="1398" t="s">
        <v>1625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1203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1626</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 ca="1">IF(C2="——",C37,ROUND(B2*10000/D3,0))</f>
        <v>#DIV/0!</v>
      </c>
      <c r="C3" s="1547" t="s">
        <v>1149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4" si="3">D8/F8</f>
        <v>1</v>
      </c>
      <c r="AB8" s="1376">
        <f t="shared" ref="AB8:AB34" si="4">D8/H8</f>
        <v>1</v>
      </c>
      <c r="AC8" s="1376">
        <f t="shared" ref="AC8:AC34" si="5">D8/J8</f>
        <v>1</v>
      </c>
    </row>
    <row r="9" s="1115" customFormat="1" spans="1:29">
      <c r="A9" s="1160" t="s">
        <v>1169</v>
      </c>
      <c r="B9" s="1161" t="s">
        <v>1170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164"/>
      <c r="B10" s="1165" t="s">
        <v>1173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1175</v>
      </c>
      <c r="B14" s="1503" t="s">
        <v>1179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1195</v>
      </c>
      <c r="B26" s="1161" t="s">
        <v>1203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1199</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1199</v>
      </c>
      <c r="Z26" s="1336" t="str">
        <f t="shared" ref="Z26:Z34" si="15">Q26</f>
        <v>公共部分装修</v>
      </c>
      <c r="AA26" s="1378">
        <f t="shared" si="3"/>
        <v>1</v>
      </c>
      <c r="AB26" s="1378">
        <f t="shared" si="4"/>
        <v>1</v>
      </c>
      <c r="AC26" s="1378">
        <f t="shared" si="5"/>
        <v>1</v>
      </c>
    </row>
    <row r="27" s="1117" customFormat="1" ht="15" spans="1:29">
      <c r="A27" s="1224"/>
      <c r="B27" s="1165" t="s">
        <v>1617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1627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1199</v>
      </c>
      <c r="Q32" s="700">
        <f t="shared" si="11"/>
        <v>111</v>
      </c>
      <c r="R32" s="1362" t="s">
        <v>1165</v>
      </c>
      <c r="S32" s="1363">
        <f t="shared" si="12"/>
        <v>100</v>
      </c>
      <c r="T32" s="1362" t="s">
        <v>1165</v>
      </c>
      <c r="U32" s="1363">
        <f t="shared" si="13"/>
        <v>100</v>
      </c>
      <c r="V32" s="1362" t="s">
        <v>1165</v>
      </c>
      <c r="W32" s="1363">
        <f t="shared" si="14"/>
        <v>100</v>
      </c>
      <c r="X32" s="1349"/>
      <c r="Y32" s="1324" t="s">
        <v>1199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1213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1214</v>
      </c>
      <c r="B36" s="1581"/>
      <c r="C36" s="1582" t="e">
        <f>R37</f>
        <v>#DIV/0!</v>
      </c>
      <c r="D36" s="1237" t="s">
        <v>1215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1220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1221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1222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1223</v>
      </c>
      <c r="B51" s="1398" t="s">
        <v>1170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1175</v>
      </c>
      <c r="B61" s="1398" t="s">
        <v>1179</v>
      </c>
      <c r="C61" s="1419" t="s">
        <v>1224</v>
      </c>
      <c r="D61" s="1419" t="s">
        <v>1225</v>
      </c>
      <c r="E61" s="1419" t="s">
        <v>1226</v>
      </c>
      <c r="F61" s="1419" t="s">
        <v>1227</v>
      </c>
      <c r="G61" s="1419" t="s">
        <v>1228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1629</v>
      </c>
      <c r="C63" s="1421" t="s">
        <v>1224</v>
      </c>
      <c r="D63" s="1421" t="s">
        <v>1225</v>
      </c>
      <c r="E63" s="1421" t="s">
        <v>1226</v>
      </c>
      <c r="F63" s="1421" t="s">
        <v>1227</v>
      </c>
      <c r="G63" s="1421" t="s">
        <v>1228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1182</v>
      </c>
      <c r="C65" s="1426" t="s">
        <v>1229</v>
      </c>
      <c r="D65" s="1426" t="s">
        <v>1230</v>
      </c>
      <c r="E65" s="1426" t="s">
        <v>1231</v>
      </c>
      <c r="F65" s="1426" t="s">
        <v>1232</v>
      </c>
      <c r="G65" s="1426" t="s">
        <v>1233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1183</v>
      </c>
      <c r="C67" s="1421" t="s">
        <v>1224</v>
      </c>
      <c r="D67" s="1421" t="s">
        <v>1225</v>
      </c>
      <c r="E67" s="1421" t="s">
        <v>1226</v>
      </c>
      <c r="F67" s="1421" t="s">
        <v>1227</v>
      </c>
      <c r="G67" s="1421" t="s">
        <v>1228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1195</v>
      </c>
      <c r="B77" s="1398" t="s">
        <v>1203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1630</v>
      </c>
      <c r="B1" s="1125"/>
      <c r="C1" s="1126" t="s">
        <v>1631</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5" si="3">D8/F8</f>
        <v>#DIV/0!</v>
      </c>
      <c r="AB8" s="1376" t="e">
        <f t="shared" ref="AB8:AB45" si="4">D8/H8</f>
        <v>#DIV/0!</v>
      </c>
      <c r="AC8" s="1376" t="e">
        <f t="shared" ref="AC8:AC45" si="5">D8/J8</f>
        <v>#DIV/0!</v>
      </c>
    </row>
    <row r="9" s="1115" customFormat="1" spans="1:29">
      <c r="A9" s="1160" t="s">
        <v>1169</v>
      </c>
      <c r="B9" s="1161" t="s">
        <v>1170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501"/>
      <c r="F10" s="1167">
        <f>ROUND(100/'数据-取费表'!G16,0)</f>
        <v>100</v>
      </c>
      <c r="G10" s="1502"/>
      <c r="H10" s="1167">
        <f>ROUND(100/'数据-取费表'!G16,0)</f>
        <v>100</v>
      </c>
      <c r="I10" s="1502"/>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1175</v>
      </c>
      <c r="B15" s="1503" t="s">
        <v>1176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1179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1199</v>
      </c>
      <c r="Q36" s="700">
        <f t="shared" si="8"/>
        <v>111</v>
      </c>
      <c r="R36" s="1362" t="s">
        <v>1165</v>
      </c>
      <c r="S36" s="1363">
        <f t="shared" si="10"/>
        <v>100</v>
      </c>
      <c r="T36" s="1362" t="s">
        <v>1165</v>
      </c>
      <c r="U36" s="1363">
        <f t="shared" si="11"/>
        <v>100</v>
      </c>
      <c r="V36" s="1362" t="s">
        <v>1165</v>
      </c>
      <c r="W36" s="1363">
        <f t="shared" si="12"/>
        <v>100</v>
      </c>
      <c r="X36" s="1349"/>
      <c r="Y36" s="1324" t="s">
        <v>1199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1195</v>
      </c>
      <c r="B38" s="1216" t="s">
        <v>1636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1638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1199</v>
      </c>
      <c r="Q42" s="700" t="str">
        <f t="shared" si="14"/>
        <v>工程地质条件</v>
      </c>
      <c r="R42" s="1362" t="s">
        <v>1165</v>
      </c>
      <c r="S42" s="1363">
        <f t="shared" si="10"/>
        <v>100</v>
      </c>
      <c r="T42" s="1362" t="s">
        <v>1165</v>
      </c>
      <c r="U42" s="1363">
        <f t="shared" si="11"/>
        <v>100</v>
      </c>
      <c r="V42" s="1362" t="s">
        <v>1165</v>
      </c>
      <c r="W42" s="1363">
        <f t="shared" si="12"/>
        <v>100</v>
      </c>
      <c r="X42" s="1349"/>
      <c r="Y42" s="1324" t="s">
        <v>1199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1622</v>
      </c>
      <c r="B46" s="1227" t="s">
        <v>1641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1214</v>
      </c>
      <c r="B47" s="1235"/>
      <c r="C47" s="1236" t="e">
        <f>R48</f>
        <v>#DIV/0!</v>
      </c>
      <c r="D47" s="1237" t="s">
        <v>1215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1643</v>
      </c>
      <c r="B55" s="1253" t="s">
        <v>1644</v>
      </c>
      <c r="C55" s="1254" t="s">
        <v>1645</v>
      </c>
      <c r="D55" s="1255" t="s">
        <v>1646</v>
      </c>
      <c r="E55" s="1256" t="s">
        <v>1647</v>
      </c>
      <c r="F55" s="1514" t="s">
        <v>1648</v>
      </c>
      <c r="G55" s="1136" t="s">
        <v>1649</v>
      </c>
      <c r="H55" s="695"/>
      <c r="I55" s="1518" t="s">
        <v>1650</v>
      </c>
      <c r="J55" s="1519">
        <f>项目基本情况!F35</f>
        <v>0</v>
      </c>
      <c r="K55" s="1337" t="s">
        <v>1651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1652</v>
      </c>
      <c r="B56" s="1259" t="e">
        <f>C48</f>
        <v>#DIV/0!</v>
      </c>
      <c r="C56" s="1260">
        <v>1</v>
      </c>
      <c r="D56" s="1261">
        <v>1</v>
      </c>
      <c r="E56" s="1260">
        <f>'数据-汇总表'!E8+'数据-汇总表'!E9</f>
        <v>69.7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1653</v>
      </c>
      <c r="B57" s="411" t="e">
        <f>ROUND($C$48*C57*D57,0)</f>
        <v>#DIV/0!</v>
      </c>
      <c r="C57" s="614">
        <f t="shared" ref="C57:C64" si="16">IF($C$55="北京市系数",I57,J57)</f>
        <v>0</v>
      </c>
      <c r="D57" s="1265">
        <v>0.25</v>
      </c>
      <c r="E57" s="1266"/>
      <c r="F57" s="1515" t="e">
        <f t="shared" si="15"/>
        <v>#DIV/0!</v>
      </c>
      <c r="G57" s="1267" t="s">
        <v>1654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1657</v>
      </c>
      <c r="B60" s="411" t="e">
        <f t="shared" si="17"/>
        <v>#DIV/0!</v>
      </c>
      <c r="C60" s="614">
        <f t="shared" si="16"/>
        <v>0</v>
      </c>
      <c r="D60" s="1265">
        <v>0.25</v>
      </c>
      <c r="E60" s="410">
        <f>'数据-汇总表'!E11</f>
        <v>0</v>
      </c>
      <c r="F60" s="1515" t="e">
        <f t="shared" si="15"/>
        <v>#DIV/0!</v>
      </c>
      <c r="G60" s="1271" t="s">
        <v>1658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1659</v>
      </c>
      <c r="B61" s="411" t="e">
        <f t="shared" si="17"/>
        <v>#DIV/0!</v>
      </c>
      <c r="C61" s="614">
        <f t="shared" si="16"/>
        <v>0</v>
      </c>
      <c r="D61" s="1265">
        <v>0.25</v>
      </c>
      <c r="E61" s="410">
        <f>'数据-汇总表'!E12</f>
        <v>0</v>
      </c>
      <c r="F61" s="1515" t="e">
        <f t="shared" si="15"/>
        <v>#DIV/0!</v>
      </c>
      <c r="G61" s="1272" t="s">
        <v>1660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1661</v>
      </c>
      <c r="B62" s="411" t="e">
        <f t="shared" si="17"/>
        <v>#DIV/0!</v>
      </c>
      <c r="C62" s="614">
        <f t="shared" si="16"/>
        <v>0</v>
      </c>
      <c r="D62" s="1265">
        <v>0.25</v>
      </c>
      <c r="E62" s="410">
        <f>'数据-汇总表'!E13</f>
        <v>0</v>
      </c>
      <c r="F62" s="1515" t="e">
        <f t="shared" si="15"/>
        <v>#DIV/0!</v>
      </c>
      <c r="G62" s="1272" t="s">
        <v>1662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1663</v>
      </c>
      <c r="B63" s="411" t="e">
        <f t="shared" si="17"/>
        <v>#DIV/0!</v>
      </c>
      <c r="C63" s="614">
        <f t="shared" si="16"/>
        <v>0</v>
      </c>
      <c r="D63" s="1265">
        <v>0.25</v>
      </c>
      <c r="E63" s="410">
        <f>'数据-汇总表'!E14</f>
        <v>0</v>
      </c>
      <c r="F63" s="1515" t="e">
        <f t="shared" si="15"/>
        <v>#DIV/0!</v>
      </c>
      <c r="G63" s="1271" t="s">
        <v>1654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1664</v>
      </c>
      <c r="B64" s="411" t="e">
        <f t="shared" si="17"/>
        <v>#DIV/0!</v>
      </c>
      <c r="C64" s="614">
        <f t="shared" si="16"/>
        <v>0</v>
      </c>
      <c r="D64" s="1265">
        <v>0.25</v>
      </c>
      <c r="E64" s="410">
        <f>'数据-汇总表'!E15</f>
        <v>0</v>
      </c>
      <c r="F64" s="1515" t="e">
        <f t="shared" si="15"/>
        <v>#DIV/0!</v>
      </c>
      <c r="G64" s="1273" t="s">
        <v>1658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1665</v>
      </c>
      <c r="B65" s="1276" t="s">
        <v>1666</v>
      </c>
      <c r="C65" s="1276" t="s">
        <v>1666</v>
      </c>
      <c r="D65" s="1276" t="s">
        <v>1666</v>
      </c>
      <c r="E65" s="1276">
        <f>IF(B46="楼面地价",SUM(E56:E64),'数据-汇总表'!D3)</f>
        <v>69.7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1220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1667</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1221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1222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1223</v>
      </c>
      <c r="B74" s="1398" t="s">
        <v>1170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1175</v>
      </c>
      <c r="B87" s="1398" t="s">
        <v>1176</v>
      </c>
      <c r="C87" s="1419" t="s">
        <v>1224</v>
      </c>
      <c r="D87" s="1419" t="s">
        <v>1225</v>
      </c>
      <c r="E87" s="1419" t="s">
        <v>1226</v>
      </c>
      <c r="F87" s="1419" t="s">
        <v>1227</v>
      </c>
      <c r="G87" s="1419" t="s">
        <v>1228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1590</v>
      </c>
      <c r="C89" s="1421" t="s">
        <v>1224</v>
      </c>
      <c r="D89" s="1421" t="s">
        <v>1225</v>
      </c>
      <c r="E89" s="1421" t="s">
        <v>1226</v>
      </c>
      <c r="F89" s="1421" t="s">
        <v>1227</v>
      </c>
      <c r="G89" s="1421" t="s">
        <v>1228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1602</v>
      </c>
      <c r="C91" s="1421" t="s">
        <v>1224</v>
      </c>
      <c r="D91" s="1421" t="s">
        <v>1225</v>
      </c>
      <c r="E91" s="1421" t="s">
        <v>1226</v>
      </c>
      <c r="F91" s="1421" t="s">
        <v>1227</v>
      </c>
      <c r="G91" s="1421" t="s">
        <v>1228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1179</v>
      </c>
      <c r="C93" s="1421" t="s">
        <v>1224</v>
      </c>
      <c r="D93" s="1421" t="s">
        <v>1225</v>
      </c>
      <c r="E93" s="1421" t="s">
        <v>1226</v>
      </c>
      <c r="F93" s="1421" t="s">
        <v>1227</v>
      </c>
      <c r="G93" s="1421" t="s">
        <v>1228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1633</v>
      </c>
      <c r="C95" s="1421" t="s">
        <v>1224</v>
      </c>
      <c r="D95" s="1421" t="s">
        <v>1225</v>
      </c>
      <c r="E95" s="1421" t="s">
        <v>1226</v>
      </c>
      <c r="F95" s="1421" t="s">
        <v>1227</v>
      </c>
      <c r="G95" s="1421" t="s">
        <v>1228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1634</v>
      </c>
      <c r="C97" s="1419" t="s">
        <v>1224</v>
      </c>
      <c r="D97" s="1419" t="s">
        <v>1225</v>
      </c>
      <c r="E97" s="1419" t="s">
        <v>1226</v>
      </c>
      <c r="F97" s="1419" t="s">
        <v>1227</v>
      </c>
      <c r="G97" s="1419" t="s">
        <v>1228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1181</v>
      </c>
      <c r="C99" s="1419" t="s">
        <v>1224</v>
      </c>
      <c r="D99" s="1419" t="s">
        <v>1225</v>
      </c>
      <c r="E99" s="1419" t="s">
        <v>1226</v>
      </c>
      <c r="F99" s="1419" t="s">
        <v>1227</v>
      </c>
      <c r="G99" s="1419" t="s">
        <v>1228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1182</v>
      </c>
      <c r="C101" s="1426" t="s">
        <v>1229</v>
      </c>
      <c r="D101" s="1426" t="s">
        <v>1230</v>
      </c>
      <c r="E101" s="1426" t="s">
        <v>1231</v>
      </c>
      <c r="F101" s="1426" t="s">
        <v>1232</v>
      </c>
      <c r="G101" s="1426" t="s">
        <v>1233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1669</v>
      </c>
      <c r="D103" s="1403" t="s">
        <v>1670</v>
      </c>
      <c r="E103" s="1403" t="s">
        <v>1671</v>
      </c>
      <c r="F103" s="1403" t="s">
        <v>1672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1195</v>
      </c>
      <c r="B115" s="1398" t="s">
        <v>1636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1630</v>
      </c>
      <c r="B1" s="1125"/>
      <c r="C1" s="1126" t="s">
        <v>1608</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1673</v>
      </c>
      <c r="D6" s="1149"/>
      <c r="E6" s="1150" t="s">
        <v>1673</v>
      </c>
      <c r="F6" s="1151"/>
      <c r="G6" s="1148" t="s">
        <v>1673</v>
      </c>
      <c r="H6" s="1149"/>
      <c r="I6" s="1148" t="s">
        <v>1673</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0" si="3">D8/F8</f>
        <v>#DIV/0!</v>
      </c>
      <c r="AB8" s="1376" t="e">
        <f t="shared" ref="AB8:AB40" si="4">D8/H8</f>
        <v>#DIV/0!</v>
      </c>
      <c r="AC8" s="1376" t="e">
        <f t="shared" ref="AC8:AC40" si="5">D8/J8</f>
        <v>#DIV/0!</v>
      </c>
    </row>
    <row r="9" s="1115" customFormat="1" spans="1:29">
      <c r="A9" s="1160" t="s">
        <v>1169</v>
      </c>
      <c r="B9" s="1161" t="s">
        <v>1170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166"/>
      <c r="F10" s="1167">
        <f>ROUND(100/'数据-取费表'!G16,0)</f>
        <v>100</v>
      </c>
      <c r="G10" s="1166"/>
      <c r="H10" s="1167">
        <f>ROUND(100/'数据-取费表'!G16,0)</f>
        <v>100</v>
      </c>
      <c r="I10" s="1166"/>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183" t="s">
        <v>1609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1179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1199</v>
      </c>
      <c r="Q32" s="700">
        <f t="shared" si="8"/>
        <v>111</v>
      </c>
      <c r="R32" s="1362" t="s">
        <v>1165</v>
      </c>
      <c r="S32" s="1363">
        <f t="shared" si="10"/>
        <v>100</v>
      </c>
      <c r="T32" s="1362" t="s">
        <v>1165</v>
      </c>
      <c r="U32" s="1363">
        <f t="shared" si="11"/>
        <v>100</v>
      </c>
      <c r="V32" s="1362" t="s">
        <v>1165</v>
      </c>
      <c r="W32" s="1363">
        <f t="shared" si="12"/>
        <v>100</v>
      </c>
      <c r="X32" s="1349"/>
      <c r="Y32" s="1324" t="s">
        <v>1199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1195</v>
      </c>
      <c r="B34" s="1216" t="s">
        <v>1636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1199</v>
      </c>
      <c r="Q37" s="700" t="str">
        <f t="shared" si="14"/>
        <v>工程地质条件</v>
      </c>
      <c r="R37" s="1362" t="s">
        <v>1165</v>
      </c>
      <c r="S37" s="1363">
        <f t="shared" si="10"/>
        <v>100</v>
      </c>
      <c r="T37" s="1362" t="s">
        <v>1165</v>
      </c>
      <c r="U37" s="1363">
        <f t="shared" si="11"/>
        <v>100</v>
      </c>
      <c r="V37" s="1362" t="s">
        <v>1165</v>
      </c>
      <c r="W37" s="1363">
        <f t="shared" si="12"/>
        <v>100</v>
      </c>
      <c r="X37" s="1349"/>
      <c r="Y37" s="1324" t="s">
        <v>1199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1622</v>
      </c>
      <c r="B41" s="1227" t="s">
        <v>1675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1214</v>
      </c>
      <c r="B42" s="1235"/>
      <c r="C42" s="1236" t="e">
        <f>R43</f>
        <v>#DIV/0!</v>
      </c>
      <c r="D42" s="1237" t="s">
        <v>1215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1643</v>
      </c>
      <c r="B50" s="1253" t="s">
        <v>1644</v>
      </c>
      <c r="C50" s="1254" t="s">
        <v>1645</v>
      </c>
      <c r="D50" s="1255" t="s">
        <v>1646</v>
      </c>
      <c r="E50" s="1256" t="s">
        <v>1647</v>
      </c>
      <c r="F50" s="1257" t="s">
        <v>1648</v>
      </c>
      <c r="G50" s="1136" t="s">
        <v>1649</v>
      </c>
      <c r="H50" s="695"/>
      <c r="I50" s="1336" t="s">
        <v>1676</v>
      </c>
      <c r="J50" s="1336">
        <f>项目基本情况!F35</f>
        <v>0</v>
      </c>
      <c r="K50" s="1337" t="s">
        <v>1651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1652</v>
      </c>
      <c r="B51" s="1259" t="e">
        <f>C43</f>
        <v>#DIV/0!</v>
      </c>
      <c r="C51" s="1260">
        <v>1</v>
      </c>
      <c r="D51" s="1261">
        <v>1</v>
      </c>
      <c r="E51" s="1260">
        <f>'数据-汇总表'!E8+'数据-汇总表'!E9</f>
        <v>69.7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1653</v>
      </c>
      <c r="B52" s="411" t="e">
        <f>ROUND($C$43*C52*D52,0)</f>
        <v>#DIV/0!</v>
      </c>
      <c r="C52" s="614">
        <f t="shared" ref="C52:C60" si="16">IF($C$50="北京市系数",I52,J52)</f>
        <v>0</v>
      </c>
      <c r="D52" s="1265">
        <v>0.25</v>
      </c>
      <c r="E52" s="1266"/>
      <c r="F52" s="1262" t="e">
        <f t="shared" si="15"/>
        <v>#DIV/0!</v>
      </c>
      <c r="G52" s="1267" t="s">
        <v>1654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1657</v>
      </c>
      <c r="B56" s="411" t="e">
        <f t="shared" si="17"/>
        <v>#DIV/0!</v>
      </c>
      <c r="C56" s="614">
        <f t="shared" si="16"/>
        <v>0</v>
      </c>
      <c r="D56" s="1265">
        <v>0.25</v>
      </c>
      <c r="E56" s="410">
        <f>'数据-汇总表'!E11</f>
        <v>0</v>
      </c>
      <c r="F56" s="1262" t="e">
        <f t="shared" si="15"/>
        <v>#DIV/0!</v>
      </c>
      <c r="G56" s="1271" t="s">
        <v>1658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1659</v>
      </c>
      <c r="B57" s="411" t="e">
        <f t="shared" si="17"/>
        <v>#DIV/0!</v>
      </c>
      <c r="C57" s="614">
        <f t="shared" si="16"/>
        <v>0</v>
      </c>
      <c r="D57" s="1265">
        <v>0.25</v>
      </c>
      <c r="E57" s="410">
        <f>'数据-汇总表'!E12</f>
        <v>0</v>
      </c>
      <c r="F57" s="1262" t="e">
        <f t="shared" si="15"/>
        <v>#DIV/0!</v>
      </c>
      <c r="G57" s="1272" t="s">
        <v>1660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1661</v>
      </c>
      <c r="B58" s="411" t="e">
        <f t="shared" si="17"/>
        <v>#DIV/0!</v>
      </c>
      <c r="C58" s="614">
        <f t="shared" si="16"/>
        <v>0</v>
      </c>
      <c r="D58" s="1265">
        <v>0.25</v>
      </c>
      <c r="E58" s="410">
        <f>'数据-汇总表'!E13</f>
        <v>0</v>
      </c>
      <c r="F58" s="1262" t="e">
        <f t="shared" si="15"/>
        <v>#DIV/0!</v>
      </c>
      <c r="G58" s="1272" t="s">
        <v>1662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1663</v>
      </c>
      <c r="B59" s="411" t="e">
        <f t="shared" si="17"/>
        <v>#DIV/0!</v>
      </c>
      <c r="C59" s="614">
        <f t="shared" si="16"/>
        <v>0</v>
      </c>
      <c r="D59" s="1265">
        <v>0.25</v>
      </c>
      <c r="E59" s="410">
        <f>'数据-汇总表'!E14</f>
        <v>0</v>
      </c>
      <c r="F59" s="1262" t="e">
        <f t="shared" si="15"/>
        <v>#DIV/0!</v>
      </c>
      <c r="G59" s="1271" t="s">
        <v>1654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1664</v>
      </c>
      <c r="B60" s="411" t="e">
        <f t="shared" si="17"/>
        <v>#DIV/0!</v>
      </c>
      <c r="C60" s="614">
        <f t="shared" si="16"/>
        <v>0</v>
      </c>
      <c r="D60" s="1265">
        <v>0.25</v>
      </c>
      <c r="E60" s="410">
        <f>'数据-汇总表'!E15</f>
        <v>0</v>
      </c>
      <c r="F60" s="1262" t="e">
        <f t="shared" si="15"/>
        <v>#DIV/0!</v>
      </c>
      <c r="G60" s="1273" t="s">
        <v>1658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1665</v>
      </c>
      <c r="B61" s="1276" t="s">
        <v>1666</v>
      </c>
      <c r="C61" s="1276" t="s">
        <v>1666</v>
      </c>
      <c r="D61" s="1276" t="s">
        <v>1666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1220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1667</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1221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1222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1223</v>
      </c>
      <c r="B70" s="1398" t="s">
        <v>1170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1175</v>
      </c>
      <c r="B83" s="1398" t="s">
        <v>1609</v>
      </c>
      <c r="C83" s="1419" t="s">
        <v>1224</v>
      </c>
      <c r="D83" s="1419" t="s">
        <v>1225</v>
      </c>
      <c r="E83" s="1419" t="s">
        <v>1226</v>
      </c>
      <c r="F83" s="1419" t="s">
        <v>1227</v>
      </c>
      <c r="G83" s="1419" t="s">
        <v>1228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1179</v>
      </c>
      <c r="C85" s="1421" t="s">
        <v>1224</v>
      </c>
      <c r="D85" s="1421" t="s">
        <v>1225</v>
      </c>
      <c r="E85" s="1421" t="s">
        <v>1226</v>
      </c>
      <c r="F85" s="1421" t="s">
        <v>1227</v>
      </c>
      <c r="G85" s="1421" t="s">
        <v>1228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1633</v>
      </c>
      <c r="C87" s="1419" t="s">
        <v>1224</v>
      </c>
      <c r="D87" s="1419" t="s">
        <v>1225</v>
      </c>
      <c r="E87" s="1419" t="s">
        <v>1226</v>
      </c>
      <c r="F87" s="1419" t="s">
        <v>1227</v>
      </c>
      <c r="G87" s="1419" t="s">
        <v>1228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1634</v>
      </c>
      <c r="C89" s="1419" t="s">
        <v>1224</v>
      </c>
      <c r="D89" s="1419" t="s">
        <v>1225</v>
      </c>
      <c r="E89" s="1419" t="s">
        <v>1226</v>
      </c>
      <c r="F89" s="1419" t="s">
        <v>1227</v>
      </c>
      <c r="G89" s="1419" t="s">
        <v>1228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1181</v>
      </c>
      <c r="C91" s="1419" t="s">
        <v>1224</v>
      </c>
      <c r="D91" s="1419" t="s">
        <v>1225</v>
      </c>
      <c r="E91" s="1419" t="s">
        <v>1226</v>
      </c>
      <c r="F91" s="1419" t="s">
        <v>1227</v>
      </c>
      <c r="G91" s="1419" t="s">
        <v>1228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1182</v>
      </c>
      <c r="C93" s="1426" t="s">
        <v>1229</v>
      </c>
      <c r="D93" s="1426" t="s">
        <v>1230</v>
      </c>
      <c r="E93" s="1426" t="s">
        <v>1231</v>
      </c>
      <c r="F93" s="1426" t="s">
        <v>1232</v>
      </c>
      <c r="G93" s="1426" t="s">
        <v>1233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1669</v>
      </c>
      <c r="D95" s="1403" t="s">
        <v>1670</v>
      </c>
      <c r="E95" s="1403" t="s">
        <v>1671</v>
      </c>
      <c r="F95" s="1403" t="s">
        <v>1672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1195</v>
      </c>
      <c r="B107" s="1398" t="s">
        <v>1636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1678</v>
      </c>
      <c r="C1" s="996" t="s">
        <v>1679</v>
      </c>
      <c r="D1" s="997"/>
      <c r="E1" s="997"/>
      <c r="F1" s="997"/>
      <c r="G1" s="997"/>
      <c r="H1" s="997"/>
      <c r="I1" s="997"/>
      <c r="J1" s="997"/>
      <c r="K1" s="997"/>
      <c r="L1" s="997"/>
      <c r="M1" s="997"/>
      <c r="N1" s="997"/>
      <c r="O1" s="997"/>
      <c r="P1" s="997"/>
      <c r="Q1" s="997"/>
      <c r="R1" s="997"/>
      <c r="S1" s="1079"/>
      <c r="T1" s="995" t="s">
        <v>1680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1687</v>
      </c>
      <c r="B17" s="1030" t="s">
        <v>1688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1689</v>
      </c>
      <c r="E19" s="1040"/>
      <c r="F19" s="1040"/>
      <c r="G19" s="1040"/>
      <c r="H19" s="1041"/>
      <c r="I19" s="1038"/>
      <c r="J19" s="1038"/>
      <c r="K19" s="1038"/>
      <c r="L19" s="1038"/>
      <c r="M19" s="1038"/>
      <c r="N19" s="1038"/>
      <c r="O19" s="1038"/>
      <c r="P19" s="1038"/>
      <c r="Q19" s="1038"/>
      <c r="R19" s="1106"/>
      <c r="S19" s="1037"/>
    </row>
    <row r="20" ht="16.5" spans="1:19">
      <c r="A20" s="1042" t="s">
        <v>1690</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75" spans="1:19">
      <c r="A21" s="1042" t="s">
        <v>1691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1693</v>
      </c>
      <c r="B23" s="1051" t="s">
        <v>458</v>
      </c>
      <c r="C23" s="1051" t="s">
        <v>1680</v>
      </c>
      <c r="D23" s="1051" t="str">
        <f>B5</f>
        <v>修正项2</v>
      </c>
      <c r="E23" s="1051" t="s">
        <v>1680</v>
      </c>
      <c r="F23" s="1051" t="str">
        <f>B7</f>
        <v>修正项3</v>
      </c>
      <c r="G23" s="1051" t="s">
        <v>1680</v>
      </c>
      <c r="H23" s="1051" t="str">
        <f>B9</f>
        <v>修正项4</v>
      </c>
      <c r="I23" s="1051" t="s">
        <v>1680</v>
      </c>
      <c r="J23" s="1051" t="str">
        <f>B11</f>
        <v>修正项5</v>
      </c>
      <c r="K23" s="1051" t="s">
        <v>1680</v>
      </c>
      <c r="L23" s="1051" t="str">
        <f>B13</f>
        <v>修正项6</v>
      </c>
      <c r="M23" s="1051" t="s">
        <v>1680</v>
      </c>
      <c r="N23" s="1051" t="str">
        <f>B15</f>
        <v>修正项7</v>
      </c>
      <c r="O23" s="1051" t="s">
        <v>1680</v>
      </c>
      <c r="P23" s="1051" t="str">
        <f>B17</f>
        <v>楼层</v>
      </c>
      <c r="Q23" s="1051" t="s">
        <v>1680</v>
      </c>
      <c r="R23" s="1109" t="s">
        <v>1694</v>
      </c>
      <c r="S23" s="1051" t="s">
        <v>1695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1698</v>
      </c>
      <c r="D2" s="976" t="s">
        <v>1699</v>
      </c>
      <c r="E2" s="978">
        <f ca="1">SUMIF(E6:E13,"&lt;&gt;#ref!",E6:E13)</f>
        <v>0</v>
      </c>
      <c r="F2" s="975"/>
      <c r="G2" s="975"/>
      <c r="H2" s="975"/>
      <c r="I2" s="975"/>
      <c r="J2" s="975"/>
      <c r="K2" s="975"/>
      <c r="L2" s="975"/>
      <c r="M2" s="975"/>
      <c r="N2" s="975"/>
      <c r="O2" s="975"/>
      <c r="P2" s="975"/>
    </row>
    <row r="3" ht="15.75" spans="1:16">
      <c r="A3" s="976" t="s">
        <v>1700</v>
      </c>
      <c r="B3" s="977" t="e">
        <f ca="1">ROUND(B2*10000/E2,0)</f>
        <v>#DIV/0!</v>
      </c>
      <c r="C3" s="976" t="s">
        <v>1701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1702</v>
      </c>
      <c r="B5" s="981" t="s">
        <v>1703</v>
      </c>
      <c r="C5" s="982"/>
      <c r="D5" s="975"/>
      <c r="E5" s="983" t="s">
        <v>1704</v>
      </c>
      <c r="F5" s="975"/>
      <c r="G5" s="975"/>
      <c r="H5" s="975"/>
      <c r="I5" s="975"/>
      <c r="J5" s="975"/>
      <c r="K5" s="975"/>
      <c r="L5" s="975"/>
      <c r="M5" s="975"/>
      <c r="N5" s="975"/>
      <c r="O5" s="975"/>
      <c r="P5" s="975"/>
    </row>
    <row r="6" spans="1:16">
      <c r="A6" s="984" t="s">
        <v>1705</v>
      </c>
      <c r="B6" s="977" t="e">
        <f ca="1">SUMIF(INDIRECT("'"&amp;A6&amp;"'"&amp;"!A:A"),"总价",INDIRECT("'"&amp;A6&amp;"'"&amp;"!B:B"))</f>
        <v>#DIV/0!</v>
      </c>
      <c r="C6" s="976" t="s">
        <v>1698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1698</v>
      </c>
      <c r="D8" s="975"/>
      <c r="E8" s="978" t="e">
        <f ca="1" t="shared" si="0"/>
        <v>#REF!</v>
      </c>
      <c r="F8" s="975"/>
      <c r="G8" s="975"/>
      <c r="H8" s="975"/>
      <c r="I8" s="975"/>
      <c r="J8" s="975"/>
      <c r="K8" s="975"/>
      <c r="L8" s="975"/>
      <c r="M8" s="975"/>
      <c r="N8" s="975"/>
      <c r="O8" s="975"/>
      <c r="P8" s="975"/>
    </row>
    <row r="9" ht="15.75" spans="1:16">
      <c r="A9" s="984"/>
      <c r="B9" s="977" t="e">
        <f ca="1" t="shared" si="1"/>
        <v>#REF!</v>
      </c>
      <c r="C9" s="976" t="s">
        <v>1698</v>
      </c>
      <c r="D9" s="975"/>
      <c r="E9" s="978" t="e">
        <f ca="1" t="shared" si="0"/>
        <v>#REF!</v>
      </c>
      <c r="F9" s="975"/>
      <c r="G9" s="975"/>
      <c r="H9" s="975"/>
      <c r="I9" s="975"/>
      <c r="J9" s="975"/>
      <c r="K9" s="975"/>
      <c r="L9" s="975"/>
      <c r="M9" s="975"/>
      <c r="N9" s="975"/>
      <c r="O9" s="975"/>
      <c r="P9" s="975"/>
    </row>
    <row r="10" ht="15.75" spans="1:16">
      <c r="A10" s="984"/>
      <c r="B10" s="977" t="e">
        <f ca="1" t="shared" si="1"/>
        <v>#REF!</v>
      </c>
      <c r="C10" s="976" t="s">
        <v>1698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1706</v>
      </c>
      <c r="B1" s="391"/>
      <c r="C1" s="394" t="s">
        <v>1149</v>
      </c>
      <c r="D1" s="575">
        <f>SUM(D33:D34,D37:D42)</f>
        <v>0</v>
      </c>
      <c r="E1" s="576"/>
      <c r="F1" s="576"/>
      <c r="G1" s="576"/>
      <c r="H1" s="576"/>
      <c r="I1" s="576"/>
      <c r="J1" s="576"/>
      <c r="K1" s="568"/>
      <c r="L1" s="788" t="s">
        <v>1707</v>
      </c>
      <c r="M1" s="789">
        <f>SUMPRODUCT((区片价!B5:B9=I2)*(区片价!C3:G3=E2)*(区片价!C5:G9))</f>
        <v>0</v>
      </c>
      <c r="N1" s="790">
        <f>SUMPRODUCT((因素修正幅度!B5:B9=I2)*(因素修正幅度!C3:G3=E2)*(因素修正幅度!C5:G9))</f>
        <v>0</v>
      </c>
      <c r="O1" s="569"/>
      <c r="P1" s="569"/>
      <c r="Q1" s="568"/>
      <c r="R1" s="883" t="s">
        <v>1708</v>
      </c>
      <c r="S1" s="883" t="s">
        <v>1709</v>
      </c>
      <c r="T1" s="883" t="s">
        <v>1710</v>
      </c>
      <c r="U1" s="883" t="s">
        <v>1711</v>
      </c>
      <c r="V1" s="883" t="s">
        <v>1712</v>
      </c>
      <c r="W1" s="884"/>
      <c r="X1" s="884"/>
      <c r="Y1" s="884"/>
      <c r="Z1" s="884"/>
      <c r="AA1" s="884"/>
      <c r="AB1" s="884"/>
      <c r="AC1" s="897"/>
      <c r="AD1" s="898"/>
      <c r="AE1" s="898"/>
      <c r="AF1" s="898"/>
      <c r="AG1" s="898"/>
      <c r="AH1" s="898"/>
      <c r="AI1" s="898"/>
      <c r="AJ1" s="907"/>
    </row>
    <row r="2" ht="15.75" spans="1:36">
      <c r="A2" s="394" t="s">
        <v>988</v>
      </c>
      <c r="B2" s="398" t="e">
        <f>C30</f>
        <v>#DIV/0!</v>
      </c>
      <c r="C2" s="577" t="s">
        <v>989</v>
      </c>
      <c r="D2" s="578" t="s">
        <v>1713</v>
      </c>
      <c r="E2" s="579"/>
      <c r="F2" s="578" t="s">
        <v>1714</v>
      </c>
      <c r="G2" s="580">
        <f>IF(E2="商业",项目基本情况!B37,IF(E2="办公",项目基本情况!C37,IF(E2="住宅",项目基本情况!D37,IF(E2="工业",项目基本情况!E37,项目基本情况!F37))))</f>
        <v>0</v>
      </c>
      <c r="H2" s="578" t="s">
        <v>1715</v>
      </c>
      <c r="I2" s="580">
        <f>IF(E2="商业",项目基本情况!B38,IF(E2="办公",项目基本情况!C38,IF(E2="住宅",项目基本情况!D38,IF(E2="工业",项目基本情况!E38,项目基本情况!F38))))</f>
        <v>0</v>
      </c>
      <c r="J2" s="791"/>
      <c r="K2" s="568"/>
      <c r="L2" s="792" t="s">
        <v>1716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990</v>
      </c>
      <c r="B3" s="398" t="e">
        <f>ROUND(B2*10000/D1,0)</f>
        <v>#DIV/0!</v>
      </c>
      <c r="C3" s="577" t="s">
        <v>991</v>
      </c>
      <c r="D3" s="578" t="s">
        <v>1717</v>
      </c>
      <c r="E3" s="581"/>
      <c r="F3" s="582"/>
      <c r="G3" s="583">
        <f>IF(F3="宗地容积率",'数据-汇总表'!I4,IF(F3="估价对象容积率",'数据-汇总表'!I6,'数据-汇总表'!I7))</f>
        <v>0</v>
      </c>
      <c r="H3" s="584" t="s">
        <v>1718</v>
      </c>
      <c r="I3" s="794"/>
      <c r="J3" s="791" t="s">
        <v>1719</v>
      </c>
      <c r="K3" s="568"/>
      <c r="L3" s="792" t="s">
        <v>1720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894</v>
      </c>
      <c r="B5" s="589" t="s">
        <v>1722</v>
      </c>
      <c r="C5" s="590" t="e">
        <f>ROUND(IF(E2="商业",C6*C7*C17+C20,(IF(E2="住宅",C6*C13*C17+C20,IF(E2="办公",C6*C12*C17+C20,C6+C20)))),0)</f>
        <v>#DIV/0!</v>
      </c>
      <c r="D5" s="591" t="e">
        <f>ROUND(C6*C17+C20,0)</f>
        <v>#DIV/0!</v>
      </c>
      <c r="E5" s="591"/>
      <c r="F5" s="592"/>
      <c r="G5" s="593"/>
      <c r="H5" s="593"/>
      <c r="I5" s="593"/>
      <c r="J5" s="796"/>
      <c r="K5" s="797"/>
      <c r="L5" s="792" t="s">
        <v>1723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993</v>
      </c>
      <c r="B6" s="595" t="s">
        <v>1724</v>
      </c>
      <c r="C6" s="596">
        <f>SUMIF(L1:L12,G2,M1:M12)</f>
        <v>0</v>
      </c>
      <c r="D6" s="597"/>
      <c r="E6" s="598"/>
      <c r="F6" s="598"/>
      <c r="G6" s="599"/>
      <c r="H6" s="599"/>
      <c r="I6" s="599"/>
      <c r="J6" s="798"/>
      <c r="K6" s="799"/>
      <c r="L6" s="792" t="s">
        <v>1725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1726</v>
      </c>
      <c r="B7" s="601" t="s">
        <v>1727</v>
      </c>
      <c r="C7" s="602" t="e">
        <f>IF(C8="不临65条商业街",1,ROUND(1+(1.6*E8+1.2*E9+0.8*E10+0.4*E11)*C9,4))</f>
        <v>#DIV/0!</v>
      </c>
      <c r="D7" s="603" t="s">
        <v>1728</v>
      </c>
      <c r="E7" s="604"/>
      <c r="F7" s="605"/>
      <c r="G7" s="606"/>
      <c r="H7" s="606"/>
      <c r="I7" s="606"/>
      <c r="J7" s="800"/>
      <c r="K7" s="799"/>
      <c r="L7" s="792" t="s">
        <v>1729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1730</v>
      </c>
      <c r="X7" s="889">
        <f>G2</f>
        <v>0</v>
      </c>
      <c r="Y7" s="889" t="s">
        <v>1731</v>
      </c>
      <c r="Z7" s="901">
        <f>G3</f>
        <v>0</v>
      </c>
      <c r="AA7" s="884"/>
      <c r="AB7" s="884"/>
      <c r="AC7" s="897"/>
      <c r="AD7" s="898"/>
      <c r="AE7" s="898"/>
      <c r="AF7" s="898"/>
      <c r="AG7" s="898"/>
      <c r="AH7" s="898"/>
      <c r="AI7" s="898"/>
      <c r="AJ7" s="907"/>
    </row>
    <row r="8" ht="15" spans="1:36">
      <c r="A8" s="607"/>
      <c r="B8" s="584" t="s">
        <v>1732</v>
      </c>
      <c r="C8" s="608"/>
      <c r="D8" s="609" t="s">
        <v>1733</v>
      </c>
      <c r="E8" s="610" t="e">
        <f>ROUND(C11/E7,4)</f>
        <v>#DIV/0!</v>
      </c>
      <c r="F8" s="611" t="s">
        <v>1734</v>
      </c>
      <c r="G8" s="612"/>
      <c r="H8" s="612"/>
      <c r="I8" s="612"/>
      <c r="J8" s="801"/>
      <c r="K8" s="568"/>
      <c r="L8" s="792" t="s">
        <v>1735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1736</v>
      </c>
      <c r="X8" s="891"/>
      <c r="Y8" s="902" t="s">
        <v>1737</v>
      </c>
      <c r="Z8" s="902" t="s">
        <v>1738</v>
      </c>
      <c r="AA8" s="902" t="s">
        <v>1739</v>
      </c>
      <c r="AB8" s="902" t="s">
        <v>1740</v>
      </c>
      <c r="AC8" s="902" t="s">
        <v>1741</v>
      </c>
      <c r="AD8" s="902" t="s">
        <v>1742</v>
      </c>
      <c r="AE8" s="902" t="s">
        <v>1743</v>
      </c>
      <c r="AF8" s="902" t="s">
        <v>1744</v>
      </c>
      <c r="AG8" s="902" t="s">
        <v>1745</v>
      </c>
      <c r="AH8" s="902" t="s">
        <v>1746</v>
      </c>
      <c r="AI8" s="902" t="s">
        <v>1747</v>
      </c>
      <c r="AJ8" s="902" t="s">
        <v>1748</v>
      </c>
    </row>
    <row r="9" ht="15" spans="1:36">
      <c r="A9" s="607"/>
      <c r="B9" s="584" t="s">
        <v>1749</v>
      </c>
      <c r="C9" s="613">
        <f>SUMIF(修正!C71:C138,C8,修正!E71:E138)</f>
        <v>0</v>
      </c>
      <c r="D9" s="614" t="s">
        <v>1750</v>
      </c>
      <c r="E9" s="614" t="e">
        <f>ROUND(C11/E7,4)</f>
        <v>#DIV/0!</v>
      </c>
      <c r="F9" s="611" t="s">
        <v>1751</v>
      </c>
      <c r="G9" s="612"/>
      <c r="H9" s="612"/>
      <c r="I9" s="612"/>
      <c r="J9" s="801"/>
      <c r="K9" s="568"/>
      <c r="L9" s="792" t="s">
        <v>1752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1754</v>
      </c>
      <c r="C10" s="614">
        <f>SUMIF(修正!C71:C138,C8,修正!F71:F138)</f>
        <v>0</v>
      </c>
      <c r="D10" s="614" t="s">
        <v>1755</v>
      </c>
      <c r="E10" s="614" t="e">
        <f>ROUND(C11/E7,4)</f>
        <v>#DIV/0!</v>
      </c>
      <c r="F10" s="611" t="s">
        <v>1756</v>
      </c>
      <c r="G10" s="612"/>
      <c r="H10" s="612"/>
      <c r="I10" s="612"/>
      <c r="J10" s="801"/>
      <c r="K10" s="568"/>
      <c r="L10" s="792" t="s">
        <v>1757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1758</v>
      </c>
      <c r="C11" s="617">
        <f>C10/4</f>
        <v>0</v>
      </c>
      <c r="D11" s="617" t="s">
        <v>1759</v>
      </c>
      <c r="E11" s="617" t="e">
        <f>ROUND(C11/E7,4)</f>
        <v>#DIV/0!</v>
      </c>
      <c r="F11" s="618" t="s">
        <v>1760</v>
      </c>
      <c r="G11" s="619"/>
      <c r="H11" s="619"/>
      <c r="I11" s="619"/>
      <c r="J11" s="802"/>
      <c r="K11" s="568"/>
      <c r="L11" s="792" t="s">
        <v>1761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1762</v>
      </c>
      <c r="B12" s="620" t="s">
        <v>1763</v>
      </c>
      <c r="C12" s="621"/>
      <c r="D12" s="622" t="s">
        <v>1764</v>
      </c>
      <c r="E12" s="623" t="s">
        <v>1765</v>
      </c>
      <c r="F12" s="624"/>
      <c r="G12" s="625"/>
      <c r="H12" s="625"/>
      <c r="I12" s="625"/>
      <c r="J12" s="803"/>
      <c r="K12" s="568"/>
      <c r="L12" s="804" t="s">
        <v>1766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1767</v>
      </c>
      <c r="B13" s="626" t="s">
        <v>1768</v>
      </c>
      <c r="C13" s="602">
        <f>ROUND(C16*D16*E16*F16*G16*H16*I16*J16,4)</f>
        <v>0</v>
      </c>
      <c r="D13" s="627" t="s">
        <v>1769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1770</v>
      </c>
      <c r="C14" s="632" t="s">
        <v>1771</v>
      </c>
      <c r="D14" s="633" t="s">
        <v>1772</v>
      </c>
      <c r="E14" s="634" t="s">
        <v>1773</v>
      </c>
      <c r="F14" s="635" t="s">
        <v>1774</v>
      </c>
      <c r="G14" s="635" t="s">
        <v>1774</v>
      </c>
      <c r="H14" s="635" t="s">
        <v>1774</v>
      </c>
      <c r="I14" s="635" t="s">
        <v>1774</v>
      </c>
      <c r="J14" s="635" t="s">
        <v>1774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1776</v>
      </c>
      <c r="B17" s="646" t="s">
        <v>1777</v>
      </c>
      <c r="C17" s="647">
        <f>ROUND(IF(OR(E2="工业",E2="公共服务"),1,IF(AND(E18=0,E19=0),1,IF(AND(E18=J24,E19=G19),0.8,IF(E19=0,1+E17*(-0.2),1+E17*G17*(-0.2))))),4)</f>
        <v>1</v>
      </c>
      <c r="D17" s="648" t="s">
        <v>1778</v>
      </c>
      <c r="E17" s="647" t="e">
        <f>ROUND(G18/I18,2)</f>
        <v>#DIV/0!</v>
      </c>
      <c r="F17" s="648" t="s">
        <v>1779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1780</v>
      </c>
      <c r="E18" s="653"/>
      <c r="F18" s="654" t="s">
        <v>1781</v>
      </c>
      <c r="G18" s="651">
        <f>ROUND(1-(1/(POWER(1+G24,E18))),4)</f>
        <v>0</v>
      </c>
      <c r="H18" s="654" t="s">
        <v>1782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1783</v>
      </c>
      <c r="E19" s="658"/>
      <c r="F19" s="659" t="s">
        <v>1784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1785</v>
      </c>
      <c r="B20" s="661" t="s">
        <v>1786</v>
      </c>
      <c r="C20" s="662" t="e">
        <f>ROUND(IF(F21="与级别开发程度一致",0,(G21-E21)/C21),0)</f>
        <v>#DIV/0!</v>
      </c>
      <c r="D20" s="663" t="s">
        <v>1787</v>
      </c>
      <c r="E20" s="664"/>
      <c r="F20" s="665" t="s">
        <v>1788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905</v>
      </c>
      <c r="B22" s="676" t="s">
        <v>1790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910</v>
      </c>
      <c r="B23" s="681" t="s">
        <v>1791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1792</v>
      </c>
      <c r="E23" s="684">
        <v>44197</v>
      </c>
      <c r="F23" s="683" t="s">
        <v>1793</v>
      </c>
      <c r="G23" s="685">
        <f>'数据-取费表'!B2</f>
        <v>44977</v>
      </c>
      <c r="H23" s="686" t="s">
        <v>1794</v>
      </c>
      <c r="I23" s="825" t="str">
        <f>IF(H23="季度增幅（自定义）",SUMIF(N25:N28,E2,O25:O28),"")</f>
        <v/>
      </c>
      <c r="J23" s="826" t="s">
        <v>1795</v>
      </c>
      <c r="K23" s="822"/>
      <c r="L23" s="827" t="s">
        <v>1796</v>
      </c>
      <c r="M23" s="828">
        <f>ROUND(SUMIF(地价!B2:G2,E2,地价!B16:G16),0)</f>
        <v>0</v>
      </c>
      <c r="N23" s="829" t="s">
        <v>1797</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913</v>
      </c>
      <c r="B24" s="688" t="s">
        <v>1798</v>
      </c>
      <c r="C24" s="689" t="e">
        <f>ROUND(POWER(1+G24,J24-I24)*(POWER(1+G24,I24)-1)/(POWER(1+G24,J24)-1),4)</f>
        <v>#DIV/0!</v>
      </c>
      <c r="D24" s="690" t="s">
        <v>1799</v>
      </c>
      <c r="E24" s="691">
        <f>存贷款利率!E22/100</f>
        <v>0.0435</v>
      </c>
      <c r="F24" s="690" t="s">
        <v>1800</v>
      </c>
      <c r="G24" s="692">
        <f>SUMIF(M30:Q30,E2,M33:Q33)</f>
        <v>0</v>
      </c>
      <c r="H24" s="690" t="s">
        <v>1801</v>
      </c>
      <c r="I24" s="832" t="e">
        <f>SUMIF('数据-取费表'!C6:C15,E2,'数据-取费表'!F6:F15)/COUNTIF('数据-取费表'!C6:C15,E2)</f>
        <v>#DIV/0!</v>
      </c>
      <c r="J24" s="833">
        <f>IF(E2="住宅",70,IF(E2="商业",40,50))</f>
        <v>50</v>
      </c>
      <c r="K24" s="822"/>
      <c r="L24" s="834" t="s">
        <v>1802</v>
      </c>
      <c r="M24" s="835">
        <f>ROUND(SUMPRODUCT((地价!A4:A16=YEAR(G23)&amp;"-"&amp;ROUNDUP(MONTH(G23)/3,0))*(地价!B2:G2=E2)*(地价!B4:G16)),0)</f>
        <v>0</v>
      </c>
      <c r="N24" s="836" t="s">
        <v>1803</v>
      </c>
      <c r="O24" s="837" t="s">
        <v>1804</v>
      </c>
      <c r="P24" s="838" t="s">
        <v>1805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935</v>
      </c>
      <c r="B25" s="694" t="s">
        <v>1806</v>
      </c>
      <c r="C25" s="695">
        <f>IF(B25="容积率修正",IF(G3&lt;10,D26,J26),C27)</f>
        <v>0</v>
      </c>
      <c r="D25" s="696"/>
      <c r="E25" s="696"/>
      <c r="F25" s="696"/>
      <c r="G25" s="696"/>
      <c r="H25" s="696"/>
      <c r="I25" s="696"/>
      <c r="J25" s="839"/>
      <c r="K25" s="822"/>
      <c r="L25" s="823"/>
      <c r="M25" s="823"/>
      <c r="N25" s="840" t="s">
        <v>1807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1808</v>
      </c>
      <c r="B26" s="698" t="s">
        <v>1809</v>
      </c>
      <c r="C26" s="699" t="s">
        <v>1810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1811</v>
      </c>
      <c r="J26" s="843" t="str">
        <f>IF(G3&gt;=10,D115,"——")</f>
        <v>——</v>
      </c>
      <c r="K26" s="822"/>
      <c r="L26" s="823"/>
      <c r="M26" s="823"/>
      <c r="N26" s="840" t="s">
        <v>1812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1813</v>
      </c>
      <c r="B27" s="701" t="s">
        <v>1814</v>
      </c>
      <c r="C27" s="702">
        <f>ROUND(IF(I3&lt;6,SUMPRODUCT((B106:B110=I3)*(C105:N105=G2)*(C106:N110)),SUMIF(C105:N105,G2,C112:N112)),4)</f>
        <v>0</v>
      </c>
      <c r="D27" s="703"/>
      <c r="E27" s="703"/>
      <c r="F27" s="704"/>
      <c r="G27" s="705"/>
      <c r="H27" s="706"/>
      <c r="I27" s="844"/>
      <c r="J27" s="845"/>
      <c r="K27" s="568"/>
      <c r="L27" s="569"/>
      <c r="M27" s="569"/>
      <c r="N27" s="840" t="s">
        <v>1815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1816</v>
      </c>
      <c r="B28" s="681" t="s">
        <v>1817</v>
      </c>
      <c r="C28" s="682">
        <f>SUMIF(A47:A101,E2,B47:B101)</f>
        <v>0</v>
      </c>
      <c r="D28" s="707"/>
      <c r="E28" s="708"/>
      <c r="F28" s="708"/>
      <c r="G28" s="708"/>
      <c r="H28" s="708"/>
      <c r="I28" s="708"/>
      <c r="J28" s="846"/>
      <c r="K28" s="822"/>
      <c r="L28" s="823"/>
      <c r="M28" s="823"/>
      <c r="N28" s="847" t="s">
        <v>1818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1819</v>
      </c>
      <c r="B29" s="709" t="s">
        <v>1820</v>
      </c>
      <c r="C29" s="710"/>
      <c r="D29" s="606"/>
      <c r="E29" s="606"/>
      <c r="F29" s="711"/>
      <c r="G29" s="606"/>
      <c r="H29" s="606"/>
      <c r="I29" s="606"/>
      <c r="J29" s="800"/>
      <c r="K29" s="568"/>
      <c r="L29" s="569"/>
      <c r="M29" s="569"/>
      <c r="N29" s="850" t="s">
        <v>1821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1822</v>
      </c>
      <c r="C30" s="713" t="e">
        <f>IF(B25="容积率修正",E33+SUM(E37:E42),SUM(V2:V16)+SUM(E37:E42))</f>
        <v>#DIV/0!</v>
      </c>
      <c r="D30" s="714"/>
      <c r="E30" s="703"/>
      <c r="F30" s="715"/>
      <c r="G30" s="703"/>
      <c r="H30" s="703"/>
      <c r="I30" s="703"/>
      <c r="J30" s="853"/>
      <c r="K30" s="568"/>
      <c r="L30" s="854" t="s">
        <v>1713</v>
      </c>
      <c r="M30" s="855" t="s">
        <v>1823</v>
      </c>
      <c r="N30" s="855" t="s">
        <v>1824</v>
      </c>
      <c r="O30" s="855" t="s">
        <v>1825</v>
      </c>
      <c r="P30" s="855" t="s">
        <v>1826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1827</v>
      </c>
      <c r="C31" s="717" t="e">
        <f>E34+SUM(I37:I42)</f>
        <v>#DIV/0!</v>
      </c>
      <c r="D31" s="718"/>
      <c r="E31" s="719"/>
      <c r="F31" s="720"/>
      <c r="G31" s="719"/>
      <c r="H31" s="719"/>
      <c r="I31" s="719"/>
      <c r="J31" s="856"/>
      <c r="K31" s="568"/>
      <c r="L31" s="857" t="s">
        <v>1828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1829</v>
      </c>
      <c r="C32" s="723" t="s">
        <v>1830</v>
      </c>
      <c r="D32" s="723" t="s">
        <v>561</v>
      </c>
      <c r="E32" s="724" t="s">
        <v>1831</v>
      </c>
      <c r="F32" s="725"/>
      <c r="G32" s="629"/>
      <c r="H32" s="629"/>
      <c r="I32" s="629"/>
      <c r="J32" s="806"/>
      <c r="K32" s="568"/>
      <c r="L32" s="858" t="s">
        <v>1800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1832</v>
      </c>
      <c r="C33" s="728" t="e">
        <f>ROUND(C5*C22*C23*C24*C25*C28,0)</f>
        <v>#DIV/0!</v>
      </c>
      <c r="D33" s="729"/>
      <c r="E33" s="730" t="e">
        <f>ROUND(C33*D33/10000,0)</f>
        <v>#DIV/0!</v>
      </c>
      <c r="F33" s="731" t="s">
        <v>1833</v>
      </c>
      <c r="G33" s="732"/>
      <c r="H33" s="732"/>
      <c r="I33" s="732"/>
      <c r="J33" s="860"/>
      <c r="K33" s="568"/>
      <c r="L33" s="861" t="s">
        <v>1834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1835</v>
      </c>
      <c r="C34" s="671" t="e">
        <f>ROUND(IF(E2="工业",C33*M42,IF(B25="楼层修正",SUM(V2:V16)*M41*10000/D34,C33*M41)),0)</f>
        <v>#DIV/0!</v>
      </c>
      <c r="D34" s="735"/>
      <c r="E34" s="730" t="e">
        <f>ROUND(IF(B25="楼层修正",SUM(V2:V16)*M40,C34*D34/10000),0)</f>
        <v>#DIV/0!</v>
      </c>
      <c r="F34" s="736" t="s">
        <v>1836</v>
      </c>
      <c r="G34" s="737"/>
      <c r="H34" s="737"/>
      <c r="I34" s="737"/>
      <c r="J34" s="863"/>
      <c r="K34" s="568"/>
      <c r="L34" s="861" t="s">
        <v>1837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1838</v>
      </c>
      <c r="C35" s="740" t="s">
        <v>1839</v>
      </c>
      <c r="D35" s="629"/>
      <c r="E35" s="741"/>
      <c r="F35" s="741"/>
      <c r="G35" s="627" t="s">
        <v>1836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1830</v>
      </c>
      <c r="D36" s="744" t="s">
        <v>561</v>
      </c>
      <c r="E36" s="744" t="s">
        <v>1831</v>
      </c>
      <c r="F36" s="575" t="s">
        <v>1840</v>
      </c>
      <c r="G36" s="745" t="s">
        <v>1830</v>
      </c>
      <c r="H36" s="745" t="s">
        <v>561</v>
      </c>
      <c r="I36" s="745" t="s">
        <v>1831</v>
      </c>
      <c r="J36" s="445"/>
      <c r="K36" s="865" t="s">
        <v>1841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1847</v>
      </c>
      <c r="M40" s="872"/>
      <c r="Z40" s="752"/>
      <c r="AA40" s="752"/>
      <c r="AB40" s="752"/>
      <c r="AC40" s="752"/>
      <c r="AD40" s="752"/>
      <c r="AE40" s="752"/>
      <c r="AF40" s="752"/>
      <c r="AG40" s="752"/>
      <c r="AH40" s="752"/>
      <c r="AI40" s="752"/>
      <c r="AJ40" s="752"/>
    </row>
    <row r="41" s="568" customFormat="1" spans="1:36">
      <c r="A41" s="749"/>
      <c r="B41" s="632" t="s">
        <v>1848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1849</v>
      </c>
      <c r="M41" s="874">
        <v>0.25</v>
      </c>
      <c r="Z41" s="752"/>
      <c r="AA41" s="752"/>
      <c r="AB41" s="752"/>
      <c r="AC41" s="752"/>
      <c r="AD41" s="752"/>
      <c r="AE41" s="752"/>
      <c r="AF41" s="752"/>
      <c r="AG41" s="752"/>
      <c r="AH41" s="752"/>
      <c r="AI41" s="752"/>
      <c r="AJ41" s="752"/>
    </row>
    <row r="42" s="568" customFormat="1" ht="13.5" spans="1:36">
      <c r="A42" s="733"/>
      <c r="B42" s="750" t="s">
        <v>1850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1851</v>
      </c>
      <c r="C44" s="575" t="e">
        <f>ROUND(POWER(1+E44,H44-G44)*(POWER(1+E44,G44)-1)/(POWER(1+E44,H44)-1),4)</f>
        <v>#DIV/0!</v>
      </c>
      <c r="D44" s="614" t="s">
        <v>1800</v>
      </c>
      <c r="E44" s="754">
        <f>G24</f>
        <v>0</v>
      </c>
      <c r="F44" s="614" t="s">
        <v>1801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1854</v>
      </c>
      <c r="B49" s="768" t="s">
        <v>1855</v>
      </c>
      <c r="C49" s="768" t="s">
        <v>1856</v>
      </c>
      <c r="D49" s="768" t="s">
        <v>1857</v>
      </c>
      <c r="E49" s="769" t="s">
        <v>1858</v>
      </c>
      <c r="F49" s="770" t="s">
        <v>1859</v>
      </c>
      <c r="G49" s="768" t="s">
        <v>1680</v>
      </c>
      <c r="H49" s="771" t="s">
        <v>1860</v>
      </c>
      <c r="I49" s="768" t="s">
        <v>1861</v>
      </c>
      <c r="J49" s="879" t="s">
        <v>1224</v>
      </c>
      <c r="K49" s="879" t="s">
        <v>1225</v>
      </c>
      <c r="L49" s="879" t="s">
        <v>1226</v>
      </c>
      <c r="M49" s="879" t="s">
        <v>1227</v>
      </c>
      <c r="N49" s="879" t="s">
        <v>1228</v>
      </c>
      <c r="AA49" s="752"/>
      <c r="AB49" s="752"/>
      <c r="AC49" s="752"/>
      <c r="AD49" s="752"/>
      <c r="AE49" s="752"/>
      <c r="AF49" s="752"/>
      <c r="AG49" s="752"/>
      <c r="AH49" s="752"/>
      <c r="AI49" s="752"/>
      <c r="AJ49" s="752"/>
      <c r="AK49" s="752"/>
    </row>
    <row r="50" s="568" customFormat="1" ht="36.75" spans="1:37">
      <c r="A50" s="767" t="s">
        <v>1862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1865</v>
      </c>
      <c r="B53" s="781" t="s">
        <v>1866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1868</v>
      </c>
      <c r="B55" s="782" t="s">
        <v>1869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1854</v>
      </c>
      <c r="B60" s="768"/>
      <c r="C60" s="768" t="s">
        <v>1856</v>
      </c>
      <c r="D60" s="768" t="s">
        <v>1857</v>
      </c>
      <c r="E60" s="769" t="s">
        <v>1858</v>
      </c>
      <c r="F60" s="770" t="s">
        <v>1874</v>
      </c>
      <c r="G60" s="768" t="s">
        <v>1680</v>
      </c>
      <c r="H60" s="771" t="s">
        <v>1860</v>
      </c>
      <c r="I60" s="768" t="s">
        <v>1861</v>
      </c>
      <c r="J60" s="879" t="s">
        <v>1224</v>
      </c>
      <c r="K60" s="879" t="s">
        <v>1225</v>
      </c>
      <c r="L60" s="879" t="s">
        <v>1226</v>
      </c>
      <c r="M60" s="879" t="s">
        <v>1227</v>
      </c>
      <c r="N60" s="879" t="s">
        <v>1228</v>
      </c>
      <c r="AA60" s="752"/>
      <c r="AB60" s="752"/>
      <c r="AC60" s="752"/>
      <c r="AD60" s="752"/>
      <c r="AE60" s="752"/>
      <c r="AF60" s="752"/>
      <c r="AG60" s="752"/>
      <c r="AH60" s="752"/>
      <c r="AI60" s="752"/>
      <c r="AJ60" s="752"/>
      <c r="AK60" s="752"/>
    </row>
    <row r="61" s="568" customFormat="1" ht="36.75" spans="1:37">
      <c r="A61" s="767" t="s">
        <v>1875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1865</v>
      </c>
      <c r="B64" s="781" t="s">
        <v>1866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1868</v>
      </c>
      <c r="B66" s="782" t="s">
        <v>1869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1854</v>
      </c>
      <c r="B71" s="768"/>
      <c r="C71" s="768" t="s">
        <v>1856</v>
      </c>
      <c r="D71" s="768" t="s">
        <v>1857</v>
      </c>
      <c r="E71" s="769" t="s">
        <v>1858</v>
      </c>
      <c r="F71" s="770" t="s">
        <v>1874</v>
      </c>
      <c r="G71" s="768" t="s">
        <v>1680</v>
      </c>
      <c r="H71" s="771" t="s">
        <v>1860</v>
      </c>
      <c r="I71" s="768" t="s">
        <v>1861</v>
      </c>
      <c r="J71" s="879" t="s">
        <v>1224</v>
      </c>
      <c r="K71" s="879" t="s">
        <v>1225</v>
      </c>
      <c r="L71" s="879" t="s">
        <v>1226</v>
      </c>
      <c r="M71" s="879" t="s">
        <v>1227</v>
      </c>
      <c r="N71" s="879" t="s">
        <v>1228</v>
      </c>
      <c r="AA71" s="752"/>
      <c r="AB71" s="752"/>
      <c r="AC71" s="752"/>
      <c r="AD71" s="752"/>
      <c r="AE71" s="752"/>
      <c r="AF71" s="752"/>
      <c r="AG71" s="752"/>
      <c r="AH71" s="752"/>
      <c r="AI71" s="752"/>
      <c r="AJ71" s="752"/>
      <c r="AK71" s="752"/>
    </row>
    <row r="72" s="568" customFormat="1" ht="48" spans="1:37">
      <c r="A72" s="767" t="s">
        <v>1877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1868</v>
      </c>
      <c r="B78" s="782" t="s">
        <v>1869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1880</v>
      </c>
      <c r="B81" s="762">
        <f>1+E83</f>
        <v>1</v>
      </c>
      <c r="C81" s="764"/>
      <c r="D81" s="764"/>
      <c r="E81" s="765"/>
      <c r="F81" s="766"/>
      <c r="G81" s="760"/>
      <c r="H81" s="760"/>
      <c r="I81" s="760"/>
      <c r="J81" s="759"/>
      <c r="K81" s="759"/>
      <c r="L81" s="759"/>
      <c r="M81" s="759"/>
      <c r="N81" s="759"/>
      <c r="Z81" s="572"/>
      <c r="AA81" s="570"/>
      <c r="AG81" s="574"/>
      <c r="AK81" s="570"/>
    </row>
    <row r="82" ht="24.75" spans="1:37">
      <c r="A82" s="767" t="s">
        <v>1854</v>
      </c>
      <c r="B82" s="768"/>
      <c r="C82" s="768" t="s">
        <v>1856</v>
      </c>
      <c r="D82" s="768" t="s">
        <v>1857</v>
      </c>
      <c r="E82" s="769" t="s">
        <v>1858</v>
      </c>
      <c r="F82" s="770" t="s">
        <v>1874</v>
      </c>
      <c r="G82" s="768" t="s">
        <v>1680</v>
      </c>
      <c r="H82" s="771" t="s">
        <v>1860</v>
      </c>
      <c r="I82" s="768" t="s">
        <v>1861</v>
      </c>
      <c r="J82" s="879" t="s">
        <v>1224</v>
      </c>
      <c r="K82" s="879" t="s">
        <v>1225</v>
      </c>
      <c r="L82" s="879" t="s">
        <v>1226</v>
      </c>
      <c r="M82" s="879" t="s">
        <v>1227</v>
      </c>
      <c r="N82" s="879" t="s">
        <v>1228</v>
      </c>
      <c r="Z82" s="572"/>
      <c r="AA82" s="570"/>
      <c r="AG82" s="574"/>
      <c r="AK82" s="570"/>
    </row>
    <row r="83" ht="38.25" spans="1:37">
      <c r="A83" s="767" t="s">
        <v>1881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1868</v>
      </c>
      <c r="B89" s="782" t="s">
        <v>1882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1854</v>
      </c>
      <c r="B92" s="926"/>
      <c r="C92" s="926" t="s">
        <v>1856</v>
      </c>
      <c r="D92" s="926" t="s">
        <v>1857</v>
      </c>
      <c r="E92" s="895" t="s">
        <v>1858</v>
      </c>
      <c r="F92" s="927" t="s">
        <v>1874</v>
      </c>
      <c r="G92" s="926" t="s">
        <v>1680</v>
      </c>
      <c r="H92" s="928" t="s">
        <v>1860</v>
      </c>
      <c r="I92" s="926" t="s">
        <v>1861</v>
      </c>
      <c r="J92" s="964" t="s">
        <v>1224</v>
      </c>
      <c r="K92" s="964" t="s">
        <v>1225</v>
      </c>
      <c r="L92" s="964" t="s">
        <v>1226</v>
      </c>
      <c r="M92" s="964" t="s">
        <v>1227</v>
      </c>
      <c r="N92" s="964" t="s">
        <v>1228</v>
      </c>
    </row>
    <row r="93" ht="24" spans="1:14">
      <c r="A93" s="780" t="s">
        <v>1884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1865</v>
      </c>
      <c r="B96" s="934" t="s">
        <v>1866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1868</v>
      </c>
      <c r="B98" s="935" t="s">
        <v>1869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1885</v>
      </c>
      <c r="B103" s="939"/>
      <c r="C103" s="939"/>
      <c r="D103" s="939"/>
      <c r="E103" s="939"/>
      <c r="F103" s="939"/>
      <c r="G103" s="939"/>
      <c r="H103" s="939"/>
      <c r="I103" s="939"/>
      <c r="J103" s="939"/>
      <c r="K103" s="939"/>
      <c r="L103" s="939"/>
      <c r="M103" s="939"/>
      <c r="N103" s="939"/>
    </row>
    <row r="104" spans="1:14">
      <c r="A104" s="940" t="s">
        <v>1886</v>
      </c>
      <c r="B104" s="940" t="s">
        <v>1887</v>
      </c>
      <c r="C104" s="941" t="s">
        <v>1888</v>
      </c>
      <c r="D104" s="942"/>
      <c r="E104" s="942"/>
      <c r="F104" s="942"/>
      <c r="G104" s="942"/>
      <c r="H104" s="942"/>
      <c r="I104" s="942"/>
      <c r="J104" s="965"/>
      <c r="K104" s="966"/>
      <c r="L104" s="966"/>
      <c r="M104" s="966"/>
      <c r="N104" s="966"/>
    </row>
    <row r="105" spans="1:14">
      <c r="A105" s="940"/>
      <c r="B105" s="940"/>
      <c r="C105" s="940" t="s">
        <v>1737</v>
      </c>
      <c r="D105" s="940" t="s">
        <v>1738</v>
      </c>
      <c r="E105" s="940" t="s">
        <v>1739</v>
      </c>
      <c r="F105" s="940" t="s">
        <v>1740</v>
      </c>
      <c r="G105" s="940" t="s">
        <v>1741</v>
      </c>
      <c r="H105" s="940" t="s">
        <v>1742</v>
      </c>
      <c r="I105" s="940" t="s">
        <v>1743</v>
      </c>
      <c r="J105" s="940" t="s">
        <v>1744</v>
      </c>
      <c r="K105" s="940" t="s">
        <v>1745</v>
      </c>
      <c r="L105" s="940" t="s">
        <v>1746</v>
      </c>
      <c r="M105" s="940" t="s">
        <v>1747</v>
      </c>
      <c r="N105" s="940" t="s">
        <v>1748</v>
      </c>
    </row>
    <row r="106" spans="1:14">
      <c r="A106" s="943" t="s">
        <v>1889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1891</v>
      </c>
      <c r="B116" s="950">
        <f>G3</f>
        <v>0</v>
      </c>
      <c r="C116" s="951" t="s">
        <v>1892</v>
      </c>
      <c r="D116" s="952">
        <f>SUMPRODUCT((A118:A122=F116)*(B117:M117=H116)*B118:M122)</f>
        <v>0</v>
      </c>
      <c r="E116" s="578" t="s">
        <v>1713</v>
      </c>
      <c r="F116" s="953">
        <f>E2</f>
        <v>0</v>
      </c>
      <c r="G116" s="578" t="s">
        <v>1714</v>
      </c>
      <c r="H116" s="953">
        <f>G2</f>
        <v>0</v>
      </c>
      <c r="I116" s="578"/>
      <c r="J116" s="967"/>
      <c r="K116" s="967"/>
      <c r="L116" s="967"/>
      <c r="M116" s="967"/>
      <c r="N116" s="948"/>
    </row>
    <row r="117" spans="1:14">
      <c r="A117" s="954"/>
      <c r="B117" s="955" t="s">
        <v>1893</v>
      </c>
      <c r="C117" s="955" t="s">
        <v>1894</v>
      </c>
      <c r="D117" s="955" t="s">
        <v>1895</v>
      </c>
      <c r="E117" s="956" t="s">
        <v>1896</v>
      </c>
      <c r="F117" s="956" t="s">
        <v>1897</v>
      </c>
      <c r="G117" s="956" t="s">
        <v>1898</v>
      </c>
      <c r="H117" s="957" t="s">
        <v>1899</v>
      </c>
      <c r="I117" s="957" t="s">
        <v>1900</v>
      </c>
      <c r="J117" s="968" t="s">
        <v>1901</v>
      </c>
      <c r="K117" s="968" t="s">
        <v>1902</v>
      </c>
      <c r="L117" s="968" t="s">
        <v>1903</v>
      </c>
      <c r="M117" s="969" t="s">
        <v>1904</v>
      </c>
      <c r="N117" s="948"/>
    </row>
    <row r="118" spans="1:14">
      <c r="A118" s="958" t="s">
        <v>1823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1905</v>
      </c>
      <c r="B2" s="502">
        <v>3.5</v>
      </c>
      <c r="C2" s="502">
        <v>3.5</v>
      </c>
      <c r="D2" s="503">
        <v>2.5</v>
      </c>
      <c r="E2" s="503">
        <v>2.5</v>
      </c>
      <c r="F2" s="503">
        <v>2.5</v>
      </c>
      <c r="G2" s="503">
        <v>2.5</v>
      </c>
      <c r="H2" s="503">
        <v>2.5</v>
      </c>
      <c r="I2" s="502">
        <v>2</v>
      </c>
      <c r="J2" s="502">
        <v>2</v>
      </c>
      <c r="K2" s="502">
        <v>2</v>
      </c>
      <c r="L2" s="502">
        <v>2</v>
      </c>
      <c r="M2" s="556">
        <v>2</v>
      </c>
    </row>
    <row r="3" customHeight="1" spans="1:13">
      <c r="A3" s="504" t="s">
        <v>1906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1905</v>
      </c>
      <c r="B20" s="524" t="s">
        <v>1915</v>
      </c>
      <c r="C20" s="525" t="s">
        <v>1916</v>
      </c>
      <c r="D20" s="526"/>
      <c r="E20" s="527">
        <v>1</v>
      </c>
      <c r="F20" s="528" t="s">
        <v>1917</v>
      </c>
      <c r="G20" s="528"/>
    </row>
    <row r="21" customHeight="1" spans="1:7">
      <c r="A21" s="529"/>
      <c r="B21" s="530"/>
      <c r="C21" s="531" t="s">
        <v>1918</v>
      </c>
      <c r="D21" s="532"/>
      <c r="E21" s="533">
        <v>1</v>
      </c>
      <c r="F21" s="528" t="s">
        <v>1919</v>
      </c>
      <c r="G21" s="528"/>
    </row>
    <row r="22" customHeight="1" spans="1:7">
      <c r="A22" s="529"/>
      <c r="B22" s="530"/>
      <c r="C22" s="531" t="s">
        <v>1920</v>
      </c>
      <c r="D22" s="532"/>
      <c r="E22" s="533">
        <v>0.9</v>
      </c>
      <c r="F22" s="528" t="s">
        <v>1921</v>
      </c>
      <c r="G22" s="528"/>
    </row>
    <row r="23" customHeight="1" spans="1:7">
      <c r="A23" s="529"/>
      <c r="B23" s="530"/>
      <c r="C23" s="531" t="s">
        <v>1922</v>
      </c>
      <c r="D23" s="532"/>
      <c r="E23" s="533">
        <v>0.9</v>
      </c>
      <c r="F23" s="528" t="s">
        <v>1923</v>
      </c>
      <c r="G23" s="528"/>
    </row>
    <row r="24" customHeight="1" spans="1:7">
      <c r="A24" s="529"/>
      <c r="B24" s="530"/>
      <c r="C24" s="531" t="s">
        <v>1924</v>
      </c>
      <c r="D24" s="532"/>
      <c r="E24" s="533">
        <v>0.8</v>
      </c>
      <c r="F24" s="528" t="s">
        <v>1925</v>
      </c>
      <c r="G24" s="528"/>
    </row>
    <row r="25" customHeight="1" spans="1:7">
      <c r="A25" s="534"/>
      <c r="B25" s="535"/>
      <c r="C25" s="536" t="s">
        <v>1926</v>
      </c>
      <c r="D25" s="537"/>
      <c r="E25" s="538">
        <v>0.8</v>
      </c>
      <c r="F25" s="528" t="s">
        <v>1927</v>
      </c>
      <c r="G25" s="528"/>
    </row>
    <row r="26" customHeight="1" spans="1:7">
      <c r="A26" s="539" t="s">
        <v>1906</v>
      </c>
      <c r="B26" s="540" t="s">
        <v>1915</v>
      </c>
      <c r="C26" s="541" t="s">
        <v>1928</v>
      </c>
      <c r="D26" s="542"/>
      <c r="E26" s="543">
        <v>1</v>
      </c>
      <c r="F26" s="528" t="s">
        <v>1929</v>
      </c>
      <c r="G26" s="528"/>
    </row>
    <row r="27" customHeight="1" spans="1:7">
      <c r="A27" s="544" t="s">
        <v>280</v>
      </c>
      <c r="B27" s="524" t="s">
        <v>280</v>
      </c>
      <c r="C27" s="525" t="s">
        <v>1930</v>
      </c>
      <c r="D27" s="526"/>
      <c r="E27" s="527">
        <v>1</v>
      </c>
      <c r="F27" s="528" t="s">
        <v>1931</v>
      </c>
      <c r="G27" s="528"/>
    </row>
    <row r="28" customHeight="1" spans="1:7">
      <c r="A28" s="545"/>
      <c r="B28" s="530"/>
      <c r="C28" s="531" t="s">
        <v>1932</v>
      </c>
      <c r="D28" s="532"/>
      <c r="E28" s="533">
        <v>1</v>
      </c>
      <c r="F28" s="528" t="s">
        <v>1933</v>
      </c>
      <c r="G28" s="528"/>
    </row>
    <row r="29" customHeight="1" spans="1:7">
      <c r="A29" s="545"/>
      <c r="B29" s="530"/>
      <c r="C29" s="531" t="s">
        <v>1934</v>
      </c>
      <c r="D29" s="532"/>
      <c r="E29" s="533">
        <v>0.8</v>
      </c>
      <c r="F29" s="528" t="s">
        <v>1935</v>
      </c>
      <c r="G29" s="528"/>
    </row>
    <row r="30" customHeight="1" spans="1:7">
      <c r="A30" s="545"/>
      <c r="B30" s="530"/>
      <c r="C30" s="531" t="s">
        <v>1936</v>
      </c>
      <c r="D30" s="532"/>
      <c r="E30" s="533">
        <v>0.8</v>
      </c>
      <c r="F30" s="528" t="s">
        <v>1937</v>
      </c>
      <c r="G30" s="528"/>
    </row>
    <row r="31" customHeight="1" spans="1:7">
      <c r="A31" s="545"/>
      <c r="B31" s="530"/>
      <c r="C31" s="531" t="s">
        <v>1938</v>
      </c>
      <c r="D31" s="532"/>
      <c r="E31" s="533">
        <v>0.8</v>
      </c>
      <c r="F31" s="528" t="s">
        <v>1939</v>
      </c>
      <c r="G31" s="528"/>
    </row>
    <row r="32" customHeight="1" spans="1:7">
      <c r="A32" s="545"/>
      <c r="B32" s="530"/>
      <c r="C32" s="531" t="s">
        <v>1940</v>
      </c>
      <c r="D32" s="532"/>
      <c r="E32" s="533">
        <v>0.7</v>
      </c>
      <c r="F32" s="528" t="s">
        <v>1941</v>
      </c>
      <c r="G32" s="528"/>
    </row>
    <row r="33" customHeight="1" spans="1:7">
      <c r="A33" s="545"/>
      <c r="B33" s="530"/>
      <c r="C33" s="531" t="s">
        <v>1942</v>
      </c>
      <c r="D33" s="532"/>
      <c r="E33" s="533">
        <v>0.8</v>
      </c>
      <c r="F33" s="528" t="s">
        <v>1943</v>
      </c>
      <c r="G33" s="528"/>
    </row>
    <row r="34" customHeight="1" spans="1:7">
      <c r="A34" s="545"/>
      <c r="B34" s="530"/>
      <c r="C34" s="531" t="s">
        <v>1944</v>
      </c>
      <c r="D34" s="532"/>
      <c r="E34" s="533">
        <v>0.6</v>
      </c>
      <c r="F34" s="528" t="s">
        <v>1945</v>
      </c>
      <c r="G34" s="528"/>
    </row>
    <row r="35" customHeight="1" spans="1:7">
      <c r="A35" s="545"/>
      <c r="B35" s="530"/>
      <c r="C35" s="531" t="s">
        <v>1946</v>
      </c>
      <c r="D35" s="532"/>
      <c r="E35" s="533">
        <v>0.2</v>
      </c>
      <c r="F35" s="528" t="s">
        <v>1947</v>
      </c>
      <c r="G35" s="528"/>
    </row>
    <row r="36" customHeight="1" spans="1:7">
      <c r="A36" s="545"/>
      <c r="B36" s="530"/>
      <c r="C36" s="531" t="s">
        <v>1948</v>
      </c>
      <c r="D36" s="532"/>
      <c r="E36" s="533">
        <v>0.2</v>
      </c>
      <c r="F36" s="528" t="s">
        <v>1949</v>
      </c>
      <c r="G36" s="528"/>
    </row>
    <row r="37" customHeight="1" spans="1:7">
      <c r="A37" s="545"/>
      <c r="B37" s="546" t="s">
        <v>1950</v>
      </c>
      <c r="C37" s="531" t="s">
        <v>1951</v>
      </c>
      <c r="D37" s="532"/>
      <c r="E37" s="533">
        <v>0.6</v>
      </c>
      <c r="F37" s="528" t="s">
        <v>1952</v>
      </c>
      <c r="G37" s="528"/>
    </row>
    <row r="38" customHeight="1" spans="1:7">
      <c r="A38" s="545"/>
      <c r="B38" s="530"/>
      <c r="C38" s="531" t="s">
        <v>1953</v>
      </c>
      <c r="D38" s="532"/>
      <c r="E38" s="533">
        <v>0.6</v>
      </c>
      <c r="F38" s="528" t="s">
        <v>1954</v>
      </c>
      <c r="G38" s="528"/>
    </row>
    <row r="39" customHeight="1" spans="1:7">
      <c r="A39" s="547"/>
      <c r="B39" s="535"/>
      <c r="C39" s="536" t="s">
        <v>1955</v>
      </c>
      <c r="D39" s="537"/>
      <c r="E39" s="538">
        <v>0.6</v>
      </c>
      <c r="F39" s="528" t="s">
        <v>1956</v>
      </c>
      <c r="G39" s="528"/>
    </row>
    <row r="40" customHeight="1" spans="1:7">
      <c r="A40" s="539" t="s">
        <v>412</v>
      </c>
      <c r="B40" s="540" t="s">
        <v>412</v>
      </c>
      <c r="C40" s="541" t="s">
        <v>1957</v>
      </c>
      <c r="D40" s="542"/>
      <c r="E40" s="543">
        <v>1</v>
      </c>
      <c r="F40" s="528" t="s">
        <v>1958</v>
      </c>
      <c r="G40" s="528"/>
    </row>
    <row r="41" customHeight="1" spans="1:7">
      <c r="A41" s="523" t="s">
        <v>408</v>
      </c>
      <c r="B41" s="524" t="s">
        <v>1959</v>
      </c>
      <c r="C41" s="525" t="s">
        <v>1960</v>
      </c>
      <c r="D41" s="526"/>
      <c r="E41" s="527">
        <v>1</v>
      </c>
      <c r="F41" s="528" t="s">
        <v>1961</v>
      </c>
      <c r="G41" s="528"/>
    </row>
    <row r="42" customHeight="1" spans="1:7">
      <c r="A42" s="529"/>
      <c r="B42" s="530"/>
      <c r="C42" s="531" t="s">
        <v>1962</v>
      </c>
      <c r="D42" s="532"/>
      <c r="E42" s="533">
        <v>1</v>
      </c>
      <c r="F42" s="528" t="s">
        <v>1963</v>
      </c>
      <c r="G42" s="528"/>
    </row>
    <row r="43" customHeight="1" spans="1:7">
      <c r="A43" s="529"/>
      <c r="B43" s="548"/>
      <c r="C43" s="531" t="s">
        <v>1964</v>
      </c>
      <c r="D43" s="532"/>
      <c r="E43" s="533">
        <v>1.5</v>
      </c>
      <c r="F43" s="528" t="s">
        <v>1965</v>
      </c>
      <c r="G43" s="528"/>
    </row>
    <row r="44" customHeight="1" spans="1:7">
      <c r="A44" s="529"/>
      <c r="B44" s="549" t="s">
        <v>280</v>
      </c>
      <c r="C44" s="531" t="s">
        <v>1907</v>
      </c>
      <c r="D44" s="532"/>
      <c r="E44" s="533">
        <v>2</v>
      </c>
      <c r="F44" s="528" t="s">
        <v>1966</v>
      </c>
      <c r="G44" s="528"/>
    </row>
    <row r="45" customHeight="1" spans="1:7">
      <c r="A45" s="529"/>
      <c r="B45" s="546" t="s">
        <v>1967</v>
      </c>
      <c r="C45" s="531" t="s">
        <v>1968</v>
      </c>
      <c r="D45" s="532"/>
      <c r="E45" s="533">
        <v>1</v>
      </c>
      <c r="F45" s="528" t="s">
        <v>1969</v>
      </c>
      <c r="G45" s="528"/>
    </row>
    <row r="46" customHeight="1" spans="1:7">
      <c r="A46" s="529"/>
      <c r="B46" s="530"/>
      <c r="C46" s="531" t="s">
        <v>1970</v>
      </c>
      <c r="D46" s="532"/>
      <c r="E46" s="533">
        <v>1</v>
      </c>
      <c r="F46" s="528" t="s">
        <v>1971</v>
      </c>
      <c r="G46" s="528"/>
    </row>
    <row r="47" customHeight="1" spans="1:7">
      <c r="A47" s="529"/>
      <c r="B47" s="530"/>
      <c r="C47" s="531" t="s">
        <v>1972</v>
      </c>
      <c r="D47" s="532"/>
      <c r="E47" s="533">
        <v>1</v>
      </c>
      <c r="F47" s="528" t="s">
        <v>1973</v>
      </c>
      <c r="G47" s="528"/>
    </row>
    <row r="48" customHeight="1" spans="1:7">
      <c r="A48" s="529"/>
      <c r="B48" s="530"/>
      <c r="C48" s="531" t="s">
        <v>1974</v>
      </c>
      <c r="D48" s="532"/>
      <c r="E48" s="533">
        <v>1</v>
      </c>
      <c r="F48" s="528" t="s">
        <v>1975</v>
      </c>
      <c r="G48" s="528"/>
    </row>
    <row r="49" customHeight="1" spans="1:7">
      <c r="A49" s="529"/>
      <c r="B49" s="530"/>
      <c r="C49" s="531" t="s">
        <v>1976</v>
      </c>
      <c r="D49" s="532"/>
      <c r="E49" s="533">
        <v>1</v>
      </c>
      <c r="F49" s="528" t="s">
        <v>1977</v>
      </c>
      <c r="G49" s="528"/>
    </row>
    <row r="50" customHeight="1" spans="1:7">
      <c r="A50" s="529"/>
      <c r="B50" s="530"/>
      <c r="C50" s="531" t="s">
        <v>1978</v>
      </c>
      <c r="D50" s="532"/>
      <c r="E50" s="533">
        <v>1</v>
      </c>
      <c r="F50" s="528" t="s">
        <v>1979</v>
      </c>
      <c r="G50" s="528"/>
    </row>
    <row r="51" customHeight="1" spans="1:7">
      <c r="A51" s="534"/>
      <c r="B51" s="535"/>
      <c r="C51" s="536" t="s">
        <v>1980</v>
      </c>
      <c r="D51" s="537"/>
      <c r="E51" s="538">
        <v>1</v>
      </c>
      <c r="F51" s="528" t="s">
        <v>1981</v>
      </c>
      <c r="G51" s="528"/>
    </row>
    <row r="52" customHeight="1" spans="1:7">
      <c r="A52" s="550"/>
      <c r="B52" s="550"/>
      <c r="C52" s="550"/>
      <c r="D52" s="550"/>
      <c r="E52" s="550"/>
      <c r="F52" s="550"/>
      <c r="G52" s="550"/>
    </row>
    <row r="54" customHeight="1" spans="1:7">
      <c r="A54" s="551"/>
      <c r="B54" s="515" t="s">
        <v>1982</v>
      </c>
      <c r="C54" s="515" t="s">
        <v>1982</v>
      </c>
      <c r="D54" s="515" t="s">
        <v>1982</v>
      </c>
      <c r="E54" s="517" t="s">
        <v>1982</v>
      </c>
      <c r="F54" s="517" t="s">
        <v>1983</v>
      </c>
      <c r="G54" s="517" t="s">
        <v>1982</v>
      </c>
    </row>
    <row r="55" customHeight="1" spans="1:7">
      <c r="A55" s="552"/>
      <c r="B55" s="517" t="s">
        <v>1905</v>
      </c>
      <c r="C55" s="517" t="s">
        <v>1905</v>
      </c>
      <c r="D55" s="517" t="s">
        <v>1905</v>
      </c>
      <c r="E55" s="515" t="s">
        <v>1906</v>
      </c>
      <c r="F55" s="515" t="s">
        <v>408</v>
      </c>
      <c r="G55" s="515" t="s">
        <v>1613</v>
      </c>
    </row>
    <row r="56" customHeight="1" spans="1:7">
      <c r="A56" s="553"/>
      <c r="B56" s="515">
        <v>1</v>
      </c>
      <c r="C56" s="515">
        <v>2</v>
      </c>
      <c r="D56" s="515">
        <v>3</v>
      </c>
      <c r="E56" s="554" t="s">
        <v>1984</v>
      </c>
      <c r="F56" s="554" t="s">
        <v>1984</v>
      </c>
      <c r="G56" s="554" t="s">
        <v>1984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1985</v>
      </c>
      <c r="E70" s="566"/>
      <c r="F70" s="566"/>
    </row>
    <row r="71" customHeight="1" spans="1:6">
      <c r="A71" s="549" t="s">
        <v>1986</v>
      </c>
      <c r="B71" s="549" t="s">
        <v>1987</v>
      </c>
      <c r="C71" s="549" t="s">
        <v>1988</v>
      </c>
      <c r="D71" s="549" t="s">
        <v>1989</v>
      </c>
      <c r="E71" s="549" t="s">
        <v>1990</v>
      </c>
      <c r="F71" s="549" t="s">
        <v>1991</v>
      </c>
    </row>
    <row r="72" ht="13.5" spans="1:6">
      <c r="A72" s="549"/>
      <c r="B72" s="549"/>
      <c r="C72" s="549" t="s">
        <v>1992</v>
      </c>
      <c r="D72" s="549"/>
      <c r="E72" s="549" t="s">
        <v>124</v>
      </c>
      <c r="F72" s="549" t="s">
        <v>124</v>
      </c>
    </row>
    <row r="73" ht="13.5" spans="1:6">
      <c r="A73" s="549">
        <v>1</v>
      </c>
      <c r="B73" s="546" t="s">
        <v>1993</v>
      </c>
      <c r="C73" s="515" t="s">
        <v>1994</v>
      </c>
      <c r="D73" s="515" t="s">
        <v>1995</v>
      </c>
      <c r="E73" s="549">
        <v>0.2</v>
      </c>
      <c r="F73" s="549">
        <v>25</v>
      </c>
    </row>
    <row r="74" ht="24" spans="1:6">
      <c r="A74" s="549">
        <v>2</v>
      </c>
      <c r="B74" s="530"/>
      <c r="C74" s="515" t="s">
        <v>1996</v>
      </c>
      <c r="D74" s="515" t="s">
        <v>1997</v>
      </c>
      <c r="E74" s="549">
        <v>0.2</v>
      </c>
      <c r="F74" s="549">
        <v>25</v>
      </c>
    </row>
    <row r="75" ht="24" spans="1:6">
      <c r="A75" s="549">
        <v>3</v>
      </c>
      <c r="B75" s="530"/>
      <c r="C75" s="515" t="s">
        <v>1998</v>
      </c>
      <c r="D75" s="515" t="s">
        <v>1999</v>
      </c>
      <c r="E75" s="549">
        <v>0.2</v>
      </c>
      <c r="F75" s="549">
        <v>25</v>
      </c>
    </row>
    <row r="76" ht="13.5" spans="1:6">
      <c r="A76" s="549">
        <v>4</v>
      </c>
      <c r="B76" s="530"/>
      <c r="C76" s="515" t="s">
        <v>2000</v>
      </c>
      <c r="D76" s="515" t="s">
        <v>2001</v>
      </c>
      <c r="E76" s="549">
        <v>0.15</v>
      </c>
      <c r="F76" s="549">
        <v>20</v>
      </c>
    </row>
    <row r="77" ht="24" spans="1:6">
      <c r="A77" s="549">
        <v>5</v>
      </c>
      <c r="B77" s="530"/>
      <c r="C77" s="515" t="s">
        <v>2002</v>
      </c>
      <c r="D77" s="515" t="s">
        <v>2003</v>
      </c>
      <c r="E77" s="549">
        <v>0.15</v>
      </c>
      <c r="F77" s="549">
        <v>20</v>
      </c>
    </row>
    <row r="78" ht="24" spans="1:6">
      <c r="A78" s="549">
        <v>6</v>
      </c>
      <c r="B78" s="530"/>
      <c r="C78" s="515" t="s">
        <v>2004</v>
      </c>
      <c r="D78" s="515" t="s">
        <v>2005</v>
      </c>
      <c r="E78" s="549">
        <v>0.15</v>
      </c>
      <c r="F78" s="549">
        <v>20</v>
      </c>
    </row>
    <row r="79" ht="24" spans="1:6">
      <c r="A79" s="549">
        <v>7</v>
      </c>
      <c r="B79" s="530"/>
      <c r="C79" s="515" t="s">
        <v>2006</v>
      </c>
      <c r="D79" s="515" t="s">
        <v>2007</v>
      </c>
      <c r="E79" s="549">
        <v>0.15</v>
      </c>
      <c r="F79" s="549">
        <v>20</v>
      </c>
    </row>
    <row r="80" ht="24" spans="1:6">
      <c r="A80" s="549">
        <v>8</v>
      </c>
      <c r="B80" s="530"/>
      <c r="C80" s="515" t="s">
        <v>2008</v>
      </c>
      <c r="D80" s="515" t="s">
        <v>2009</v>
      </c>
      <c r="E80" s="549">
        <v>0.1</v>
      </c>
      <c r="F80" s="549">
        <v>15</v>
      </c>
    </row>
    <row r="81" ht="24" spans="1:6">
      <c r="A81" s="549">
        <v>9</v>
      </c>
      <c r="B81" s="530"/>
      <c r="C81" s="515" t="s">
        <v>2010</v>
      </c>
      <c r="D81" s="515" t="s">
        <v>2011</v>
      </c>
      <c r="E81" s="549">
        <v>0.1</v>
      </c>
      <c r="F81" s="549">
        <v>15</v>
      </c>
    </row>
    <row r="82" ht="24" spans="1:6">
      <c r="A82" s="549">
        <v>10</v>
      </c>
      <c r="B82" s="530"/>
      <c r="C82" s="515" t="s">
        <v>2012</v>
      </c>
      <c r="D82" s="515" t="s">
        <v>2013</v>
      </c>
      <c r="E82" s="549">
        <v>0.1</v>
      </c>
      <c r="F82" s="549">
        <v>15</v>
      </c>
    </row>
    <row r="83" ht="24" spans="1:6">
      <c r="A83" s="549">
        <v>11</v>
      </c>
      <c r="B83" s="530"/>
      <c r="C83" s="515" t="s">
        <v>2014</v>
      </c>
      <c r="D83" s="515" t="s">
        <v>2015</v>
      </c>
      <c r="E83" s="549">
        <v>0.1</v>
      </c>
      <c r="F83" s="549">
        <v>15</v>
      </c>
    </row>
    <row r="84" ht="24" spans="1:6">
      <c r="A84" s="549">
        <v>12</v>
      </c>
      <c r="B84" s="530"/>
      <c r="C84" s="515" t="s">
        <v>2016</v>
      </c>
      <c r="D84" s="515" t="s">
        <v>2017</v>
      </c>
      <c r="E84" s="549">
        <v>0.1</v>
      </c>
      <c r="F84" s="549">
        <v>15</v>
      </c>
    </row>
    <row r="85" ht="13.5" spans="1:6">
      <c r="A85" s="549">
        <v>13</v>
      </c>
      <c r="B85" s="530"/>
      <c r="C85" s="515" t="s">
        <v>2018</v>
      </c>
      <c r="D85" s="515" t="s">
        <v>2019</v>
      </c>
      <c r="E85" s="549">
        <v>0.1</v>
      </c>
      <c r="F85" s="549">
        <v>15</v>
      </c>
    </row>
    <row r="86" ht="13.5" spans="1:6">
      <c r="A86" s="549">
        <v>14</v>
      </c>
      <c r="B86" s="530"/>
      <c r="C86" s="515" t="s">
        <v>2020</v>
      </c>
      <c r="D86" s="515" t="s">
        <v>2021</v>
      </c>
      <c r="E86" s="549">
        <v>0.1</v>
      </c>
      <c r="F86" s="549">
        <v>15</v>
      </c>
    </row>
    <row r="87" ht="13.5" spans="1:6">
      <c r="A87" s="549">
        <v>15</v>
      </c>
      <c r="B87" s="530"/>
      <c r="C87" s="515" t="s">
        <v>2022</v>
      </c>
      <c r="D87" s="515" t="s">
        <v>2023</v>
      </c>
      <c r="E87" s="549">
        <v>0.1</v>
      </c>
      <c r="F87" s="549">
        <v>15</v>
      </c>
    </row>
    <row r="88" ht="24" spans="1:6">
      <c r="A88" s="549">
        <v>16</v>
      </c>
      <c r="B88" s="530"/>
      <c r="C88" s="515" t="s">
        <v>2024</v>
      </c>
      <c r="D88" s="515" t="s">
        <v>2025</v>
      </c>
      <c r="E88" s="549">
        <v>0.1</v>
      </c>
      <c r="F88" s="549">
        <v>15</v>
      </c>
    </row>
    <row r="89" ht="24" spans="1:6">
      <c r="A89" s="549">
        <v>17</v>
      </c>
      <c r="B89" s="548"/>
      <c r="C89" s="515" t="s">
        <v>2026</v>
      </c>
      <c r="D89" s="515" t="s">
        <v>2027</v>
      </c>
      <c r="E89" s="549">
        <v>0.1</v>
      </c>
      <c r="F89" s="549">
        <v>15</v>
      </c>
    </row>
    <row r="90" ht="13.5" spans="1:6">
      <c r="A90" s="549">
        <v>18</v>
      </c>
      <c r="B90" s="546" t="s">
        <v>2028</v>
      </c>
      <c r="C90" s="515" t="s">
        <v>2029</v>
      </c>
      <c r="D90" s="515" t="s">
        <v>2030</v>
      </c>
      <c r="E90" s="549">
        <v>0.2</v>
      </c>
      <c r="F90" s="549">
        <v>25</v>
      </c>
    </row>
    <row r="91" ht="24" spans="1:6">
      <c r="A91" s="549">
        <v>19</v>
      </c>
      <c r="B91" s="530"/>
      <c r="C91" s="515" t="s">
        <v>2031</v>
      </c>
      <c r="D91" s="515" t="s">
        <v>2032</v>
      </c>
      <c r="E91" s="549">
        <v>0.2</v>
      </c>
      <c r="F91" s="549">
        <v>25</v>
      </c>
    </row>
    <row r="92" ht="13.5" spans="1:6">
      <c r="A92" s="549">
        <v>20</v>
      </c>
      <c r="B92" s="530"/>
      <c r="C92" s="515" t="s">
        <v>2033</v>
      </c>
      <c r="D92" s="515" t="s">
        <v>2034</v>
      </c>
      <c r="E92" s="549">
        <v>0.15</v>
      </c>
      <c r="F92" s="549">
        <v>20</v>
      </c>
    </row>
    <row r="93" ht="13.5" spans="1:6">
      <c r="A93" s="549">
        <v>21</v>
      </c>
      <c r="B93" s="530"/>
      <c r="C93" s="515" t="s">
        <v>2035</v>
      </c>
      <c r="D93" s="515" t="s">
        <v>2036</v>
      </c>
      <c r="E93" s="549">
        <v>0.15</v>
      </c>
      <c r="F93" s="549">
        <v>20</v>
      </c>
    </row>
    <row r="94" ht="13.5" spans="1:6">
      <c r="A94" s="549">
        <v>22</v>
      </c>
      <c r="B94" s="530"/>
      <c r="C94" s="515" t="s">
        <v>2037</v>
      </c>
      <c r="D94" s="515" t="s">
        <v>2038</v>
      </c>
      <c r="E94" s="549">
        <v>0.15</v>
      </c>
      <c r="F94" s="549">
        <v>20</v>
      </c>
    </row>
    <row r="95" ht="36" spans="1:6">
      <c r="A95" s="549">
        <v>23</v>
      </c>
      <c r="B95" s="530"/>
      <c r="C95" s="515" t="s">
        <v>2039</v>
      </c>
      <c r="D95" s="515" t="s">
        <v>2040</v>
      </c>
      <c r="E95" s="549">
        <v>0.15</v>
      </c>
      <c r="F95" s="549">
        <v>20</v>
      </c>
    </row>
    <row r="96" ht="13.5" spans="1:6">
      <c r="A96" s="549">
        <v>24</v>
      </c>
      <c r="B96" s="530"/>
      <c r="C96" s="515" t="s">
        <v>2041</v>
      </c>
      <c r="D96" s="515" t="s">
        <v>2042</v>
      </c>
      <c r="E96" s="549">
        <v>0.1</v>
      </c>
      <c r="F96" s="549">
        <v>15</v>
      </c>
    </row>
    <row r="97" ht="13.5" spans="1:6">
      <c r="A97" s="549">
        <v>25</v>
      </c>
      <c r="B97" s="530"/>
      <c r="C97" s="515" t="s">
        <v>2043</v>
      </c>
      <c r="D97" s="515" t="s">
        <v>2044</v>
      </c>
      <c r="E97" s="549">
        <v>0.1</v>
      </c>
      <c r="F97" s="549">
        <v>15</v>
      </c>
    </row>
    <row r="98" ht="24" spans="1:6">
      <c r="A98" s="549">
        <v>26</v>
      </c>
      <c r="B98" s="530"/>
      <c r="C98" s="515" t="s">
        <v>2045</v>
      </c>
      <c r="D98" s="515" t="s">
        <v>2046</v>
      </c>
      <c r="E98" s="549">
        <v>0.1</v>
      </c>
      <c r="F98" s="549">
        <v>15</v>
      </c>
    </row>
    <row r="99" ht="24" spans="1:6">
      <c r="A99" s="549">
        <v>27</v>
      </c>
      <c r="B99" s="530"/>
      <c r="C99" s="515" t="s">
        <v>2047</v>
      </c>
      <c r="D99" s="515" t="s">
        <v>2048</v>
      </c>
      <c r="E99" s="549">
        <v>0.1</v>
      </c>
      <c r="F99" s="549">
        <v>15</v>
      </c>
    </row>
    <row r="100" ht="13.5" spans="1:6">
      <c r="A100" s="549">
        <v>28</v>
      </c>
      <c r="B100" s="530"/>
      <c r="C100" s="515" t="s">
        <v>2049</v>
      </c>
      <c r="D100" s="515" t="s">
        <v>2050</v>
      </c>
      <c r="E100" s="549">
        <v>0.1</v>
      </c>
      <c r="F100" s="549">
        <v>15</v>
      </c>
    </row>
    <row r="101" ht="13.5" spans="1:6">
      <c r="A101" s="549">
        <v>29</v>
      </c>
      <c r="B101" s="530"/>
      <c r="C101" s="515" t="s">
        <v>2051</v>
      </c>
      <c r="D101" s="515" t="s">
        <v>2052</v>
      </c>
      <c r="E101" s="549">
        <v>0.1</v>
      </c>
      <c r="F101" s="549">
        <v>15</v>
      </c>
    </row>
    <row r="102" ht="13.5" spans="1:6">
      <c r="A102" s="549">
        <v>30</v>
      </c>
      <c r="B102" s="530"/>
      <c r="C102" s="515" t="s">
        <v>2053</v>
      </c>
      <c r="D102" s="515" t="s">
        <v>2054</v>
      </c>
      <c r="E102" s="549">
        <v>0.1</v>
      </c>
      <c r="F102" s="549">
        <v>15</v>
      </c>
    </row>
    <row r="103" ht="24" spans="1:6">
      <c r="A103" s="549">
        <v>31</v>
      </c>
      <c r="B103" s="530"/>
      <c r="C103" s="515" t="s">
        <v>2055</v>
      </c>
      <c r="D103" s="515" t="s">
        <v>2056</v>
      </c>
      <c r="E103" s="549">
        <v>0.1</v>
      </c>
      <c r="F103" s="549">
        <v>15</v>
      </c>
    </row>
    <row r="104" ht="24" spans="1:6">
      <c r="A104" s="549">
        <v>32</v>
      </c>
      <c r="B104" s="530"/>
      <c r="C104" s="515" t="s">
        <v>2057</v>
      </c>
      <c r="D104" s="515" t="s">
        <v>2058</v>
      </c>
      <c r="E104" s="549">
        <v>0.1</v>
      </c>
      <c r="F104" s="549">
        <v>15</v>
      </c>
    </row>
    <row r="105" ht="24" spans="1:6">
      <c r="A105" s="549">
        <v>33</v>
      </c>
      <c r="B105" s="530"/>
      <c r="C105" s="515" t="s">
        <v>2059</v>
      </c>
      <c r="D105" s="515" t="s">
        <v>2060</v>
      </c>
      <c r="E105" s="549">
        <v>0.1</v>
      </c>
      <c r="F105" s="549">
        <v>15</v>
      </c>
    </row>
    <row r="106" ht="24" spans="1:6">
      <c r="A106" s="549">
        <v>34</v>
      </c>
      <c r="B106" s="548"/>
      <c r="C106" s="515" t="s">
        <v>2061</v>
      </c>
      <c r="D106" s="515" t="s">
        <v>2062</v>
      </c>
      <c r="E106" s="549">
        <v>0.1</v>
      </c>
      <c r="F106" s="549">
        <v>15</v>
      </c>
    </row>
    <row r="107" ht="24" spans="1:6">
      <c r="A107" s="549">
        <v>35</v>
      </c>
      <c r="B107" s="546" t="s">
        <v>2063</v>
      </c>
      <c r="C107" s="549" t="s">
        <v>2064</v>
      </c>
      <c r="D107" s="515" t="s">
        <v>2065</v>
      </c>
      <c r="E107" s="549">
        <v>0.15</v>
      </c>
      <c r="F107" s="549">
        <v>20</v>
      </c>
    </row>
    <row r="108" ht="13.5" spans="1:6">
      <c r="A108" s="549">
        <v>36</v>
      </c>
      <c r="B108" s="530"/>
      <c r="C108" s="549" t="s">
        <v>2066</v>
      </c>
      <c r="D108" s="515" t="s">
        <v>2067</v>
      </c>
      <c r="E108" s="549">
        <v>0.15</v>
      </c>
      <c r="F108" s="549">
        <v>20</v>
      </c>
    </row>
    <row r="109" ht="13.5" spans="1:6">
      <c r="A109" s="549">
        <v>37</v>
      </c>
      <c r="B109" s="530"/>
      <c r="C109" s="549" t="s">
        <v>2068</v>
      </c>
      <c r="D109" s="515" t="s">
        <v>2069</v>
      </c>
      <c r="E109" s="549">
        <v>0.15</v>
      </c>
      <c r="F109" s="549">
        <v>20</v>
      </c>
    </row>
    <row r="110" ht="13.5" spans="1:6">
      <c r="A110" s="549">
        <v>38</v>
      </c>
      <c r="B110" s="530"/>
      <c r="C110" s="549" t="s">
        <v>2070</v>
      </c>
      <c r="D110" s="515" t="s">
        <v>2071</v>
      </c>
      <c r="E110" s="549">
        <v>0.1</v>
      </c>
      <c r="F110" s="549">
        <v>15</v>
      </c>
    </row>
    <row r="111" ht="24" spans="1:6">
      <c r="A111" s="549">
        <v>39</v>
      </c>
      <c r="B111" s="530"/>
      <c r="C111" s="549" t="s">
        <v>2072</v>
      </c>
      <c r="D111" s="515" t="s">
        <v>2073</v>
      </c>
      <c r="E111" s="549">
        <v>0.1</v>
      </c>
      <c r="F111" s="549">
        <v>15</v>
      </c>
    </row>
    <row r="112" ht="24" spans="1:6">
      <c r="A112" s="549">
        <v>40</v>
      </c>
      <c r="B112" s="548"/>
      <c r="C112" s="549" t="s">
        <v>2074</v>
      </c>
      <c r="D112" s="515" t="s">
        <v>2075</v>
      </c>
      <c r="E112" s="549">
        <v>0.1</v>
      </c>
      <c r="F112" s="549">
        <v>15</v>
      </c>
    </row>
    <row r="113" ht="13.5" spans="1:6">
      <c r="A113" s="549">
        <v>41</v>
      </c>
      <c r="B113" s="549" t="s">
        <v>2076</v>
      </c>
      <c r="C113" s="549" t="s">
        <v>2077</v>
      </c>
      <c r="D113" s="515" t="s">
        <v>2078</v>
      </c>
      <c r="E113" s="549">
        <v>0.1</v>
      </c>
      <c r="F113" s="549">
        <v>15</v>
      </c>
    </row>
    <row r="114" ht="13.5" spans="1:6">
      <c r="A114" s="549">
        <v>42</v>
      </c>
      <c r="B114" s="549"/>
      <c r="C114" s="549" t="s">
        <v>2079</v>
      </c>
      <c r="D114" s="515" t="s">
        <v>2080</v>
      </c>
      <c r="E114" s="549">
        <v>0.1</v>
      </c>
      <c r="F114" s="549">
        <v>15</v>
      </c>
    </row>
    <row r="115" ht="24" spans="1:6">
      <c r="A115" s="549">
        <v>43</v>
      </c>
      <c r="B115" s="549"/>
      <c r="C115" s="549" t="s">
        <v>2081</v>
      </c>
      <c r="D115" s="515" t="s">
        <v>2082</v>
      </c>
      <c r="E115" s="549">
        <v>0.1</v>
      </c>
      <c r="F115" s="549">
        <v>15</v>
      </c>
    </row>
    <row r="116" ht="13.5" spans="1:6">
      <c r="A116" s="549">
        <v>44</v>
      </c>
      <c r="B116" s="546" t="s">
        <v>2083</v>
      </c>
      <c r="C116" s="549" t="s">
        <v>2084</v>
      </c>
      <c r="D116" s="515" t="s">
        <v>2085</v>
      </c>
      <c r="E116" s="549">
        <v>0.1</v>
      </c>
      <c r="F116" s="549">
        <v>15</v>
      </c>
    </row>
    <row r="117" ht="24" spans="1:6">
      <c r="A117" s="549">
        <v>45</v>
      </c>
      <c r="B117" s="548"/>
      <c r="C117" s="515" t="s">
        <v>2086</v>
      </c>
      <c r="D117" s="515" t="s">
        <v>2087</v>
      </c>
      <c r="E117" s="549">
        <v>0.1</v>
      </c>
      <c r="F117" s="549">
        <v>15</v>
      </c>
    </row>
    <row r="118" ht="24" spans="1:6">
      <c r="A118" s="549">
        <v>46</v>
      </c>
      <c r="B118" s="546" t="s">
        <v>2088</v>
      </c>
      <c r="C118" s="549" t="s">
        <v>2089</v>
      </c>
      <c r="D118" s="515" t="s">
        <v>2090</v>
      </c>
      <c r="E118" s="549">
        <v>0.1</v>
      </c>
      <c r="F118" s="549">
        <v>15</v>
      </c>
    </row>
    <row r="119" ht="24" spans="1:6">
      <c r="A119" s="549">
        <v>47</v>
      </c>
      <c r="B119" s="548"/>
      <c r="C119" s="549" t="s">
        <v>2091</v>
      </c>
      <c r="D119" s="515" t="s">
        <v>2092</v>
      </c>
      <c r="E119" s="549">
        <v>0.1</v>
      </c>
      <c r="F119" s="549">
        <v>15</v>
      </c>
    </row>
    <row r="120" ht="13.5" spans="1:6">
      <c r="A120" s="549">
        <v>48</v>
      </c>
      <c r="B120" s="546" t="s">
        <v>2093</v>
      </c>
      <c r="C120" s="549" t="s">
        <v>2094</v>
      </c>
      <c r="D120" s="515" t="s">
        <v>2095</v>
      </c>
      <c r="E120" s="549">
        <v>0.1</v>
      </c>
      <c r="F120" s="549">
        <v>15</v>
      </c>
    </row>
    <row r="121" ht="13.5" spans="1:6">
      <c r="A121" s="549">
        <v>49</v>
      </c>
      <c r="B121" s="548"/>
      <c r="C121" s="549" t="s">
        <v>2096</v>
      </c>
      <c r="D121" s="515" t="s">
        <v>2097</v>
      </c>
      <c r="E121" s="549">
        <v>0.1</v>
      </c>
      <c r="F121" s="549">
        <v>15</v>
      </c>
    </row>
    <row r="122" ht="24" spans="1:6">
      <c r="A122" s="549">
        <v>50</v>
      </c>
      <c r="B122" s="549" t="s">
        <v>2098</v>
      </c>
      <c r="C122" s="549" t="s">
        <v>2099</v>
      </c>
      <c r="D122" s="515" t="s">
        <v>2100</v>
      </c>
      <c r="E122" s="549">
        <v>0.1</v>
      </c>
      <c r="F122" s="549">
        <v>15</v>
      </c>
    </row>
    <row r="123" ht="24" spans="1:6">
      <c r="A123" s="549">
        <v>51</v>
      </c>
      <c r="B123" s="549"/>
      <c r="C123" s="549" t="s">
        <v>2101</v>
      </c>
      <c r="D123" s="515" t="s">
        <v>2102</v>
      </c>
      <c r="E123" s="549">
        <v>0.1</v>
      </c>
      <c r="F123" s="549">
        <v>15</v>
      </c>
    </row>
    <row r="124" ht="24" spans="1:6">
      <c r="A124" s="549">
        <v>52</v>
      </c>
      <c r="B124" s="549" t="s">
        <v>2103</v>
      </c>
      <c r="C124" s="549" t="s">
        <v>2104</v>
      </c>
      <c r="D124" s="515" t="s">
        <v>2105</v>
      </c>
      <c r="E124" s="549">
        <v>0.1</v>
      </c>
      <c r="F124" s="549">
        <v>15</v>
      </c>
    </row>
    <row r="125" ht="24" spans="1:6">
      <c r="A125" s="549">
        <v>53</v>
      </c>
      <c r="B125" s="549"/>
      <c r="C125" s="549" t="s">
        <v>2106</v>
      </c>
      <c r="D125" s="515" t="s">
        <v>2107</v>
      </c>
      <c r="E125" s="549">
        <v>0.1</v>
      </c>
      <c r="F125" s="549">
        <v>15</v>
      </c>
    </row>
    <row r="126" ht="13.5" spans="1:6">
      <c r="A126" s="549">
        <v>54</v>
      </c>
      <c r="B126" s="549" t="s">
        <v>2108</v>
      </c>
      <c r="C126" s="549" t="s">
        <v>2109</v>
      </c>
      <c r="D126" s="515" t="s">
        <v>2110</v>
      </c>
      <c r="E126" s="549">
        <v>0.1</v>
      </c>
      <c r="F126" s="549">
        <v>15</v>
      </c>
    </row>
    <row r="127" ht="13.5" spans="1:6">
      <c r="A127" s="549">
        <v>55</v>
      </c>
      <c r="B127" s="549" t="s">
        <v>2111</v>
      </c>
      <c r="C127" s="549" t="s">
        <v>2112</v>
      </c>
      <c r="D127" s="515" t="s">
        <v>2113</v>
      </c>
      <c r="E127" s="549">
        <v>0.1</v>
      </c>
      <c r="F127" s="549">
        <v>15</v>
      </c>
    </row>
    <row r="128" ht="13.5" spans="1:6">
      <c r="A128" s="549">
        <v>56</v>
      </c>
      <c r="B128" s="549"/>
      <c r="C128" s="549" t="s">
        <v>2114</v>
      </c>
      <c r="D128" s="515" t="s">
        <v>2115</v>
      </c>
      <c r="E128" s="549">
        <v>0.1</v>
      </c>
      <c r="F128" s="549">
        <v>15</v>
      </c>
    </row>
    <row r="129" ht="24" spans="1:6">
      <c r="A129" s="549">
        <v>57</v>
      </c>
      <c r="B129" s="549"/>
      <c r="C129" s="549" t="s">
        <v>2116</v>
      </c>
      <c r="D129" s="515" t="s">
        <v>2117</v>
      </c>
      <c r="E129" s="549">
        <v>0.1</v>
      </c>
      <c r="F129" s="549">
        <v>15</v>
      </c>
    </row>
    <row r="130" ht="24" spans="1:6">
      <c r="A130" s="549">
        <v>58</v>
      </c>
      <c r="B130" s="549" t="s">
        <v>2118</v>
      </c>
      <c r="C130" s="549" t="s">
        <v>2119</v>
      </c>
      <c r="D130" s="515" t="s">
        <v>2120</v>
      </c>
      <c r="E130" s="549">
        <v>0.1</v>
      </c>
      <c r="F130" s="549">
        <v>15</v>
      </c>
    </row>
    <row r="131" ht="13.5" spans="1:6">
      <c r="A131" s="549">
        <v>59</v>
      </c>
      <c r="B131" s="549"/>
      <c r="C131" s="549" t="s">
        <v>2121</v>
      </c>
      <c r="D131" s="515" t="s">
        <v>2122</v>
      </c>
      <c r="E131" s="549">
        <v>0.1</v>
      </c>
      <c r="F131" s="549">
        <v>15</v>
      </c>
    </row>
    <row r="132" ht="13.5" spans="1:6">
      <c r="A132" s="549">
        <v>60</v>
      </c>
      <c r="B132" s="546" t="s">
        <v>2123</v>
      </c>
      <c r="C132" s="549" t="s">
        <v>2124</v>
      </c>
      <c r="D132" s="515" t="s">
        <v>2125</v>
      </c>
      <c r="E132" s="549">
        <v>0.1</v>
      </c>
      <c r="F132" s="549">
        <v>15</v>
      </c>
    </row>
    <row r="133" ht="13.5"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13.5"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13.5"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5" customWidth="1"/>
    <col min="2" max="2" width="37.25" style="3655" customWidth="1"/>
    <col min="3" max="3" width="11.375" style="3655" customWidth="1"/>
    <col min="4" max="4" width="31.75" style="3655" customWidth="1"/>
    <col min="5" max="5" width="0.5" style="3655" customWidth="1"/>
    <col min="6" max="7" width="13" style="3655" customWidth="1"/>
    <col min="8" max="16384" width="9" style="3655"/>
  </cols>
  <sheetData>
    <row r="1" ht="18.75"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8"/>
      <c r="C2" s="3658"/>
      <c r="D2" s="3658"/>
      <c r="E2" s="3658"/>
    </row>
    <row r="3" ht="18" spans="1:5">
      <c r="A3" s="3659" t="str">
        <f>IF(项目基本情况!B9="房地产市场价值","估价结果一览表（市场价值不需“结果表-1”）","估价结果一览表")</f>
        <v>估价结果一览表（市场价值不需“结果表-1”）</v>
      </c>
      <c r="B3" s="3659"/>
      <c r="C3" s="3659"/>
      <c r="D3" s="3659"/>
      <c r="E3" s="3659"/>
    </row>
    <row r="4" ht="19.5" spans="1:5">
      <c r="A4" s="3659"/>
      <c r="B4" s="3660" t="s">
        <v>95</v>
      </c>
      <c r="C4" s="3660"/>
      <c r="D4" s="3660"/>
      <c r="E4" s="3659"/>
    </row>
    <row r="5" ht="16.5" spans="1:5">
      <c r="A5" s="3657"/>
      <c r="B5" s="3661" t="s">
        <v>96</v>
      </c>
      <c r="C5" s="3662" t="s">
        <v>97</v>
      </c>
      <c r="D5" s="3663" t="e">
        <f ca="1">结果表!H101</f>
        <v>#REF!</v>
      </c>
      <c r="E5" s="3657"/>
    </row>
    <row r="6" ht="15.75" spans="1:5">
      <c r="A6" s="3657"/>
      <c r="B6" s="3661"/>
      <c r="C6" s="3662" t="s">
        <v>98</v>
      </c>
      <c r="D6" s="3663" t="e">
        <f ca="1">NUMBERSTRING(INT(D5*10000),2)&amp;"元整"</f>
        <v>#REF!</v>
      </c>
      <c r="E6" s="3657"/>
    </row>
    <row r="7" ht="15.75" spans="1:5">
      <c r="A7" s="3657"/>
      <c r="B7" s="3664"/>
      <c r="C7" s="3665" t="s">
        <v>99</v>
      </c>
      <c r="D7" s="3666" t="e">
        <f ca="1">结果表!H102</f>
        <v>#REF!</v>
      </c>
      <c r="E7" s="3657"/>
    </row>
    <row r="8" ht="15.75" spans="1:5">
      <c r="A8" s="3657"/>
      <c r="B8" s="3667" t="str">
        <f>结果表!E103</f>
        <v>2.估价师知悉的法定优先受偿款</v>
      </c>
      <c r="C8" s="3668" t="s">
        <v>100</v>
      </c>
      <c r="D8" s="3666">
        <f>结果表!H103</f>
        <v>0</v>
      </c>
      <c r="E8" s="3657"/>
    </row>
    <row r="9" spans="1:5">
      <c r="A9" s="3657"/>
      <c r="B9" s="3669"/>
      <c r="C9" s="3662" t="s">
        <v>98</v>
      </c>
      <c r="D9" s="3663" t="str">
        <f>NUMBERSTRING(INT(D8*10000),2)&amp;"元整"</f>
        <v>零元整</v>
      </c>
      <c r="E9" s="3657"/>
    </row>
    <row r="10" ht="15" spans="1:5">
      <c r="A10" s="3657"/>
      <c r="B10" s="3670" t="s">
        <v>101</v>
      </c>
      <c r="C10" s="3671" t="s">
        <v>102</v>
      </c>
      <c r="D10" s="3672">
        <f>结果表!H104</f>
        <v>0</v>
      </c>
      <c r="E10" s="3657"/>
    </row>
    <row r="11" ht="15" spans="1:5">
      <c r="A11" s="3657"/>
      <c r="B11" s="3670" t="s">
        <v>103</v>
      </c>
      <c r="C11" s="3671" t="s">
        <v>102</v>
      </c>
      <c r="D11" s="3672">
        <f>结果表!H105</f>
        <v>0</v>
      </c>
      <c r="E11" s="3657"/>
    </row>
    <row r="12" ht="15" spans="1:5">
      <c r="A12" s="3657"/>
      <c r="B12" s="3670" t="s">
        <v>104</v>
      </c>
      <c r="C12" s="3671" t="s">
        <v>102</v>
      </c>
      <c r="D12" s="3672">
        <f>结果表!H106</f>
        <v>0</v>
      </c>
      <c r="E12" s="3657"/>
    </row>
    <row r="13" ht="15.75" spans="1:5">
      <c r="A13" s="3657"/>
      <c r="B13" s="3673" t="str">
        <f>结果表!E107</f>
        <v>——</v>
      </c>
      <c r="C13" s="3674" t="s">
        <v>97</v>
      </c>
      <c r="D13" s="3675" t="str">
        <f ca="1">结果表!H107</f>
        <v>——</v>
      </c>
      <c r="E13" s="3657"/>
    </row>
    <row r="14" ht="15.75" spans="1:5">
      <c r="A14" s="3657"/>
      <c r="B14" s="3661"/>
      <c r="C14" s="3662" t="s">
        <v>98</v>
      </c>
      <c r="D14" s="3663" t="e">
        <f ca="1">NUMBERSTRING(INT(D13*10000),2)&amp;"元整"</f>
        <v>#VALUE!</v>
      </c>
      <c r="E14" s="3657"/>
    </row>
    <row r="15" ht="15" spans="1:5">
      <c r="A15" s="3657"/>
      <c r="B15" s="3664"/>
      <c r="C15" s="3665" t="s">
        <v>99</v>
      </c>
      <c r="D15" s="3676" t="e">
        <f ca="1">结果表!H108</f>
        <v>#REF!</v>
      </c>
      <c r="E15" s="3657"/>
    </row>
    <row r="16" ht="15" spans="1:5">
      <c r="A16" s="3657"/>
      <c r="B16" s="3667" t="str">
        <f>结果表!E109</f>
        <v>3.抵押担保权已注销时的房地产抵押价值</v>
      </c>
      <c r="C16" s="3674" t="s">
        <v>97</v>
      </c>
      <c r="D16" s="3677" t="str">
        <f ca="1">结果表!H109</f>
        <v>——</v>
      </c>
      <c r="E16" s="3657"/>
    </row>
    <row r="17" ht="15.75" spans="1:5">
      <c r="A17" s="3657"/>
      <c r="B17" s="3678"/>
      <c r="C17" s="3662" t="s">
        <v>98</v>
      </c>
      <c r="D17" s="3663" t="e">
        <f ca="1">NUMBERSTRING(INT(D16*10000),2)&amp;"元整"</f>
        <v>#VALUE!</v>
      </c>
      <c r="E17" s="3657"/>
    </row>
    <row r="18" ht="15" spans="1:5">
      <c r="A18" s="3657"/>
      <c r="B18" s="3669"/>
      <c r="C18" s="3665" t="s">
        <v>99</v>
      </c>
      <c r="D18" s="3676" t="str">
        <f ca="1">结果表!H110</f>
        <v>——</v>
      </c>
      <c r="E18" s="3657"/>
    </row>
    <row r="19" ht="15.75" spans="1:5">
      <c r="A19" s="3657"/>
      <c r="B19" s="3673" t="str">
        <f>结果表!E111</f>
        <v>——</v>
      </c>
      <c r="C19" s="3674" t="s">
        <v>97</v>
      </c>
      <c r="D19" s="3666" t="str">
        <f ca="1">结果表!H111</f>
        <v>——</v>
      </c>
      <c r="E19" s="3657"/>
    </row>
    <row r="20" ht="15.75" spans="1:5">
      <c r="A20" s="3657"/>
      <c r="B20" s="3661"/>
      <c r="C20" s="3662" t="s">
        <v>98</v>
      </c>
      <c r="D20" s="3663" t="e">
        <f ca="1">NUMBERSTRING(INT(D19*10000),2)&amp;"元整"</f>
        <v>#VALUE!</v>
      </c>
      <c r="E20" s="3657"/>
    </row>
    <row r="21" ht="15.75" spans="1:5">
      <c r="A21" s="3657"/>
      <c r="B21" s="3679"/>
      <c r="C21" s="3680" t="s">
        <v>99</v>
      </c>
      <c r="D21" s="3681" t="str">
        <f ca="1">结果表!H112</f>
        <v>——</v>
      </c>
      <c r="E21" s="3657"/>
    </row>
    <row r="22" ht="15" spans="1:5">
      <c r="A22" s="3657"/>
      <c r="B22" s="3682" t="s">
        <v>105</v>
      </c>
      <c r="C22" s="3657"/>
      <c r="D22" s="3657"/>
      <c r="E22" s="3657"/>
    </row>
    <row r="23" spans="1:5">
      <c r="A23" s="3657"/>
      <c r="B23" s="3657"/>
      <c r="C23" s="3657"/>
      <c r="D23" s="3657"/>
      <c r="E23" s="3657"/>
    </row>
    <row r="24" ht="18.75"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2151</v>
      </c>
      <c r="B1" s="391"/>
      <c r="C1" s="392"/>
      <c r="D1" s="392"/>
      <c r="E1" s="392"/>
      <c r="F1" s="392"/>
      <c r="G1" s="393"/>
    </row>
    <row r="2" s="382" customFormat="1" ht="18" customHeight="1" spans="1:7">
      <c r="A2" s="394" t="s">
        <v>2152</v>
      </c>
      <c r="B2" s="395">
        <f>C52</f>
        <v>29592</v>
      </c>
      <c r="C2" s="396" t="s">
        <v>1460</v>
      </c>
      <c r="D2" s="393"/>
      <c r="E2" s="393"/>
      <c r="F2" s="393"/>
      <c r="G2" s="393"/>
    </row>
    <row r="3" s="382" customFormat="1" ht="18" customHeight="1" spans="1:7">
      <c r="A3" s="397" t="s">
        <v>2153</v>
      </c>
      <c r="B3" s="398">
        <f>ROUND(B2*10000/'数据-汇总表'!E3,0)</f>
        <v>4245624</v>
      </c>
      <c r="C3" s="396" t="s">
        <v>1623</v>
      </c>
      <c r="D3" s="393"/>
      <c r="E3" s="393"/>
      <c r="F3" s="393"/>
      <c r="G3" s="393"/>
    </row>
    <row r="4" s="383" customFormat="1" ht="15.75" spans="1:7">
      <c r="A4" s="399" t="s">
        <v>2154</v>
      </c>
      <c r="B4" s="400"/>
      <c r="C4" s="400"/>
      <c r="D4" s="400"/>
      <c r="E4" s="400"/>
      <c r="F4" s="400"/>
      <c r="G4" s="401"/>
    </row>
    <row r="5" s="384" customFormat="1" ht="13.5" customHeight="1" spans="1:7">
      <c r="A5" s="402" t="s">
        <v>993</v>
      </c>
      <c r="B5" s="403" t="s">
        <v>2155</v>
      </c>
      <c r="C5" s="404">
        <f>C6+C7+C8</f>
        <v>20610</v>
      </c>
      <c r="D5" s="404" t="s">
        <v>2156</v>
      </c>
      <c r="E5" s="405" t="s">
        <v>2157</v>
      </c>
      <c r="F5" s="405" t="s">
        <v>2158</v>
      </c>
      <c r="G5" s="406"/>
    </row>
    <row r="6" s="384" customFormat="1" ht="13.5" customHeight="1" spans="1:7">
      <c r="A6" s="407" t="s">
        <v>997</v>
      </c>
      <c r="B6" s="408" t="s">
        <v>2159</v>
      </c>
      <c r="C6" s="409">
        <v>20000</v>
      </c>
      <c r="D6" s="410"/>
      <c r="E6" s="411"/>
      <c r="F6" s="411"/>
      <c r="G6" s="412"/>
    </row>
    <row r="7" s="384" customFormat="1" ht="13.5" customHeight="1" spans="1:7">
      <c r="A7" s="407" t="s">
        <v>999</v>
      </c>
      <c r="B7" s="408" t="s">
        <v>2160</v>
      </c>
      <c r="C7" s="413">
        <f>ROUND(C6*F7,0)</f>
        <v>610</v>
      </c>
      <c r="D7" s="413"/>
      <c r="E7" s="411"/>
      <c r="F7" s="414">
        <f>'数据-取费表'!B48+'数据-取费表'!B49</f>
        <v>0.0305</v>
      </c>
      <c r="G7" s="412"/>
    </row>
    <row r="8" s="385" customFormat="1" spans="1:7">
      <c r="A8" s="407" t="s">
        <v>1001</v>
      </c>
      <c r="B8" s="408" t="s">
        <v>2161</v>
      </c>
      <c r="C8" s="413" t="str">
        <f>IF(G8="已包含在土地购买价格中","0",'数据-取费表'!B29)</f>
        <v>0</v>
      </c>
      <c r="D8" s="415"/>
      <c r="E8" s="413"/>
      <c r="F8" s="414"/>
      <c r="G8" s="416" t="s">
        <v>2162</v>
      </c>
    </row>
    <row r="9" s="384" customFormat="1" ht="13.5" customHeight="1" spans="1:7">
      <c r="A9" s="417" t="s">
        <v>1003</v>
      </c>
      <c r="B9" s="418" t="s">
        <v>2163</v>
      </c>
      <c r="C9" s="419">
        <f>ROUND(D9*E9/10000,0)</f>
        <v>1</v>
      </c>
      <c r="D9" s="420">
        <f>'数据-汇总表'!E5</f>
        <v>69.7</v>
      </c>
      <c r="E9" s="419">
        <f>'数据-取费表'!B27</f>
        <v>160</v>
      </c>
      <c r="F9" s="414"/>
      <c r="G9" s="421"/>
    </row>
    <row r="10" s="384" customFormat="1" ht="13.5" customHeight="1" spans="1:7">
      <c r="A10" s="417" t="s">
        <v>1006</v>
      </c>
      <c r="B10" s="418" t="s">
        <v>2164</v>
      </c>
      <c r="C10" s="419">
        <f>ROUND(D10*E10/10000,0)</f>
        <v>0</v>
      </c>
      <c r="D10" s="420">
        <f>'数据-汇总表'!E6</f>
        <v>0</v>
      </c>
      <c r="E10" s="419">
        <f>'数据-取费表'!B28</f>
        <v>200</v>
      </c>
      <c r="F10" s="414"/>
      <c r="G10" s="421"/>
    </row>
    <row r="11" s="384" customFormat="1" ht="13.5" hidden="1" customHeight="1" spans="1:7">
      <c r="A11" s="422" t="s">
        <v>1008</v>
      </c>
      <c r="B11" s="408" t="s">
        <v>2165</v>
      </c>
      <c r="C11" s="404"/>
      <c r="D11" s="423"/>
      <c r="E11" s="411"/>
      <c r="F11" s="411"/>
      <c r="G11" s="412"/>
    </row>
    <row r="12" s="384" customFormat="1" ht="13.5" hidden="1" customHeight="1" spans="1:7">
      <c r="A12" s="422" t="s">
        <v>1010</v>
      </c>
      <c r="B12" s="408" t="s">
        <v>2166</v>
      </c>
      <c r="C12" s="404">
        <v>0</v>
      </c>
      <c r="D12" s="423"/>
      <c r="E12" s="424"/>
      <c r="F12" s="414">
        <v>0.0305</v>
      </c>
      <c r="G12" s="412"/>
    </row>
    <row r="13" s="384" customFormat="1" ht="13.5" hidden="1" customHeight="1" spans="1:7">
      <c r="A13" s="422" t="s">
        <v>1011</v>
      </c>
      <c r="B13" s="408" t="s">
        <v>2167</v>
      </c>
      <c r="C13" s="404"/>
      <c r="D13" s="423"/>
      <c r="E13" s="411"/>
      <c r="F13" s="411"/>
      <c r="G13" s="412"/>
    </row>
    <row r="14" s="384" customFormat="1" ht="13.5" hidden="1" customHeight="1" spans="1:7">
      <c r="A14" s="422" t="s">
        <v>1013</v>
      </c>
      <c r="B14" s="408" t="s">
        <v>2161</v>
      </c>
      <c r="C14" s="404"/>
      <c r="D14" s="423"/>
      <c r="E14" s="411"/>
      <c r="F14" s="411"/>
      <c r="G14" s="412" t="s">
        <v>2168</v>
      </c>
    </row>
    <row r="15" s="384" customFormat="1" ht="13.5" hidden="1" customHeight="1" spans="1:7">
      <c r="A15" s="422" t="s">
        <v>1015</v>
      </c>
      <c r="B15" s="408" t="s">
        <v>2169</v>
      </c>
      <c r="C15" s="413"/>
      <c r="D15" s="423"/>
      <c r="E15" s="411"/>
      <c r="F15" s="411"/>
      <c r="G15" s="412" t="s">
        <v>2170</v>
      </c>
    </row>
    <row r="16" s="384" customFormat="1" ht="13.5" hidden="1" customHeight="1" spans="1:7">
      <c r="A16" s="422" t="s">
        <v>1018</v>
      </c>
      <c r="B16" s="408" t="s">
        <v>2161</v>
      </c>
      <c r="C16" s="413"/>
      <c r="D16" s="423"/>
      <c r="E16" s="411"/>
      <c r="F16" s="411"/>
      <c r="G16" s="412"/>
    </row>
    <row r="17" s="384" customFormat="1" ht="13.5" hidden="1" customHeight="1" spans="1:7">
      <c r="A17" s="422" t="s">
        <v>1019</v>
      </c>
      <c r="B17" s="408" t="s">
        <v>2171</v>
      </c>
      <c r="C17" s="425"/>
      <c r="D17" s="426"/>
      <c r="E17" s="425"/>
      <c r="F17" s="425"/>
      <c r="G17" s="412" t="s">
        <v>2170</v>
      </c>
    </row>
    <row r="18" s="384" customFormat="1" ht="13.5" hidden="1" customHeight="1" spans="1:7">
      <c r="A18" s="422" t="s">
        <v>1021</v>
      </c>
      <c r="B18" s="408" t="s">
        <v>2172</v>
      </c>
      <c r="C18" s="413">
        <v>0</v>
      </c>
      <c r="D18" s="423"/>
      <c r="E18" s="411"/>
      <c r="F18" s="414">
        <v>0.0305</v>
      </c>
      <c r="G18" s="412" t="s">
        <v>2173</v>
      </c>
    </row>
    <row r="19" s="385" customFormat="1" ht="13.5" customHeight="1" spans="1:7">
      <c r="A19" s="427" t="s">
        <v>1726</v>
      </c>
      <c r="B19" s="403" t="s">
        <v>2174</v>
      </c>
      <c r="C19" s="404">
        <f>IF(G19="已包含在土地取得成本中","0",ROUND(D19*E19/10000,0))</f>
        <v>1</v>
      </c>
      <c r="D19" s="428">
        <f>'数据-汇总表'!E3</f>
        <v>69.7</v>
      </c>
      <c r="E19" s="404">
        <f>'数据-取费表'!B31</f>
        <v>200</v>
      </c>
      <c r="F19" s="429"/>
      <c r="G19" s="416" t="s">
        <v>2175</v>
      </c>
    </row>
    <row r="20" s="384" customFormat="1" ht="13.5" customHeight="1" spans="1:7">
      <c r="A20" s="427" t="s">
        <v>1762</v>
      </c>
      <c r="B20" s="403" t="s">
        <v>2176</v>
      </c>
      <c r="C20" s="430">
        <f>ROUND((C5+C19)*F20,0)</f>
        <v>412</v>
      </c>
      <c r="D20" s="430"/>
      <c r="E20" s="430"/>
      <c r="F20" s="431">
        <f>'数据-取费表'!B37</f>
        <v>0.02</v>
      </c>
      <c r="G20" s="432" t="s">
        <v>2177</v>
      </c>
    </row>
    <row r="21" s="384" customFormat="1" ht="13.5" customHeight="1" spans="1:7">
      <c r="A21" s="427" t="s">
        <v>1767</v>
      </c>
      <c r="B21" s="403" t="s">
        <v>2178</v>
      </c>
      <c r="C21" s="433">
        <f>F21</f>
        <v>0.02</v>
      </c>
      <c r="D21" s="434" t="s">
        <v>2179</v>
      </c>
      <c r="E21" s="430"/>
      <c r="F21" s="431">
        <f>'数据-取费表'!B38</f>
        <v>0.02</v>
      </c>
      <c r="G21" s="435" t="s">
        <v>2180</v>
      </c>
    </row>
    <row r="22" s="384" customFormat="1" ht="13.5" customHeight="1" spans="1:7">
      <c r="A22" s="427" t="s">
        <v>1776</v>
      </c>
      <c r="B22" s="403" t="s">
        <v>2181</v>
      </c>
      <c r="C22" s="436">
        <f>ROUND(SUM(C23:C25),0)</f>
        <v>2024</v>
      </c>
      <c r="D22" s="433">
        <f>C26</f>
        <v>0.001</v>
      </c>
      <c r="E22" s="434" t="s">
        <v>2179</v>
      </c>
      <c r="F22" s="437">
        <f>'数据-取费表'!B40</f>
        <v>0.0475</v>
      </c>
      <c r="G22" s="432" t="str">
        <f>IF('数据-取费表'!B22&lt;=1,"单利计息","复利计息")</f>
        <v>复利计息</v>
      </c>
    </row>
    <row r="23" s="384" customFormat="1" ht="13.5" customHeight="1" spans="1:7">
      <c r="A23" s="438" t="s">
        <v>997</v>
      </c>
      <c r="B23" s="408" t="s">
        <v>2182</v>
      </c>
      <c r="C23" s="439">
        <f>ROUND(IF('数据-取费表'!B22&lt;=1,C5*F22*'数据-取费表'!B23,C5*(POWER((1+F22),'数据-取费表'!B23)-1)),0)</f>
        <v>2004</v>
      </c>
      <c r="D23" s="440"/>
      <c r="E23" s="440"/>
      <c r="F23" s="441"/>
      <c r="G23" s="442" t="s">
        <v>2183</v>
      </c>
    </row>
    <row r="24" s="384" customFormat="1" ht="13.5" customHeight="1" spans="1:7">
      <c r="A24" s="438" t="s">
        <v>999</v>
      </c>
      <c r="B24" s="408" t="s">
        <v>2184</v>
      </c>
      <c r="C24" s="439">
        <f>ROUND(IF('数据-取费表'!B22&lt;=1,C19*F22*('数据-取费表'!B19/2+'数据-取费表'!B21),C19*(POWER((1+F22),('数据-取费表'!B19/2+'数据-取费表'!B21))-1)),0)</f>
        <v>0</v>
      </c>
      <c r="D24" s="440"/>
      <c r="E24" s="440"/>
      <c r="F24" s="441"/>
      <c r="G24" s="442" t="s">
        <v>2185</v>
      </c>
    </row>
    <row r="25" s="384" customFormat="1" ht="24" spans="1:7">
      <c r="A25" s="438" t="s">
        <v>1001</v>
      </c>
      <c r="B25" s="408" t="s">
        <v>2186</v>
      </c>
      <c r="C25" s="439">
        <f>ROUND(IF('数据-取费表'!B22&lt;=1,C20*F22*'数据-取费表'!B23/2,C20*(POWER((1+F22),'数据-取费表'!B23/2)-1)),0)</f>
        <v>20</v>
      </c>
      <c r="D25" s="440"/>
      <c r="E25" s="443"/>
      <c r="F25" s="441"/>
      <c r="G25" s="444" t="s">
        <v>2187</v>
      </c>
    </row>
    <row r="26" s="384" customFormat="1" spans="1:7">
      <c r="A26" s="438" t="s">
        <v>1041</v>
      </c>
      <c r="B26" s="408" t="s">
        <v>2188</v>
      </c>
      <c r="C26" s="440">
        <f>ROUND(IF('数据-取费表'!B22&lt;=1,F21*F22*'数据-取费表'!B23/2,F21*(POWER((1+F22),'数据-取费表'!B23/2)-1)),4)</f>
        <v>0.001</v>
      </c>
      <c r="D26" s="440"/>
      <c r="E26" s="443"/>
      <c r="F26" s="441"/>
      <c r="G26" s="445"/>
    </row>
    <row r="27" s="384" customFormat="1" ht="24.75" spans="1:7">
      <c r="A27" s="427" t="s">
        <v>1785</v>
      </c>
      <c r="B27" s="446" t="s">
        <v>2189</v>
      </c>
      <c r="C27" s="447">
        <f>C28</f>
        <v>4205</v>
      </c>
      <c r="D27" s="433">
        <f>C29</f>
        <v>0.004</v>
      </c>
      <c r="E27" s="434" t="s">
        <v>2179</v>
      </c>
      <c r="F27" s="448">
        <f>'数据-取费表'!Q16</f>
        <v>0.2</v>
      </c>
      <c r="G27" s="449" t="s">
        <v>2190</v>
      </c>
    </row>
    <row r="28" s="384" customFormat="1" ht="13.5" customHeight="1" spans="1:7">
      <c r="A28" s="438" t="s">
        <v>997</v>
      </c>
      <c r="B28" s="450" t="s">
        <v>2191</v>
      </c>
      <c r="C28" s="451">
        <f>ROUND((C5+C19+C20)*F27*'数据-取费表'!B21/'数据-取费表'!B20,0)</f>
        <v>4205</v>
      </c>
      <c r="D28" s="433"/>
      <c r="E28" s="434"/>
      <c r="F28" s="448"/>
      <c r="G28" s="449"/>
    </row>
    <row r="29" s="384" customFormat="1" ht="13.5" customHeight="1" spans="1:7">
      <c r="A29" s="438" t="s">
        <v>999</v>
      </c>
      <c r="B29" s="450" t="s">
        <v>2192</v>
      </c>
      <c r="C29" s="440">
        <f>ROUND(C21*F27*'数据-取费表'!B21/'数据-取费表'!B20,4)</f>
        <v>0.004</v>
      </c>
      <c r="D29" s="433"/>
      <c r="E29" s="434"/>
      <c r="F29" s="448"/>
      <c r="G29" s="449"/>
    </row>
    <row r="30" s="384" customFormat="1" ht="13.5" customHeight="1" spans="1:7">
      <c r="A30" s="427" t="s">
        <v>2193</v>
      </c>
      <c r="B30" s="403" t="s">
        <v>2194</v>
      </c>
      <c r="C30" s="433">
        <f>F30</f>
        <v>0.056</v>
      </c>
      <c r="D30" s="434" t="s">
        <v>2195</v>
      </c>
      <c r="E30" s="443"/>
      <c r="F30" s="437">
        <f>'数据-取费表'!B41</f>
        <v>0.056</v>
      </c>
      <c r="G30" s="435" t="s">
        <v>2196</v>
      </c>
    </row>
    <row r="31" ht="16.5" customHeight="1" spans="1:7">
      <c r="A31" s="452">
        <v>1</v>
      </c>
      <c r="B31" s="403" t="s">
        <v>2197</v>
      </c>
      <c r="C31" s="404">
        <f>ROUND((C5+C19+C20+C22+C27)/(1-C21-D22-D27-C30/(1+'数据-取费表'!B42)),0)</f>
        <v>29568</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993</v>
      </c>
      <c r="B33" s="403" t="s">
        <v>2200</v>
      </c>
      <c r="C33" s="458">
        <f>SUM(C34:C38)</f>
        <v>29</v>
      </c>
      <c r="D33" s="430"/>
      <c r="E33" s="405"/>
      <c r="F33" s="443"/>
      <c r="G33" s="435"/>
    </row>
    <row r="34" s="386" customFormat="1" ht="13.5" customHeight="1" spans="1:7">
      <c r="A34" s="438" t="s">
        <v>997</v>
      </c>
      <c r="B34" s="408" t="s">
        <v>2201</v>
      </c>
      <c r="C34" s="413">
        <f>IF(F34=100%,'数据-取费表'!M16-SUMIF('数据-取费表'!C:C,"公共配套",'数据-取费表'!M:M),'数据-取费表'!O16-SUMIF('数据-取费表'!C:C,"公共配套",'数据-取费表'!O:O))</f>
        <v>24</v>
      </c>
      <c r="D34" s="410"/>
      <c r="E34" s="413"/>
      <c r="F34" s="459">
        <f>IF('数据-取费表'!B24=0,1,'数据-取费表'!N16)</f>
        <v>1</v>
      </c>
      <c r="G34" s="412" t="s">
        <v>2202</v>
      </c>
    </row>
    <row r="35" ht="13.5" customHeight="1" spans="1:7">
      <c r="A35" s="438" t="s">
        <v>999</v>
      </c>
      <c r="B35" s="408" t="s">
        <v>2203</v>
      </c>
      <c r="C35" s="413">
        <f>ROUND(C34*F35,0)</f>
        <v>1</v>
      </c>
      <c r="D35" s="413"/>
      <c r="E35" s="413"/>
      <c r="F35" s="460">
        <f>'数据-取费表'!B33</f>
        <v>0.03</v>
      </c>
      <c r="G35" s="412" t="s">
        <v>2204</v>
      </c>
    </row>
    <row r="36" ht="24" spans="1:7">
      <c r="A36" s="438" t="s">
        <v>1001</v>
      </c>
      <c r="B36" s="408" t="s">
        <v>2205</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0.1</v>
      </c>
      <c r="G36" s="461" t="s">
        <v>2206</v>
      </c>
    </row>
    <row r="37" s="386" customFormat="1" ht="13.5" customHeight="1" spans="1:7">
      <c r="A37" s="438" t="s">
        <v>1041</v>
      </c>
      <c r="B37" s="408" t="s">
        <v>2207</v>
      </c>
      <c r="C37" s="451">
        <f>ROUND(E37*D37*F34/10000,0)</f>
        <v>2</v>
      </c>
      <c r="D37" s="410">
        <f>'数据-汇总表'!E3</f>
        <v>69.7</v>
      </c>
      <c r="E37" s="451">
        <f>'数据-取费表'!B35</f>
        <v>300</v>
      </c>
      <c r="F37" s="460"/>
      <c r="G37" s="462" t="s">
        <v>2208</v>
      </c>
    </row>
    <row r="38" ht="13.5" customHeight="1" spans="1:7">
      <c r="A38" s="438" t="s">
        <v>1063</v>
      </c>
      <c r="B38" s="408" t="s">
        <v>2166</v>
      </c>
      <c r="C38" s="413">
        <f>ROUND(C34*F38,0)</f>
        <v>0</v>
      </c>
      <c r="D38" s="413"/>
      <c r="E38" s="413"/>
      <c r="F38" s="460">
        <f>'数据-取费表'!B36</f>
        <v>0.015</v>
      </c>
      <c r="G38" s="412" t="s">
        <v>2204</v>
      </c>
    </row>
    <row r="39" s="384" customFormat="1" ht="13.5" customHeight="1" spans="1:7">
      <c r="A39" s="427" t="s">
        <v>1726</v>
      </c>
      <c r="B39" s="403" t="s">
        <v>2176</v>
      </c>
      <c r="C39" s="430">
        <f>ROUND(C33*F20,0)</f>
        <v>1</v>
      </c>
      <c r="D39" s="430"/>
      <c r="E39" s="430"/>
      <c r="F39" s="431"/>
      <c r="G39" s="432" t="s">
        <v>2209</v>
      </c>
    </row>
    <row r="40" s="384" customFormat="1" ht="13.5" customHeight="1" spans="1:7">
      <c r="A40" s="427" t="s">
        <v>1762</v>
      </c>
      <c r="B40" s="403" t="s">
        <v>2178</v>
      </c>
      <c r="C40" s="463">
        <f>F21</f>
        <v>0.02</v>
      </c>
      <c r="D40" s="434" t="s">
        <v>2210</v>
      </c>
      <c r="E40" s="430"/>
      <c r="F40" s="431"/>
      <c r="G40" s="435" t="s">
        <v>2211</v>
      </c>
    </row>
    <row r="41" s="384" customFormat="1" ht="13.5" customHeight="1" spans="1:7">
      <c r="A41" s="427" t="s">
        <v>1767</v>
      </c>
      <c r="B41" s="403" t="s">
        <v>2181</v>
      </c>
      <c r="C41" s="430">
        <f>ROUND(SUM(C42:C43),0)</f>
        <v>1</v>
      </c>
      <c r="D41" s="433">
        <f>C44</f>
        <v>0.001</v>
      </c>
      <c r="E41" s="434" t="s">
        <v>2210</v>
      </c>
      <c r="F41" s="437"/>
      <c r="G41" s="432" t="str">
        <f>IF('数据-取费表'!B22&lt;=1,"单利计息","复利计息")</f>
        <v>复利计息</v>
      </c>
    </row>
    <row r="42" ht="13.5" customHeight="1" spans="1:7">
      <c r="A42" s="438" t="s">
        <v>997</v>
      </c>
      <c r="B42" s="408" t="s">
        <v>2182</v>
      </c>
      <c r="C42" s="440">
        <f>ROUND(IF('数据-取费表'!B22&lt;=1,C33*F22*'数据-取费表'!B21/2,C33*(POWER((1+F22),'数据-取费表'!B21/2)-1)),0)</f>
        <v>1</v>
      </c>
      <c r="D42" s="440"/>
      <c r="E42" s="440"/>
      <c r="F42" s="441"/>
      <c r="G42" s="464" t="s">
        <v>2212</v>
      </c>
    </row>
    <row r="43" ht="13.5" customHeight="1" spans="1:7">
      <c r="A43" s="438" t="s">
        <v>999</v>
      </c>
      <c r="B43" s="408" t="s">
        <v>2184</v>
      </c>
      <c r="C43" s="440">
        <f>ROUND(IF('数据-取费表'!B22&lt;=1,C39*F22*'数据-取费表'!B21/2,C39*(POWER((1+F22),'数据-取费表'!B21/2)-1)),0)</f>
        <v>0</v>
      </c>
      <c r="D43" s="440"/>
      <c r="E43" s="440"/>
      <c r="F43" s="441"/>
      <c r="G43" s="465"/>
    </row>
    <row r="44" ht="13.5" customHeight="1" spans="1:7">
      <c r="A44" s="438" t="s">
        <v>1001</v>
      </c>
      <c r="B44" s="408" t="s">
        <v>2186</v>
      </c>
      <c r="C44" s="440">
        <f>ROUND(IF('数据-取费表'!B22&lt;=1,C40*F22*'数据-取费表'!B21/2,C40*(POWER((1+F22),'数据-取费表'!B21/2)-1)),4)</f>
        <v>0.001</v>
      </c>
      <c r="D44" s="440"/>
      <c r="E44" s="440"/>
      <c r="F44" s="441"/>
      <c r="G44" s="466"/>
    </row>
    <row r="45" s="384" customFormat="1" ht="13.5" customHeight="1" spans="1:7">
      <c r="A45" s="427" t="s">
        <v>1776</v>
      </c>
      <c r="B45" s="446" t="s">
        <v>2189</v>
      </c>
      <c r="C45" s="447">
        <f>C46</f>
        <v>6</v>
      </c>
      <c r="D45" s="433">
        <f>C47</f>
        <v>0.004</v>
      </c>
      <c r="E45" s="434" t="s">
        <v>2210</v>
      </c>
      <c r="F45" s="448"/>
      <c r="G45" s="449" t="s">
        <v>2213</v>
      </c>
    </row>
    <row r="46" s="384" customFormat="1" ht="13.5" customHeight="1" spans="1:7">
      <c r="A46" s="438" t="s">
        <v>997</v>
      </c>
      <c r="B46" s="450" t="s">
        <v>2214</v>
      </c>
      <c r="C46" s="451">
        <f>ROUND((C33+C39)*F27,0)</f>
        <v>6</v>
      </c>
      <c r="D46" s="467"/>
      <c r="E46" s="434"/>
      <c r="F46" s="448"/>
      <c r="G46" s="449"/>
    </row>
    <row r="47" s="384" customFormat="1" ht="13.5" customHeight="1" spans="1:7">
      <c r="A47" s="438" t="s">
        <v>999</v>
      </c>
      <c r="B47" s="450" t="s">
        <v>2215</v>
      </c>
      <c r="C47" s="440">
        <f>ROUND(C40*F27,4)</f>
        <v>0.004</v>
      </c>
      <c r="D47" s="467"/>
      <c r="E47" s="434"/>
      <c r="F47" s="448"/>
      <c r="G47" s="449"/>
    </row>
    <row r="48" s="384" customFormat="1" ht="13.5" customHeight="1" spans="1:7">
      <c r="A48" s="427" t="s">
        <v>1785</v>
      </c>
      <c r="B48" s="403" t="s">
        <v>2194</v>
      </c>
      <c r="C48" s="463">
        <f>F30</f>
        <v>0.056</v>
      </c>
      <c r="D48" s="434" t="s">
        <v>2216</v>
      </c>
      <c r="E48" s="430"/>
      <c r="F48" s="437"/>
      <c r="G48" s="435" t="s">
        <v>2217</v>
      </c>
    </row>
    <row r="49" ht="16.5" customHeight="1" spans="1:7">
      <c r="A49" s="427" t="s">
        <v>2193</v>
      </c>
      <c r="B49" s="403" t="s">
        <v>2218</v>
      </c>
      <c r="C49" s="430">
        <f>ROUND((C33+C39+C41+C45)/(1-C40-D41-D45-C48/(1+'数据-取费表'!B42)),0)</f>
        <v>40</v>
      </c>
      <c r="D49" s="430"/>
      <c r="E49" s="430"/>
      <c r="F49" s="468"/>
      <c r="G49" s="435" t="s">
        <v>2219</v>
      </c>
    </row>
    <row r="50" s="386" customFormat="1" ht="24" spans="1:7">
      <c r="A50" s="427" t="s">
        <v>2220</v>
      </c>
      <c r="B50" s="403" t="s">
        <v>2221</v>
      </c>
      <c r="C50" s="430"/>
      <c r="D50" s="430"/>
      <c r="E50" s="430"/>
      <c r="F50" s="468">
        <f>IF('数据-取费表'!B24=0,'数据-取费表'!N16,1)</f>
        <v>0.6</v>
      </c>
      <c r="G50" s="449" t="s">
        <v>2222</v>
      </c>
    </row>
    <row r="51" ht="16.5" customHeight="1" spans="1:7">
      <c r="A51" s="427" t="s">
        <v>2223</v>
      </c>
      <c r="B51" s="403" t="s">
        <v>2224</v>
      </c>
      <c r="C51" s="430">
        <f>ROUND(C49*F50,0)</f>
        <v>24</v>
      </c>
      <c r="D51" s="430"/>
      <c r="E51" s="430"/>
      <c r="F51" s="468"/>
      <c r="G51" s="435" t="s">
        <v>2225</v>
      </c>
    </row>
    <row r="52" s="383" customFormat="1" ht="16.5" spans="1:7">
      <c r="A52" s="469" t="s">
        <v>2226</v>
      </c>
      <c r="B52" s="470"/>
      <c r="C52" s="471">
        <f>C31+C51</f>
        <v>29592</v>
      </c>
      <c r="D52" s="470"/>
      <c r="E52" s="470"/>
      <c r="F52" s="470"/>
      <c r="G52" s="472"/>
    </row>
    <row r="55" ht="15" spans="2:3">
      <c r="B55" s="473" t="s">
        <v>2227</v>
      </c>
      <c r="C55" s="474"/>
    </row>
    <row r="56" spans="2:3">
      <c r="B56" s="475" t="s">
        <v>2228</v>
      </c>
      <c r="C56" s="476">
        <f>ROUND(C51/C52,3)</f>
        <v>0.001</v>
      </c>
    </row>
    <row r="57" spans="2:3">
      <c r="B57" s="475" t="s">
        <v>2229</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1905</v>
      </c>
      <c r="D3" s="356" t="s">
        <v>1906</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2616</v>
      </c>
      <c r="B1" s="313"/>
    </row>
    <row r="2" ht="14.25" spans="1:2">
      <c r="A2" s="313"/>
      <c r="B2" s="313"/>
    </row>
    <row r="3" ht="14.25" spans="1:7">
      <c r="A3" s="313"/>
      <c r="B3" s="313"/>
      <c r="C3" s="314" t="s">
        <v>1905</v>
      </c>
      <c r="D3" s="314" t="s">
        <v>1906</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2621</v>
      </c>
      <c r="B1" s="301"/>
      <c r="C1" s="301"/>
      <c r="D1" s="301"/>
      <c r="E1" s="301"/>
      <c r="F1" s="302"/>
    </row>
    <row r="2" spans="1:6">
      <c r="A2" s="303" t="s">
        <v>2622</v>
      </c>
      <c r="B2" s="304"/>
      <c r="C2" s="304"/>
      <c r="D2" s="304"/>
      <c r="E2" s="304"/>
      <c r="F2" s="304"/>
    </row>
    <row r="3" spans="1:6">
      <c r="A3" s="303" t="s">
        <v>2623</v>
      </c>
      <c r="B3" s="304"/>
      <c r="C3" s="304"/>
      <c r="D3" s="304"/>
      <c r="E3" s="304"/>
      <c r="F3" s="305" t="s">
        <v>2624</v>
      </c>
    </row>
    <row r="4" spans="1:6">
      <c r="A4" s="306" t="s">
        <v>404</v>
      </c>
      <c r="B4" s="306" t="s">
        <v>1905</v>
      </c>
      <c r="C4" s="306" t="s">
        <v>1906</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44977</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1905</v>
      </c>
      <c r="F2" s="231" t="s">
        <v>1906</v>
      </c>
      <c r="G2" s="231" t="s">
        <v>412</v>
      </c>
      <c r="H2" s="231" t="s">
        <v>408</v>
      </c>
      <c r="I2" s="231" t="s">
        <v>280</v>
      </c>
      <c r="J2" s="254"/>
      <c r="K2" s="230" t="s">
        <v>2630</v>
      </c>
      <c r="L2" s="231" t="s">
        <v>1905</v>
      </c>
      <c r="M2" s="231" t="s">
        <v>1906</v>
      </c>
      <c r="N2" s="231" t="s">
        <v>412</v>
      </c>
      <c r="O2" s="231" t="s">
        <v>408</v>
      </c>
      <c r="P2" s="231" t="s">
        <v>280</v>
      </c>
      <c r="Q2" s="254"/>
      <c r="R2" s="230" t="s">
        <v>2630</v>
      </c>
      <c r="S2" s="231" t="s">
        <v>1905</v>
      </c>
      <c r="T2" s="231" t="s">
        <v>1906</v>
      </c>
      <c r="U2" s="231" t="s">
        <v>412</v>
      </c>
      <c r="V2" s="231" t="s">
        <v>408</v>
      </c>
      <c r="W2" s="231" t="s">
        <v>280</v>
      </c>
      <c r="X2" s="254"/>
      <c r="Y2" s="230" t="s">
        <v>2630</v>
      </c>
      <c r="Z2" s="231" t="s">
        <v>1905</v>
      </c>
      <c r="AA2" s="231" t="s">
        <v>1906</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1565</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1905</v>
      </c>
      <c r="F22" s="231" t="s">
        <v>1906</v>
      </c>
      <c r="G22" s="231" t="s">
        <v>412</v>
      </c>
      <c r="H22" s="231"/>
      <c r="I22" s="231" t="s">
        <v>280</v>
      </c>
      <c r="J22" s="254"/>
      <c r="K22" s="230" t="s">
        <v>2630</v>
      </c>
      <c r="L22" s="231" t="s">
        <v>1905</v>
      </c>
      <c r="M22" s="231" t="s">
        <v>1906</v>
      </c>
      <c r="N22" s="231" t="s">
        <v>412</v>
      </c>
      <c r="O22" s="231"/>
      <c r="P22" s="231" t="s">
        <v>280</v>
      </c>
      <c r="Q22" s="254"/>
      <c r="R22" s="230" t="s">
        <v>2630</v>
      </c>
      <c r="S22" s="231" t="s">
        <v>1905</v>
      </c>
      <c r="T22" s="231" t="s">
        <v>1906</v>
      </c>
      <c r="U22" s="231" t="s">
        <v>412</v>
      </c>
      <c r="V22" s="231"/>
      <c r="W22" s="231" t="s">
        <v>280</v>
      </c>
      <c r="X22" s="254"/>
      <c r="Y22" s="230" t="s">
        <v>2630</v>
      </c>
      <c r="Z22" s="231" t="s">
        <v>1905</v>
      </c>
      <c r="AA22" s="231" t="s">
        <v>1906</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1906</v>
      </c>
      <c r="E2" s="87" t="s">
        <v>412</v>
      </c>
      <c r="F2" s="86" t="s">
        <v>2652</v>
      </c>
      <c r="G2" s="88"/>
      <c r="I2" s="86" t="s">
        <v>2650</v>
      </c>
      <c r="J2" s="87" t="s">
        <v>1915</v>
      </c>
      <c r="K2" s="87" t="s">
        <v>412</v>
      </c>
      <c r="L2" s="86" t="s">
        <v>2652</v>
      </c>
      <c r="N2" s="86" t="s">
        <v>2650</v>
      </c>
      <c r="O2" s="87" t="s">
        <v>1915</v>
      </c>
      <c r="P2" s="87" t="s">
        <v>412</v>
      </c>
      <c r="Q2" s="86" t="s">
        <v>2652</v>
      </c>
      <c r="S2" s="86" t="s">
        <v>2650</v>
      </c>
      <c r="T2" s="87" t="s">
        <v>1915</v>
      </c>
      <c r="U2" s="87" t="s">
        <v>412</v>
      </c>
      <c r="V2" s="86" t="s">
        <v>2652</v>
      </c>
      <c r="X2" s="86" t="s">
        <v>2650</v>
      </c>
      <c r="Y2" s="86" t="s">
        <v>2651</v>
      </c>
      <c r="Z2" s="87" t="s">
        <v>1906</v>
      </c>
      <c r="AA2" s="87" t="s">
        <v>412</v>
      </c>
      <c r="AB2" s="86" t="s">
        <v>2652</v>
      </c>
      <c r="AD2" s="86" t="s">
        <v>2650</v>
      </c>
      <c r="AE2" s="86" t="s">
        <v>2651</v>
      </c>
      <c r="AF2" s="87" t="s">
        <v>1906</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44977</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4" t="str">
        <f>IF(项目基本情况!B9="房地产市场价值","估价结果一览表","结果表-2")</f>
        <v>估价结果一览表</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房地产市场价值</v>
      </c>
      <c r="I2" s="3645"/>
    </row>
    <row r="3" ht="15" spans="1:9">
      <c r="A3" s="3646"/>
      <c r="B3" s="3646"/>
      <c r="C3" s="3646"/>
      <c r="D3" s="3646" t="s">
        <v>110</v>
      </c>
      <c r="E3" s="3646" t="s">
        <v>111</v>
      </c>
      <c r="F3" s="3646" t="s">
        <v>110</v>
      </c>
      <c r="G3" s="3646" t="s">
        <v>111</v>
      </c>
      <c r="H3" s="3646" t="s">
        <v>110</v>
      </c>
      <c r="I3" s="3646" t="s">
        <v>111</v>
      </c>
    </row>
    <row r="4" ht="15" spans="1:9">
      <c r="A4" s="3647" t="str">
        <f>项目基本情况!S2</f>
        <v>北京市房地产</v>
      </c>
      <c r="B4" s="3646">
        <f>项目基本情况!C17</f>
        <v>69.7</v>
      </c>
      <c r="C4" s="3646">
        <f>项目基本情况!C18</f>
        <v>0</v>
      </c>
      <c r="D4" s="3646" t="e">
        <f ca="1">结果表!D118</f>
        <v>#REF!</v>
      </c>
      <c r="E4" s="3646" t="e">
        <f ca="1">结果表!E118</f>
        <v>#REF!</v>
      </c>
      <c r="F4" s="3646" t="e">
        <f ca="1">结果表!F118</f>
        <v>#REF!</v>
      </c>
      <c r="G4" s="3646" t="e">
        <f ca="1">结果表!G118</f>
        <v>#REF!</v>
      </c>
      <c r="H4" s="3646" t="e">
        <f ca="1">结果表!H118</f>
        <v>#REF!</v>
      </c>
      <c r="I4" s="3646" t="e">
        <f ca="1">结果表!I118</f>
        <v>#REF!</v>
      </c>
    </row>
    <row r="5" ht="30" customHeight="1" spans="1:9">
      <c r="A5" s="3646" t="s">
        <v>112</v>
      </c>
      <c r="B5" s="3646"/>
      <c r="C5" s="3646"/>
      <c r="D5" s="3646" t="e">
        <f ca="1">结果表!D119</f>
        <v>#REF!</v>
      </c>
      <c r="E5" s="3646"/>
      <c r="F5" s="3646" t="e">
        <f ca="1">结果表!F119</f>
        <v>#REF!</v>
      </c>
      <c r="G5" s="3646"/>
      <c r="H5" s="3646" t="e">
        <f ca="1">结果表!H119</f>
        <v>#REF!</v>
      </c>
      <c r="I5" s="3646"/>
    </row>
    <row r="6" ht="15.75" spans="1:9">
      <c r="A6" s="3648" t="str">
        <f>结果表!A120</f>
        <v/>
      </c>
      <c r="B6" s="3648"/>
      <c r="C6" s="3648"/>
      <c r="D6" s="3648">
        <f>结果表!D120</f>
        <v>0</v>
      </c>
      <c r="E6" s="3648"/>
      <c r="F6" s="3648"/>
      <c r="G6" s="3648"/>
      <c r="H6" s="3648"/>
      <c r="I6" s="3648"/>
    </row>
    <row r="7" ht="15" spans="1:9">
      <c r="A7" s="3646" t="s">
        <v>112</v>
      </c>
      <c r="B7" s="3646"/>
      <c r="C7" s="3646"/>
      <c r="D7" s="3649" t="str">
        <f>结果表!D121</f>
        <v>零元整</v>
      </c>
      <c r="E7" s="3650"/>
      <c r="F7" s="3650"/>
      <c r="G7" s="3650"/>
      <c r="H7" s="3650"/>
      <c r="I7" s="3654"/>
    </row>
    <row r="8" ht="15.75" spans="1:9">
      <c r="A8" s="3648" t="str">
        <f>结果表!A122</f>
        <v/>
      </c>
      <c r="B8" s="3648"/>
      <c r="C8" s="3648"/>
      <c r="D8" s="3648" t="str">
        <f ca="1">结果表!D122</f>
        <v>——</v>
      </c>
      <c r="E8" s="3648"/>
      <c r="F8" s="3648"/>
      <c r="G8" s="3648"/>
      <c r="H8" s="3648"/>
      <c r="I8" s="3648"/>
    </row>
    <row r="9" ht="15" spans="1:9">
      <c r="A9" s="3646" t="s">
        <v>112</v>
      </c>
      <c r="B9" s="3646"/>
      <c r="C9" s="3646"/>
      <c r="D9" s="3646" t="e">
        <f ca="1">结果表!D123</f>
        <v>#VALUE!</v>
      </c>
      <c r="E9" s="3646"/>
      <c r="F9" s="3646"/>
      <c r="G9" s="3646"/>
      <c r="H9" s="3646"/>
      <c r="I9" s="3646"/>
    </row>
    <row r="10" ht="15.75" spans="1:9">
      <c r="A10" s="3648" t="str">
        <f>结果表!A124</f>
        <v/>
      </c>
      <c r="B10" s="3648"/>
      <c r="C10" s="3648"/>
      <c r="D10" s="3648" t="str">
        <f ca="1">结果表!D124</f>
        <v>——</v>
      </c>
      <c r="E10" s="3648"/>
      <c r="F10" s="3648"/>
      <c r="G10" s="3648"/>
      <c r="H10" s="3648"/>
      <c r="I10" s="3648"/>
    </row>
    <row r="11" ht="15" spans="1:9">
      <c r="A11" s="3646" t="s">
        <v>112</v>
      </c>
      <c r="B11" s="3646"/>
      <c r="C11" s="3646"/>
      <c r="D11" s="3646" t="e">
        <f ca="1">结果表!D125</f>
        <v>#VALUE!</v>
      </c>
      <c r="E11" s="3646"/>
      <c r="F11" s="3646"/>
      <c r="G11" s="3646"/>
      <c r="H11" s="3646"/>
      <c r="I11" s="3646"/>
    </row>
    <row r="12" ht="15.75" spans="1:9">
      <c r="A12" s="3648" t="str">
        <f>结果表!A126</f>
        <v/>
      </c>
      <c r="B12" s="3648"/>
      <c r="C12" s="3648"/>
      <c r="D12" s="3648" t="str">
        <f ca="1">结果表!D126</f>
        <v>——</v>
      </c>
      <c r="E12" s="3648"/>
      <c r="F12" s="3648"/>
      <c r="G12" s="3648"/>
      <c r="H12" s="3648"/>
      <c r="I12" s="3648"/>
    </row>
    <row r="13" ht="15.75" spans="1:9">
      <c r="A13" s="3651" t="s">
        <v>112</v>
      </c>
      <c r="B13" s="3651"/>
      <c r="C13" s="3651"/>
      <c r="D13" s="3651" t="e">
        <f ca="1">结果表!D127</f>
        <v>#VALUE!</v>
      </c>
      <c r="E13" s="3651"/>
      <c r="F13" s="3651"/>
      <c r="G13" s="3651"/>
      <c r="H13" s="3651"/>
      <c r="I13" s="3651"/>
    </row>
    <row r="14" spans="1:9">
      <c r="A14" s="3652" t="s">
        <v>113</v>
      </c>
      <c r="B14" s="3652"/>
      <c r="C14" s="3652"/>
      <c r="D14" s="3652"/>
      <c r="E14" s="3652"/>
      <c r="F14" s="3652"/>
      <c r="G14" s="3652"/>
      <c r="H14" s="3652"/>
      <c r="I14" s="3652"/>
    </row>
    <row r="16" ht="18.75" spans="1:9">
      <c r="A16" s="3653"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4" t="s">
        <v>114</v>
      </c>
      <c r="B1" s="3624"/>
      <c r="C1" s="3624"/>
      <c r="D1" s="3624"/>
    </row>
    <row r="2" ht="18" spans="1:4">
      <c r="A2" s="3625" t="s">
        <v>115</v>
      </c>
      <c r="B2" s="3625"/>
      <c r="C2" s="3625"/>
      <c r="D2" s="3625"/>
    </row>
    <row r="3" ht="18.75"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8" spans="1:4">
      <c r="A6" s="3625" t="s">
        <v>121</v>
      </c>
      <c r="B6" s="3625"/>
      <c r="C6" s="3625"/>
      <c r="D6" s="3625"/>
    </row>
    <row r="7" ht="18.75"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8.75" spans="1:4">
      <c r="A10" s="3624" t="s">
        <v>125</v>
      </c>
      <c r="B10" s="3633"/>
      <c r="C10" s="3633"/>
      <c r="D10" s="3633"/>
    </row>
    <row r="11" ht="30" customHeight="1" spans="1:4">
      <c r="A11" s="3634" t="s">
        <v>126</v>
      </c>
      <c r="B11" s="3635"/>
      <c r="C11" s="3635"/>
      <c r="D11" s="3635"/>
    </row>
    <row r="12" ht="1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ht="30" customHeight="1" spans="1:4">
      <c r="A13" s="3635" t="str">
        <f>IF(项目基本情况!B8="抵押","3.抵押双方在办理抵押登记手续时，应使用本公司出具的正式《房地产评估报告》，特提醒报告使用者注意。","——")</f>
        <v>——</v>
      </c>
      <c r="B13" s="3636"/>
      <c r="C13" s="3636"/>
      <c r="D13" s="3636"/>
    </row>
    <row r="14" ht="15.75" customHeight="1" spans="1:4">
      <c r="A14" s="3635" t="str">
        <f>IF(项目基本情况!B8="抵押","4.本次评估估价师所知悉的法定优先受偿款情况说明如下：","——")</f>
        <v>——</v>
      </c>
      <c r="B14" s="3636"/>
      <c r="C14" s="3636"/>
      <c r="D14" s="3636"/>
    </row>
    <row r="15" ht="42" customHeight="1" spans="1:4">
      <c r="A15" s="3635" t="str">
        <f>IF(项目基本情况!B8="抵押","（1）"&amp;CONCATENATE(项目基本情况!L20,项目基本情况!L21,项目基本情况!L22),"——")</f>
        <v>——</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779"/>
      <c r="C23" s="1779"/>
      <c r="D23" s="1779"/>
    </row>
    <row r="24" spans="1:4">
      <c r="A24" s="3640"/>
      <c r="B24" s="1779"/>
      <c r="C24" s="1779"/>
      <c r="D24" s="1779"/>
    </row>
    <row r="25" ht="18.75" spans="1:1">
      <c r="A25" s="3641" t="s">
        <v>130</v>
      </c>
    </row>
    <row r="26" ht="18" spans="1:1">
      <c r="A26" s="3642"/>
    </row>
    <row r="27" ht="18.75" spans="1:1">
      <c r="A27" s="3642" t="s">
        <v>131</v>
      </c>
    </row>
    <row r="30" ht="18.75"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0" customWidth="1"/>
    <col min="3" max="10" width="12.5" style="3620" customWidth="1"/>
    <col min="11" max="16384" width="9" style="3620"/>
  </cols>
  <sheetData>
    <row r="1" ht="18.75" spans="1:10">
      <c r="A1" s="3621" t="s">
        <v>133</v>
      </c>
      <c r="B1" s="3622"/>
      <c r="C1" s="3622"/>
      <c r="D1" s="3622"/>
      <c r="E1" s="3622"/>
      <c r="F1" s="3622"/>
      <c r="G1" s="3622"/>
      <c r="H1" s="3622"/>
      <c r="I1" s="3622"/>
      <c r="J1" s="3622"/>
    </row>
    <row r="2" ht="18.75"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6" customWidth="1"/>
    <col min="2" max="16384" width="14.5" style="3545"/>
  </cols>
  <sheetData>
    <row r="1" s="3595" customFormat="1" ht="18.75"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3.5" spans="1:3">
      <c r="A15" s="3606" t="s">
        <v>146</v>
      </c>
      <c r="B15" s="3607" t="s">
        <v>147</v>
      </c>
      <c r="C15" s="3608"/>
    </row>
    <row r="16" ht="13.5" spans="1:3">
      <c r="A16" s="3609"/>
      <c r="B16" s="3607" t="s">
        <v>148</v>
      </c>
      <c r="C16" s="3608"/>
    </row>
    <row r="17" ht="13.5" spans="1:3">
      <c r="A17" s="3609"/>
      <c r="B17" s="3610" t="s">
        <v>149</v>
      </c>
      <c r="C17" s="3610" t="s">
        <v>146</v>
      </c>
    </row>
    <row r="18" ht="13.5" spans="1:3">
      <c r="A18" s="3609"/>
      <c r="B18" s="3610"/>
      <c r="C18" s="3610" t="s">
        <v>150</v>
      </c>
    </row>
    <row r="19" ht="13.5" spans="1:3">
      <c r="A19" s="3609"/>
      <c r="B19" s="3610"/>
      <c r="C19" s="3610" t="s">
        <v>151</v>
      </c>
    </row>
    <row r="20" ht="13.5" spans="1:3">
      <c r="A20" s="3611"/>
      <c r="B20" s="3612" t="s">
        <v>152</v>
      </c>
      <c r="C20" s="3608"/>
    </row>
    <row r="21" ht="13.5" spans="1:3">
      <c r="A21" s="3613" t="s">
        <v>153</v>
      </c>
      <c r="B21" s="3614"/>
      <c r="C21" s="3615"/>
    </row>
    <row r="22" ht="13.5" spans="1:3">
      <c r="A22" s="3616" t="s">
        <v>154</v>
      </c>
      <c r="B22" s="3612" t="s">
        <v>155</v>
      </c>
      <c r="C22" s="3608"/>
    </row>
    <row r="23" ht="13.5" spans="1:3">
      <c r="A23" s="3616"/>
      <c r="B23" s="3612" t="s">
        <v>156</v>
      </c>
      <c r="C23" s="3608"/>
    </row>
    <row r="24" ht="13.5" spans="1:3">
      <c r="A24" s="3616"/>
      <c r="B24" s="3612" t="s">
        <v>157</v>
      </c>
      <c r="C24" s="3608"/>
    </row>
    <row r="25" ht="13.5" spans="1:3">
      <c r="A25" s="3616"/>
      <c r="B25" s="3610" t="s">
        <v>158</v>
      </c>
      <c r="C25" s="3610" t="s">
        <v>159</v>
      </c>
    </row>
    <row r="26" ht="13.5" spans="1:3">
      <c r="A26" s="3616"/>
      <c r="B26" s="3610"/>
      <c r="C26" s="3610" t="s">
        <v>160</v>
      </c>
    </row>
    <row r="27" ht="13.5" spans="1:3">
      <c r="A27" s="3616"/>
      <c r="B27" s="3610"/>
      <c r="C27" s="3610" t="s">
        <v>161</v>
      </c>
    </row>
    <row r="28" ht="13.5" spans="1:3">
      <c r="A28" s="3616"/>
      <c r="B28" s="3610"/>
      <c r="C28" s="3610" t="s">
        <v>162</v>
      </c>
    </row>
    <row r="29" ht="13.5" spans="1:3">
      <c r="A29" s="3616"/>
      <c r="B29" s="3610"/>
      <c r="C29" s="3610" t="s">
        <v>163</v>
      </c>
    </row>
    <row r="30" ht="13.5" spans="1:3">
      <c r="A30" s="3616"/>
      <c r="B30" s="3610"/>
      <c r="C30" s="3610" t="s">
        <v>164</v>
      </c>
    </row>
    <row r="31" ht="13.5" spans="1:3">
      <c r="A31" s="3616"/>
      <c r="B31" s="3610"/>
      <c r="C31" s="3610" t="s">
        <v>165</v>
      </c>
    </row>
    <row r="32" ht="13.5" spans="1:3">
      <c r="A32" s="3616"/>
      <c r="B32" s="3610"/>
      <c r="C32" s="3610" t="s">
        <v>166</v>
      </c>
    </row>
    <row r="33" ht="13.5" spans="1:3">
      <c r="A33" s="3616"/>
      <c r="B33" s="3610"/>
      <c r="C33" s="3610" t="s">
        <v>167</v>
      </c>
    </row>
    <row r="34" spans="1:1">
      <c r="A34" s="3617" t="s">
        <v>168</v>
      </c>
    </row>
    <row r="37" spans="1:1">
      <c r="A37" s="3617" t="s">
        <v>169</v>
      </c>
    </row>
    <row r="38" ht="13.5" spans="1:1">
      <c r="A38" s="3618" t="s">
        <v>170</v>
      </c>
    </row>
    <row r="39" ht="13.5" spans="1:1">
      <c r="A39" s="3618" t="s">
        <v>171</v>
      </c>
    </row>
    <row r="40" ht="13.5" spans="1:1">
      <c r="A40" s="3618" t="s">
        <v>172</v>
      </c>
    </row>
    <row r="41" ht="13.5" spans="1:1">
      <c r="A41" s="3619" t="s">
        <v>173</v>
      </c>
    </row>
    <row r="42" ht="13.5"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4" customWidth="1"/>
    <col min="2" max="2" width="38.625" style="3564" customWidth="1"/>
    <col min="3" max="3" width="26" style="3564" customWidth="1"/>
    <col min="4" max="4" width="35" style="3564" hidden="1" customWidth="1"/>
    <col min="5" max="5" width="30.125" style="3564" customWidth="1"/>
    <col min="6" max="6" width="35.5" style="3564" customWidth="1"/>
    <col min="7" max="7" width="31" style="3564" customWidth="1"/>
    <col min="8" max="8" width="37.5" style="3564" hidden="1" customWidth="1"/>
    <col min="9" max="16384" width="22.625" style="3564"/>
  </cols>
  <sheetData>
    <row r="1" customHeight="1" spans="1:8">
      <c r="A1" s="3565"/>
      <c r="B1" s="3565"/>
      <c r="C1" s="3565"/>
      <c r="D1" s="3565"/>
      <c r="E1" s="3565"/>
      <c r="F1" s="3565"/>
      <c r="G1" s="3565"/>
      <c r="H1" s="3565"/>
    </row>
    <row r="2" customHeight="1" spans="1:8">
      <c r="A2" s="3566" t="s">
        <v>175</v>
      </c>
      <c r="B2" s="3567">
        <f ca="1">TODAY()</f>
        <v>45006</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f ca="1">IF(C6&lt;B2,"已过期",1120050019)</f>
        <v>1120050019</v>
      </c>
      <c r="C6" s="3574">
        <v>45410</v>
      </c>
      <c r="D6" s="3575" t="str">
        <f ca="1" t="shared" si="0"/>
        <v>王鹏（注册号：1120050019）</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f ca="1">IF(C9&lt;B2,"已过期",1120060040)</f>
        <v>1120060040</v>
      </c>
      <c r="C9" s="3579">
        <v>45592</v>
      </c>
      <c r="D9" s="3575" t="str">
        <f ca="1" t="shared" si="0"/>
        <v>陈颖（注册号：1120060040）</v>
      </c>
      <c r="E9" s="3576" t="s">
        <v>189</v>
      </c>
      <c r="F9" s="3573">
        <f ca="1">IF(G9&lt;B2,"已过期",2004110096)</f>
        <v>2004110096</v>
      </c>
      <c r="G9" s="3577">
        <v>47118</v>
      </c>
      <c r="H9" s="3578" t="str">
        <f ca="1" t="shared" si="1"/>
        <v>陈颖（注册号：2004110096）</v>
      </c>
    </row>
    <row r="10" customHeight="1" spans="1:8">
      <c r="A10" s="3573" t="s">
        <v>190</v>
      </c>
      <c r="B10" s="3573">
        <f ca="1">IF(C10&lt;B2,"已过期",1120100036)</f>
        <v>1120100036</v>
      </c>
      <c r="C10" s="3579">
        <v>45752</v>
      </c>
      <c r="D10" s="3575" t="str">
        <f ca="1" t="shared" si="0"/>
        <v>崔锴（注册号：1120100036）</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f ca="1">IF(C13&lt;B2,"已过期",1120020033)</f>
        <v>1120020033</v>
      </c>
      <c r="C13" s="3574">
        <v>45375</v>
      </c>
      <c r="D13" s="3575" t="str">
        <f ca="1" t="shared" si="0"/>
        <v>刘敬东（注册号：1120020033）</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2023-03-21T03:50:01Z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