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224北京市海淀区建材城中路2号（双合盛）\"/>
    </mc:Choice>
  </mc:AlternateContent>
  <bookViews>
    <workbookView minimized="1" xWindow="0" yWindow="0" windowWidth="21600" windowHeight="9732"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5" r:id="rId18"/>
    <sheet name="剩余法-待开发" sheetId="12" state="hidden" r:id="rId19"/>
    <sheet name="剩余法-现房" sheetId="43" state="hidden" r:id="rId20"/>
    <sheet name="比较法-住宅、综合" sheetId="39" state="hidden" r:id="rId21"/>
    <sheet name="比较法-工业" sheetId="40" r:id="rId22"/>
    <sheet name="案例（企业）" sheetId="74"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比较法-成本" sheetId="73" r:id="rId35"/>
    <sheet name="成本逼近法"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昌平案例" sheetId="76" r:id="rId41"/>
    <sheet name="地价-分区" sheetId="70" r:id="rId42"/>
    <sheet name="案例（海淀）" sheetId="72" r:id="rId43"/>
    <sheet name="2013-2023" sheetId="77"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s>
  <definedNames>
    <definedName name="_xlnm._FilterDatabase" localSheetId="43" hidden="1">'2013-2023'!$A$1:$U$141</definedName>
    <definedName name="_xlnm._FilterDatabase" localSheetId="34" hidden="1">'比较法-成本'!$A$1:$L$45</definedName>
    <definedName name="_xlnm._FilterDatabase" localSheetId="21"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4">'比较法-成本'!$A$1:$K$62,'比较法-成本'!$A$65:$N$122</definedName>
    <definedName name="_xlnm.Print_Area" localSheetId="21">'比较法-工业'!$A$1:$K$62,'比较法-工业'!$A$65:$N$122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34">'比较法-成本'!$B$115:$M$115</definedName>
    <definedName name="套工工程地质条件">'比较法-工业'!$B$115:$M$115</definedName>
    <definedName name="套工交易情况">'比较法-住宅、综合'!$A$74:$M$74</definedName>
    <definedName name="套工开发程度" localSheetId="34">'比较法-成本'!$B$113:$M$113</definedName>
    <definedName name="套工开发程度">'比较法-工业'!$B$113:$M$113</definedName>
    <definedName name="套工临街等级" localSheetId="34">'比较法-成本'!$B$98:$M$98</definedName>
    <definedName name="套工临街等级">'比较法-工业'!$B$98:$M$98</definedName>
    <definedName name="套工土地级别" localSheetId="34">'比较法-成本'!$B$100:$M$100</definedName>
    <definedName name="套工土地级别">'比较法-工业'!$B$100:$M$100</definedName>
    <definedName name="套工用途" localSheetId="34">'比较法-成本'!$B$71:$M$71</definedName>
    <definedName name="套工用途">'比较法-工业'!$B$71:$M$71</definedName>
    <definedName name="套工宗地形状" localSheetId="34">'比较法-成本'!$B$111:$M$111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6" l="1"/>
  <c r="B14" i="66"/>
  <c r="D6" i="75" l="1"/>
  <c r="B7" i="74" l="1"/>
  <c r="S138" i="77"/>
  <c r="N114" i="77"/>
  <c r="R111" i="77"/>
  <c r="N101" i="77"/>
  <c r="M101" i="77"/>
  <c r="M100" i="77"/>
  <c r="M91" i="77"/>
  <c r="M66" i="77"/>
  <c r="O57" i="77"/>
  <c r="M42" i="77"/>
  <c r="P31" i="77"/>
  <c r="P30" i="77"/>
  <c r="P29" i="77"/>
  <c r="P28" i="77"/>
  <c r="P27" i="77"/>
  <c r="P26" i="77"/>
  <c r="P25" i="77"/>
  <c r="P24" i="77"/>
  <c r="P23" i="77"/>
  <c r="P22" i="77"/>
  <c r="P21" i="77"/>
  <c r="P20" i="77"/>
  <c r="P19" i="77"/>
  <c r="P18" i="77"/>
  <c r="P17" i="77"/>
  <c r="P16" i="77"/>
  <c r="P15" i="77"/>
  <c r="P14" i="77"/>
  <c r="P13" i="77"/>
  <c r="P12" i="77"/>
  <c r="P11" i="77"/>
  <c r="P10" i="77"/>
  <c r="P9" i="77"/>
  <c r="P8" i="77"/>
  <c r="P7" i="77"/>
  <c r="P6" i="77"/>
  <c r="P5" i="77"/>
  <c r="P4" i="77"/>
  <c r="P3" i="77"/>
  <c r="O67" i="73" l="1"/>
  <c r="P67" i="73" s="1"/>
  <c r="Q67" i="73" s="1"/>
  <c r="R67" i="73" s="1"/>
  <c r="S67" i="73" s="1"/>
  <c r="T67" i="73" s="1"/>
  <c r="U67" i="73" s="1"/>
  <c r="V67" i="73" s="1"/>
  <c r="W67" i="73" s="1"/>
  <c r="X67" i="73" s="1"/>
  <c r="Y67" i="73" s="1"/>
  <c r="Z67" i="73" s="1"/>
  <c r="I7" i="40" l="1"/>
  <c r="I9" i="40" l="1"/>
  <c r="D10" i="75" l="1"/>
  <c r="D5" i="9" l="1"/>
  <c r="I36" i="40"/>
  <c r="G36" i="40"/>
  <c r="E36" i="40"/>
  <c r="I43" i="40"/>
  <c r="G43" i="40"/>
  <c r="E43" i="40"/>
  <c r="D67" i="40"/>
  <c r="E67" i="40" s="1"/>
  <c r="F67" i="40" s="1"/>
  <c r="G67" i="40" s="1"/>
  <c r="H67" i="40" s="1"/>
  <c r="I67" i="40" s="1"/>
  <c r="J67" i="40" s="1"/>
  <c r="K67" i="40" s="1"/>
  <c r="L67" i="40" s="1"/>
  <c r="M67" i="40" s="1"/>
  <c r="N67" i="40" s="1"/>
  <c r="O67" i="40" s="1"/>
  <c r="P67" i="40" s="1"/>
  <c r="Q67" i="40" s="1"/>
  <c r="R67" i="40" s="1"/>
  <c r="S67" i="40" s="1"/>
  <c r="T67" i="40" s="1"/>
  <c r="U67" i="40" s="1"/>
  <c r="V67" i="40" s="1"/>
  <c r="W67" i="40" s="1"/>
  <c r="X67" i="40" s="1"/>
  <c r="Y67" i="40" s="1"/>
  <c r="Z67" i="40" s="1"/>
  <c r="AA67" i="40" s="1"/>
  <c r="AB67" i="40" s="1"/>
  <c r="AC67" i="40" s="1"/>
  <c r="G9" i="40" l="1"/>
  <c r="E9" i="40"/>
  <c r="G7" i="40"/>
  <c r="E7" i="40"/>
  <c r="K5" i="74"/>
  <c r="K4" i="74" l="1"/>
  <c r="K3" i="74"/>
  <c r="K2" i="74"/>
  <c r="D8" i="11"/>
  <c r="D67" i="73"/>
  <c r="E67" i="73" s="1"/>
  <c r="F67" i="73" s="1"/>
  <c r="G67" i="73" s="1"/>
  <c r="H67" i="73" s="1"/>
  <c r="I67" i="73" s="1"/>
  <c r="J67" i="73" s="1"/>
  <c r="K67" i="73" s="1"/>
  <c r="L67" i="73" s="1"/>
  <c r="M67" i="73" s="1"/>
  <c r="N67" i="73" s="1"/>
  <c r="G110" i="73"/>
  <c r="I36" i="73"/>
  <c r="G36" i="73"/>
  <c r="E36" i="73"/>
  <c r="I43" i="73"/>
  <c r="G43" i="73"/>
  <c r="E43" i="73"/>
  <c r="C36" i="73"/>
  <c r="AH6" i="1"/>
  <c r="I9" i="73" l="1"/>
  <c r="G9" i="73"/>
  <c r="E9" i="73"/>
  <c r="I7" i="73"/>
  <c r="G7" i="73"/>
  <c r="E7" i="73"/>
  <c r="B121" i="73"/>
  <c r="B119" i="73"/>
  <c r="B117" i="73"/>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M108" i="73"/>
  <c r="L108" i="73"/>
  <c r="K108" i="73"/>
  <c r="J108" i="73"/>
  <c r="I108" i="73"/>
  <c r="H108" i="73"/>
  <c r="G108" i="73"/>
  <c r="F108" i="73"/>
  <c r="E108" i="73"/>
  <c r="D108" i="73"/>
  <c r="C108" i="73"/>
  <c r="B106" i="73"/>
  <c r="B104" i="73"/>
  <c r="B102" i="73"/>
  <c r="D101" i="73"/>
  <c r="E101" i="73" s="1"/>
  <c r="F101" i="73" s="1"/>
  <c r="G101" i="73" s="1"/>
  <c r="H101" i="73" s="1"/>
  <c r="I101" i="73" s="1"/>
  <c r="J101" i="73" s="1"/>
  <c r="K101" i="73" s="1"/>
  <c r="L101" i="73" s="1"/>
  <c r="M101" i="73" s="1"/>
  <c r="D99" i="73"/>
  <c r="E99" i="73" s="1"/>
  <c r="F99" i="73" s="1"/>
  <c r="G99" i="73" s="1"/>
  <c r="H99" i="73" s="1"/>
  <c r="I99" i="73" s="1"/>
  <c r="J99" i="73" s="1"/>
  <c r="K99" i="73" s="1"/>
  <c r="L99" i="73" s="1"/>
  <c r="M99" i="73" s="1"/>
  <c r="D97" i="73"/>
  <c r="E97" i="73" s="1"/>
  <c r="F97" i="73" s="1"/>
  <c r="G97" i="73" s="1"/>
  <c r="H97" i="73" s="1"/>
  <c r="I97" i="73" s="1"/>
  <c r="J97" i="73" s="1"/>
  <c r="K97" i="73" s="1"/>
  <c r="L97" i="73" s="1"/>
  <c r="M97" i="73" s="1"/>
  <c r="B96" i="73"/>
  <c r="E95" i="73"/>
  <c r="F95" i="73" s="1"/>
  <c r="G95" i="73" s="1"/>
  <c r="D95" i="73"/>
  <c r="E93" i="73"/>
  <c r="F93" i="73" s="1"/>
  <c r="G93" i="73" s="1"/>
  <c r="D93" i="73"/>
  <c r="E91" i="73"/>
  <c r="F91" i="73" s="1"/>
  <c r="G91" i="73" s="1"/>
  <c r="D91" i="73"/>
  <c r="D89" i="73"/>
  <c r="E89" i="73" s="1"/>
  <c r="F89" i="73" s="1"/>
  <c r="E87" i="73"/>
  <c r="F87" i="73" s="1"/>
  <c r="G87" i="73" s="1"/>
  <c r="D87" i="73"/>
  <c r="D85" i="73"/>
  <c r="E85" i="73" s="1"/>
  <c r="B82" i="73"/>
  <c r="B80" i="73"/>
  <c r="B78" i="73"/>
  <c r="D77" i="73"/>
  <c r="E77" i="73" s="1"/>
  <c r="F77" i="73" s="1"/>
  <c r="G77" i="73" s="1"/>
  <c r="H77" i="73" s="1"/>
  <c r="I77" i="73" s="1"/>
  <c r="J77" i="73" s="1"/>
  <c r="K77" i="73" s="1"/>
  <c r="L77" i="73" s="1"/>
  <c r="M77" i="73" s="1"/>
  <c r="M75" i="73"/>
  <c r="L75" i="73"/>
  <c r="K75" i="73"/>
  <c r="J75" i="73"/>
  <c r="I75" i="73"/>
  <c r="H75" i="73"/>
  <c r="G75" i="73"/>
  <c r="F75" i="73"/>
  <c r="E75" i="73"/>
  <c r="D75" i="73"/>
  <c r="C75" i="73"/>
  <c r="H61" i="73"/>
  <c r="I61" i="73" s="1"/>
  <c r="C61" i="73" s="1"/>
  <c r="H60" i="73"/>
  <c r="I60" i="73" s="1"/>
  <c r="C60" i="73" s="1"/>
  <c r="H59" i="73"/>
  <c r="I59" i="73" s="1"/>
  <c r="C59" i="73" s="1"/>
  <c r="H58" i="73"/>
  <c r="I58" i="73" s="1"/>
  <c r="C58" i="73" s="1"/>
  <c r="H57" i="73"/>
  <c r="I57" i="73" s="1"/>
  <c r="C57" i="73" s="1"/>
  <c r="H56" i="73"/>
  <c r="I56" i="73" s="1"/>
  <c r="C56" i="73" s="1"/>
  <c r="I55" i="73"/>
  <c r="C55" i="73" s="1"/>
  <c r="H55" i="73"/>
  <c r="H54" i="73"/>
  <c r="I54" i="73" s="1"/>
  <c r="C54" i="73"/>
  <c r="J52" i="73"/>
  <c r="I50" i="73"/>
  <c r="J50" i="73" s="1"/>
  <c r="G50" i="73"/>
  <c r="H50" i="73" s="1"/>
  <c r="E50" i="73"/>
  <c r="F50" i="73" s="1"/>
  <c r="P45" i="73"/>
  <c r="P44" i="73"/>
  <c r="K44" i="73"/>
  <c r="V43" i="73"/>
  <c r="T43" i="73"/>
  <c r="R43" i="73"/>
  <c r="P43" i="73"/>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Q21" i="73"/>
  <c r="Z21" i="73" s="1"/>
  <c r="C21" i="73"/>
  <c r="Q19" i="73"/>
  <c r="Z19" i="73" s="1"/>
  <c r="J19" i="73"/>
  <c r="AC19" i="73" s="1"/>
  <c r="H19" i="73"/>
  <c r="AB19" i="73" s="1"/>
  <c r="F19" i="73"/>
  <c r="AA19" i="73" s="1"/>
  <c r="Q17" i="73"/>
  <c r="Z17" i="73" s="1"/>
  <c r="Q16" i="73"/>
  <c r="Z16" i="73" s="1"/>
  <c r="J16" i="73"/>
  <c r="AC16" i="73" s="1"/>
  <c r="H16" i="73"/>
  <c r="AB16" i="73" s="1"/>
  <c r="F16" i="73"/>
  <c r="AA16" i="73" s="1"/>
  <c r="U15" i="73"/>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Q11" i="73"/>
  <c r="Z11" i="73" s="1"/>
  <c r="J11" i="73"/>
  <c r="AC11" i="73" s="1"/>
  <c r="H11" i="73"/>
  <c r="AB11" i="73" s="1"/>
  <c r="F11" i="73"/>
  <c r="AA11" i="73" s="1"/>
  <c r="J10" i="73"/>
  <c r="W10" i="73" s="1"/>
  <c r="H10" i="73"/>
  <c r="AB10" i="73" s="1"/>
  <c r="F10" i="73"/>
  <c r="S10" i="73" s="1"/>
  <c r="G89" i="73" l="1"/>
  <c r="H21" i="73"/>
  <c r="AB21" i="73" s="1"/>
  <c r="F21" i="73"/>
  <c r="AA21" i="73" s="1"/>
  <c r="J21" i="73"/>
  <c r="AC21" i="73" s="1"/>
  <c r="F85" i="73"/>
  <c r="G85" i="73" s="1"/>
  <c r="J17" i="73"/>
  <c r="AC17" i="73" s="1"/>
  <c r="F17" i="73"/>
  <c r="AA17" i="73" s="1"/>
  <c r="H17" i="73"/>
  <c r="AB17" i="73" s="1"/>
  <c r="U10" i="73"/>
  <c r="AC10" i="73"/>
  <c r="U13" i="73"/>
  <c r="W14" i="73"/>
  <c r="AA10" i="73"/>
  <c r="U11" i="73"/>
  <c r="S14" i="73"/>
  <c r="AB32" i="73"/>
  <c r="U32" i="73"/>
  <c r="S11" i="73"/>
  <c r="W11" i="73"/>
  <c r="S13" i="73"/>
  <c r="W13" i="73"/>
  <c r="U14" i="73"/>
  <c r="S15" i="73"/>
  <c r="W15" i="73"/>
  <c r="U16" i="73"/>
  <c r="U19" i="73"/>
  <c r="U21" i="73"/>
  <c r="U23" i="73"/>
  <c r="U25" i="73"/>
  <c r="U27" i="73"/>
  <c r="S29" i="73"/>
  <c r="W29" i="73"/>
  <c r="S30" i="73"/>
  <c r="W30" i="73"/>
  <c r="F32" i="73"/>
  <c r="J32" i="73"/>
  <c r="U33" i="73"/>
  <c r="S34" i="73"/>
  <c r="W34" i="73"/>
  <c r="U35" i="73"/>
  <c r="S36" i="73"/>
  <c r="W36" i="73"/>
  <c r="U37" i="73"/>
  <c r="S38" i="73"/>
  <c r="W38" i="73"/>
  <c r="U39" i="73"/>
  <c r="S40" i="73"/>
  <c r="W40" i="73"/>
  <c r="U41" i="73"/>
  <c r="S42" i="73"/>
  <c r="W42" i="73"/>
  <c r="S16" i="73"/>
  <c r="W16" i="73"/>
  <c r="S17" i="73"/>
  <c r="S19" i="73"/>
  <c r="W19" i="73"/>
  <c r="S21" i="73"/>
  <c r="S23" i="73"/>
  <c r="W23" i="73"/>
  <c r="S25" i="73"/>
  <c r="W25" i="73"/>
  <c r="S27" i="73"/>
  <c r="W27" i="73"/>
  <c r="U29" i="73"/>
  <c r="U30" i="73"/>
  <c r="S33" i="73"/>
  <c r="W33" i="73"/>
  <c r="U34" i="73"/>
  <c r="S35" i="73"/>
  <c r="W35" i="73"/>
  <c r="U36" i="73"/>
  <c r="S37" i="73"/>
  <c r="W37" i="73"/>
  <c r="U38" i="73"/>
  <c r="S39" i="73"/>
  <c r="W39" i="73"/>
  <c r="U40" i="73"/>
  <c r="S41" i="73"/>
  <c r="W41" i="73"/>
  <c r="U42" i="73"/>
  <c r="W17" i="73" l="1"/>
  <c r="W21" i="73"/>
  <c r="U17" i="73"/>
  <c r="AC32" i="73"/>
  <c r="W32" i="73"/>
  <c r="AA32" i="73"/>
  <c r="S32" i="73"/>
  <c r="J31" i="72" l="1"/>
  <c r="J30" i="72"/>
  <c r="J29" i="72"/>
  <c r="J28" i="72"/>
  <c r="J27" i="72"/>
  <c r="J26" i="72"/>
  <c r="J25" i="72"/>
  <c r="J24" i="72"/>
  <c r="K6" i="72"/>
  <c r="J6" i="72"/>
  <c r="K5" i="72"/>
  <c r="J5" i="72"/>
  <c r="K4" i="72"/>
  <c r="J4" i="72"/>
  <c r="K3" i="72"/>
  <c r="J3" i="72"/>
  <c r="I13" i="3" l="1"/>
  <c r="F19" i="6" s="1"/>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Z3"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AA14" i="59" s="1"/>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V29" i="59" s="1"/>
  <c r="P29" i="59"/>
  <c r="O29" i="59"/>
  <c r="N29" i="59"/>
  <c r="B29" i="59" s="1"/>
  <c r="B28" i="59" s="1"/>
  <c r="B27" i="59" s="1"/>
  <c r="D90" i="59"/>
  <c r="F89" i="59"/>
  <c r="F88" i="59" s="1"/>
  <c r="F87" i="59" s="1"/>
  <c r="E89" i="59"/>
  <c r="E88" i="59"/>
  <c r="E87" i="59" s="1"/>
  <c r="C89" i="59"/>
  <c r="D89" i="59" s="1"/>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F72" i="59"/>
  <c r="F71" i="59" s="1"/>
  <c r="B72" i="59"/>
  <c r="B71" i="59" s="1"/>
  <c r="Q71" i="59"/>
  <c r="P71" i="59"/>
  <c r="O71" i="59"/>
  <c r="N71" i="59"/>
  <c r="Q70" i="59"/>
  <c r="P70" i="59"/>
  <c r="O70" i="59"/>
  <c r="N70" i="59"/>
  <c r="D70" i="59"/>
  <c r="F69" i="59"/>
  <c r="V69" i="59"/>
  <c r="E69" i="59"/>
  <c r="E68" i="59"/>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c r="P50" i="59"/>
  <c r="E51" i="59"/>
  <c r="E52" i="59" s="1"/>
  <c r="E53" i="59" s="1"/>
  <c r="U53" i="59" s="1"/>
  <c r="O50" i="59"/>
  <c r="C51" i="59"/>
  <c r="D51" i="59" s="1"/>
  <c r="N50" i="59"/>
  <c r="B51" i="59"/>
  <c r="B52" i="59" s="1"/>
  <c r="B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c r="D42" i="59"/>
  <c r="Q41" i="59"/>
  <c r="P41" i="59"/>
  <c r="O41" i="59"/>
  <c r="N41" i="59"/>
  <c r="Q40" i="59"/>
  <c r="AB15" i="59" s="1"/>
  <c r="P40" i="59"/>
  <c r="O40" i="59"/>
  <c r="Y40" i="59"/>
  <c r="Z40" i="59" s="1"/>
  <c r="N40" i="59"/>
  <c r="Q39" i="59"/>
  <c r="P39" i="59"/>
  <c r="AA39" i="59" s="1"/>
  <c r="O39" i="59"/>
  <c r="Y39" i="59" s="1"/>
  <c r="Z39" i="59" s="1"/>
  <c r="N39" i="59"/>
  <c r="Q38" i="59"/>
  <c r="F39" i="59" s="1"/>
  <c r="F40" i="59" s="1"/>
  <c r="P38" i="59"/>
  <c r="O38" i="59"/>
  <c r="C39" i="59"/>
  <c r="N38" i="59"/>
  <c r="B39" i="59"/>
  <c r="B40" i="59" s="1"/>
  <c r="D38" i="59"/>
  <c r="Q37" i="59"/>
  <c r="P37" i="59"/>
  <c r="AA37" i="59" s="1"/>
  <c r="O37" i="59"/>
  <c r="N37" i="59"/>
  <c r="X37" i="59" s="1"/>
  <c r="Q36" i="59"/>
  <c r="P36" i="59"/>
  <c r="AA36" i="59" s="1"/>
  <c r="O36" i="59"/>
  <c r="N36" i="59"/>
  <c r="X36" i="59" s="1"/>
  <c r="Q35" i="59"/>
  <c r="P35" i="59"/>
  <c r="AA31" i="59" s="1"/>
  <c r="O35" i="59"/>
  <c r="Y35" i="59" s="1"/>
  <c r="Z35" i="59" s="1"/>
  <c r="N35" i="59"/>
  <c r="X35" i="59" s="1"/>
  <c r="Q34" i="59"/>
  <c r="F35" i="59"/>
  <c r="F36" i="59" s="1"/>
  <c r="F37" i="59" s="1"/>
  <c r="P34" i="59"/>
  <c r="E35" i="59"/>
  <c r="E36" i="59" s="1"/>
  <c r="E37" i="59" s="1"/>
  <c r="U37" i="59" s="1"/>
  <c r="O34" i="59"/>
  <c r="N34" i="59"/>
  <c r="B35" i="59" s="1"/>
  <c r="D34" i="59"/>
  <c r="Q33" i="59"/>
  <c r="P33" i="59"/>
  <c r="AA33" i="59" s="1"/>
  <c r="O33" i="59"/>
  <c r="Y33" i="59" s="1"/>
  <c r="Z33" i="59" s="1"/>
  <c r="N33" i="59"/>
  <c r="Q32" i="59"/>
  <c r="P32" i="59"/>
  <c r="O32" i="59"/>
  <c r="N32" i="59"/>
  <c r="X32" i="59" s="1"/>
  <c r="Q31" i="59"/>
  <c r="P31" i="59"/>
  <c r="O31" i="59"/>
  <c r="N31" i="59"/>
  <c r="Q30" i="59"/>
  <c r="P30" i="59"/>
  <c r="O30" i="59"/>
  <c r="C31" i="59"/>
  <c r="C32" i="59" s="1"/>
  <c r="D32" i="59" s="1"/>
  <c r="N30" i="59"/>
  <c r="B31" i="59"/>
  <c r="B32" i="59" s="1"/>
  <c r="D30" i="59"/>
  <c r="X3" i="59"/>
  <c r="AA28" i="59"/>
  <c r="Y27" i="59"/>
  <c r="Z27" i="59" s="1"/>
  <c r="Y29" i="59"/>
  <c r="Z29" i="59" s="1"/>
  <c r="B33" i="59"/>
  <c r="S33" i="59" s="1"/>
  <c r="S53" i="59"/>
  <c r="S69" i="59"/>
  <c r="AA40" i="59"/>
  <c r="V37" i="59"/>
  <c r="F44" i="59"/>
  <c r="F45" i="59" s="1"/>
  <c r="V45" i="59" s="1"/>
  <c r="F49" i="59"/>
  <c r="V49" i="59" s="1"/>
  <c r="F56" i="59"/>
  <c r="F57" i="59" s="1"/>
  <c r="V57" i="59"/>
  <c r="F64" i="59"/>
  <c r="F65" i="59" s="1"/>
  <c r="V65" i="59" s="1"/>
  <c r="D31" i="59"/>
  <c r="D43" i="59"/>
  <c r="C52" i="59"/>
  <c r="D52" i="59" s="1"/>
  <c r="C56" i="59"/>
  <c r="C60" i="59"/>
  <c r="C61" i="59" s="1"/>
  <c r="D61" i="59" s="1"/>
  <c r="C64" i="59"/>
  <c r="Q68" i="59"/>
  <c r="T69" i="59"/>
  <c r="D69" i="59"/>
  <c r="P69" i="59"/>
  <c r="U69" i="59"/>
  <c r="Q69" i="59"/>
  <c r="E72" i="59"/>
  <c r="E71" i="59" s="1"/>
  <c r="C76" i="59"/>
  <c r="E76" i="59"/>
  <c r="E75" i="59" s="1"/>
  <c r="D77" i="59"/>
  <c r="E80" i="59"/>
  <c r="E79" i="59" s="1"/>
  <c r="C88" i="59"/>
  <c r="D88" i="59" s="1"/>
  <c r="U16" i="4"/>
  <c r="S16" i="4"/>
  <c r="Q16" i="4"/>
  <c r="O16" i="4"/>
  <c r="M16" i="4"/>
  <c r="K16" i="4"/>
  <c r="D76" i="59"/>
  <c r="C75" i="59"/>
  <c r="D75" i="59" s="1"/>
  <c r="C65" i="59"/>
  <c r="D65" i="59" s="1"/>
  <c r="D64" i="59"/>
  <c r="D60" i="59"/>
  <c r="C57" i="59"/>
  <c r="D57" i="59" s="1"/>
  <c r="D56" i="59"/>
  <c r="C45" i="59"/>
  <c r="D45" i="59" s="1"/>
  <c r="D44" i="59"/>
  <c r="T61"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C22" i="20"/>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AC17" i="3"/>
  <c r="H18" i="3"/>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A495" i="3" s="1"/>
  <c r="AZ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AZ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F23" i="40" s="1"/>
  <c r="S23" i="40" s="1"/>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F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AC16" i="36" s="1"/>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B57" i="35"/>
  <c r="B61" i="35"/>
  <c r="B59" i="35"/>
  <c r="H12" i="35"/>
  <c r="B131" i="34"/>
  <c r="B129" i="34"/>
  <c r="H46" i="34" s="1"/>
  <c r="B127" i="34"/>
  <c r="B99" i="34"/>
  <c r="H32" i="34" s="1"/>
  <c r="B97" i="34"/>
  <c r="B95" i="34"/>
  <c r="H30" i="34" s="1"/>
  <c r="B93" i="34"/>
  <c r="B75" i="34"/>
  <c r="J14" i="34" s="1"/>
  <c r="W14" i="34" s="1"/>
  <c r="B73" i="34"/>
  <c r="B71" i="34"/>
  <c r="J12" i="34" s="1"/>
  <c r="AC12" i="34" s="1"/>
  <c r="B130" i="33"/>
  <c r="B128" i="33"/>
  <c r="H45" i="33" s="1"/>
  <c r="U45" i="33" s="1"/>
  <c r="B126" i="33"/>
  <c r="B98" i="33"/>
  <c r="F31" i="33" s="1"/>
  <c r="AA31" i="33"/>
  <c r="B96" i="33"/>
  <c r="B94" i="33"/>
  <c r="H29" i="33" s="1"/>
  <c r="AB29" i="33" s="1"/>
  <c r="B74" i="33"/>
  <c r="B72" i="33"/>
  <c r="J13" i="33" s="1"/>
  <c r="W13" i="33" s="1"/>
  <c r="B70" i="33"/>
  <c r="D96" i="35"/>
  <c r="E96" i="35" s="1"/>
  <c r="F96" i="35" s="1"/>
  <c r="G96" i="35" s="1"/>
  <c r="D94" i="35"/>
  <c r="E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c r="Q10" i="33"/>
  <c r="Z10" i="33"/>
  <c r="Q9" i="33"/>
  <c r="Z9" i="33"/>
  <c r="J9" i="33"/>
  <c r="AC9" i="33"/>
  <c r="H9" i="33"/>
  <c r="AB9" i="33"/>
  <c r="F9" i="33"/>
  <c r="AA9" i="33"/>
  <c r="J8" i="33"/>
  <c r="W8" i="33"/>
  <c r="H8" i="33"/>
  <c r="F8" i="33"/>
  <c r="AA8" i="33" s="1"/>
  <c r="M102" i="21"/>
  <c r="D102" i="21"/>
  <c r="E102" i="21"/>
  <c r="F102" i="21"/>
  <c r="G102" i="21"/>
  <c r="H102" i="21"/>
  <c r="I102" i="21"/>
  <c r="J102" i="21"/>
  <c r="K102" i="21"/>
  <c r="L102" i="21"/>
  <c r="C102" i="21"/>
  <c r="C63" i="21"/>
  <c r="F9" i="21" s="1"/>
  <c r="G18" i="20"/>
  <c r="C23" i="73" s="1"/>
  <c r="B90" i="46"/>
  <c r="C25" i="40"/>
  <c r="G16" i="20"/>
  <c r="C19" i="73" s="1"/>
  <c r="G15" i="20"/>
  <c r="C17" i="73" s="1"/>
  <c r="C24" i="20"/>
  <c r="B75" i="46"/>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W12" i="21" s="1"/>
  <c r="H12" i="21"/>
  <c r="U12" i="21"/>
  <c r="J26" i="21"/>
  <c r="W26" i="21"/>
  <c r="F26" i="21"/>
  <c r="AA26" i="21"/>
  <c r="S41" i="21"/>
  <c r="AA41" i="21"/>
  <c r="W41" i="21"/>
  <c r="S10" i="39"/>
  <c r="U30" i="37"/>
  <c r="E103" i="37"/>
  <c r="F103" i="37"/>
  <c r="F39" i="37"/>
  <c r="S39" i="37"/>
  <c r="F29" i="36"/>
  <c r="AA29" i="36" s="1"/>
  <c r="F16" i="36"/>
  <c r="AA16" i="36" s="1"/>
  <c r="U22" i="36"/>
  <c r="W22" i="36"/>
  <c r="U26" i="36"/>
  <c r="AC31" i="36"/>
  <c r="J33" i="36"/>
  <c r="W33" i="36"/>
  <c r="U31" i="35"/>
  <c r="W24" i="35"/>
  <c r="S31" i="35"/>
  <c r="W31" i="35"/>
  <c r="U34" i="35"/>
  <c r="F36" i="34"/>
  <c r="S36" i="34"/>
  <c r="S34" i="34"/>
  <c r="W39" i="34"/>
  <c r="H39" i="33"/>
  <c r="AB39" i="33" s="1"/>
  <c r="F26" i="33"/>
  <c r="AA26" i="33" s="1"/>
  <c r="U9" i="33"/>
  <c r="W38" i="33"/>
  <c r="S40" i="33"/>
  <c r="S33" i="33"/>
  <c r="W33" i="33"/>
  <c r="U38" i="33"/>
  <c r="S8" i="21"/>
  <c r="W8" i="21"/>
  <c r="H39" i="37"/>
  <c r="AB39" i="37"/>
  <c r="AB27" i="35"/>
  <c r="W10" i="40"/>
  <c r="U11" i="40"/>
  <c r="S40" i="39"/>
  <c r="F11" i="21"/>
  <c r="S11" i="21" s="1"/>
  <c r="AC40"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24" i="36"/>
  <c r="AA24" i="36"/>
  <c r="F34" i="36"/>
  <c r="S34"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s="1"/>
  <c r="W8" i="34"/>
  <c r="J28" i="34"/>
  <c r="W28" i="34" s="1"/>
  <c r="S38" i="33"/>
  <c r="E113" i="33"/>
  <c r="F36" i="33"/>
  <c r="S36" i="33" s="1"/>
  <c r="F19" i="33"/>
  <c r="S19" i="33" s="1"/>
  <c r="J19" i="33"/>
  <c r="AC19" i="33" s="1"/>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U46" i="21"/>
  <c r="AC30" i="21"/>
  <c r="AB30" i="21"/>
  <c r="S28" i="21"/>
  <c r="AA28" i="21"/>
  <c r="AB14" i="21"/>
  <c r="W14" i="21"/>
  <c r="W42" i="21"/>
  <c r="S46" i="33"/>
  <c r="U36" i="37"/>
  <c r="AC13" i="36"/>
  <c r="AB31" i="33"/>
  <c r="AB27" i="33"/>
  <c r="AC28" i="33"/>
  <c r="U28" i="21"/>
  <c r="AB44" i="21"/>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AZ540" i="3" s="1"/>
  <c r="BA532" i="3"/>
  <c r="BA524" i="3"/>
  <c r="BA516" i="3"/>
  <c r="BA508" i="3"/>
  <c r="BA498" i="3"/>
  <c r="BA488" i="3"/>
  <c r="BA20" i="3"/>
  <c r="G562" i="3"/>
  <c r="G558" i="3"/>
  <c r="G554" i="3"/>
  <c r="G546"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Q546" i="3"/>
  <c r="BQ544" i="3"/>
  <c r="BL544" i="3" s="1"/>
  <c r="G538" i="3"/>
  <c r="G534" i="3"/>
  <c r="G530" i="3"/>
  <c r="G526" i="3"/>
  <c r="G522" i="3"/>
  <c r="BQ540" i="3"/>
  <c r="BL540" i="3"/>
  <c r="BQ538" i="3"/>
  <c r="BL538" i="3"/>
  <c r="BQ536" i="3"/>
  <c r="BQ534" i="3"/>
  <c r="BL534" i="3" s="1"/>
  <c r="AZ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AB43" i="33"/>
  <c r="D3" i="21"/>
  <c r="AC33" i="36"/>
  <c r="AC12" i="35"/>
  <c r="W23" i="35"/>
  <c r="S27" i="37"/>
  <c r="U39" i="37"/>
  <c r="AC8" i="37"/>
  <c r="S25" i="37"/>
  <c r="AC36" i="34"/>
  <c r="AB8" i="34"/>
  <c r="AC37"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A43" i="21"/>
  <c r="U43" i="21"/>
  <c r="R16" i="4"/>
  <c r="D3" i="35"/>
  <c r="G4" i="4"/>
  <c r="J16" i="35"/>
  <c r="W16" i="35" s="1"/>
  <c r="U42" i="21"/>
  <c r="W25" i="35"/>
  <c r="AZ354" i="3"/>
  <c r="H13" i="39"/>
  <c r="AB13" i="39" s="1"/>
  <c r="F13" i="39"/>
  <c r="J13" i="39"/>
  <c r="AC13" i="39" s="1"/>
  <c r="AA36" i="35"/>
  <c r="H11" i="37"/>
  <c r="AB11" i="37"/>
  <c r="AA30" i="33"/>
  <c r="AA36" i="37"/>
  <c r="S42" i="33"/>
  <c r="U32" i="33"/>
  <c r="AB17" i="37"/>
  <c r="AZ508" i="3"/>
  <c r="AB45" i="34"/>
  <c r="AB35" i="35"/>
  <c r="W44" i="33"/>
  <c r="AC30" i="33"/>
  <c r="W30" i="33"/>
  <c r="AC29" i="37"/>
  <c r="W32" i="36"/>
  <c r="AC32" i="36"/>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AB30" i="34"/>
  <c r="AB32" i="34"/>
  <c r="AB46" i="34"/>
  <c r="H11" i="35"/>
  <c r="J11" i="35"/>
  <c r="AC11" i="35" s="1"/>
  <c r="F96" i="37"/>
  <c r="H32" i="37"/>
  <c r="AB32" i="37"/>
  <c r="F19" i="39"/>
  <c r="S19" i="39"/>
  <c r="H19" i="39"/>
  <c r="J19" i="39"/>
  <c r="W19" i="39" s="1"/>
  <c r="F43" i="39"/>
  <c r="H43" i="39"/>
  <c r="U43" i="39" s="1"/>
  <c r="J43" i="39"/>
  <c r="F99" i="37"/>
  <c r="AC27" i="37"/>
  <c r="S45" i="34"/>
  <c r="AC40" i="37"/>
  <c r="W27" i="33"/>
  <c r="S28" i="33"/>
  <c r="S14" i="21"/>
  <c r="AA44" i="34"/>
  <c r="U29" i="35"/>
  <c r="W19" i="33"/>
  <c r="U43" i="34"/>
  <c r="AB43" i="34"/>
  <c r="S35" i="37"/>
  <c r="AA32" i="21"/>
  <c r="S32" i="21"/>
  <c r="U38" i="21"/>
  <c r="AB34" i="21"/>
  <c r="BL571" i="3"/>
  <c r="BL570" i="3"/>
  <c r="F42" i="21"/>
  <c r="AA42" i="21"/>
  <c r="U40" i="33"/>
  <c r="AA35" i="34"/>
  <c r="S35" i="34"/>
  <c r="E90" i="34"/>
  <c r="H27" i="34"/>
  <c r="AB27" i="34" s="1"/>
  <c r="AB8" i="35"/>
  <c r="S9" i="35"/>
  <c r="J14" i="35"/>
  <c r="AC14" i="35"/>
  <c r="F14" i="35"/>
  <c r="H14" i="35"/>
  <c r="U14" i="35" s="1"/>
  <c r="E80" i="35"/>
  <c r="F94" i="35"/>
  <c r="G94" i="35" s="1"/>
  <c r="H94" i="35"/>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3" i="3"/>
  <c r="AZ563" i="3" s="1"/>
  <c r="BL554" i="3"/>
  <c r="BA553" i="3"/>
  <c r="AZ553" i="3" s="1"/>
  <c r="BA552" i="3"/>
  <c r="BL549" i="3"/>
  <c r="BL548" i="3"/>
  <c r="AZ548" i="3" s="1"/>
  <c r="BL547" i="3"/>
  <c r="BL539" i="3"/>
  <c r="AZ539" i="3" s="1"/>
  <c r="AZ538" i="3"/>
  <c r="BA537" i="3"/>
  <c r="AZ537" i="3" s="1"/>
  <c r="AZ536" i="3"/>
  <c r="AZ535" i="3"/>
  <c r="BA534" i="3"/>
  <c r="BA533" i="3"/>
  <c r="AZ533" i="3" s="1"/>
  <c r="BL531" i="3"/>
  <c r="BL530" i="3"/>
  <c r="BL529" i="3"/>
  <c r="BL528" i="3"/>
  <c r="BA527" i="3"/>
  <c r="AZ527" i="3" s="1"/>
  <c r="BA526" i="3"/>
  <c r="BA525" i="3"/>
  <c r="AZ525" i="3"/>
  <c r="BA523" i="3"/>
  <c r="AZ523" i="3" s="1"/>
  <c r="BA522" i="3"/>
  <c r="AZ522" i="3" s="1"/>
  <c r="BL521" i="3"/>
  <c r="BA519" i="3"/>
  <c r="AZ519" i="3" s="1"/>
  <c r="BL518" i="3"/>
  <c r="BA518" i="3"/>
  <c r="BL517" i="3"/>
  <c r="BA517" i="3"/>
  <c r="AZ517" i="3"/>
  <c r="BA515" i="3"/>
  <c r="BL513" i="3"/>
  <c r="BL512" i="3"/>
  <c r="AZ512" i="3" s="1"/>
  <c r="BA510" i="3"/>
  <c r="AZ510" i="3" s="1"/>
  <c r="BL509" i="3"/>
  <c r="BL507" i="3"/>
  <c r="BA507" i="3"/>
  <c r="AZ507" i="3"/>
  <c r="BL506" i="3"/>
  <c r="BA506" i="3"/>
  <c r="AZ506" i="3" s="1"/>
  <c r="BL505" i="3"/>
  <c r="AZ505" i="3" s="1"/>
  <c r="BL504" i="3"/>
  <c r="AZ504" i="3" s="1"/>
  <c r="BA504" i="3"/>
  <c r="BA503" i="3"/>
  <c r="AZ503" i="3" s="1"/>
  <c r="BL499" i="3"/>
  <c r="BA499" i="3"/>
  <c r="AZ499" i="3"/>
  <c r="BL498" i="3"/>
  <c r="AZ498" i="3"/>
  <c r="BL497" i="3"/>
  <c r="BA497" i="3"/>
  <c r="BA496" i="3"/>
  <c r="AZ496" i="3" s="1"/>
  <c r="BL494" i="3"/>
  <c r="AZ494" i="3"/>
  <c r="G494" i="3"/>
  <c r="BA491" i="3"/>
  <c r="AZ491" i="3" s="1"/>
  <c r="BA490" i="3"/>
  <c r="AZ490" i="3" s="1"/>
  <c r="BL489" i="3"/>
  <c r="BA489" i="3"/>
  <c r="BL487" i="3"/>
  <c r="AZ487" i="3" s="1"/>
  <c r="BA486" i="3"/>
  <c r="BA483" i="3"/>
  <c r="AZ483" i="3" s="1"/>
  <c r="BL481" i="3"/>
  <c r="BA481" i="3"/>
  <c r="AZ481" i="3" s="1"/>
  <c r="BL19" i="3"/>
  <c r="BA18" i="3"/>
  <c r="G114" i="34"/>
  <c r="H114" i="34" s="1"/>
  <c r="I114" i="34"/>
  <c r="J114" i="34" s="1"/>
  <c r="K114" i="34" s="1"/>
  <c r="L114" i="34" s="1"/>
  <c r="M114" i="34" s="1"/>
  <c r="H38" i="34"/>
  <c r="U38" i="34"/>
  <c r="H30" i="40"/>
  <c r="AB30" i="40" s="1"/>
  <c r="G99" i="40"/>
  <c r="J30" i="40"/>
  <c r="AC30" i="40"/>
  <c r="F38" i="40"/>
  <c r="AA38" i="40" s="1"/>
  <c r="AA36" i="34"/>
  <c r="AC12" i="21"/>
  <c r="AB33" i="21"/>
  <c r="AB10"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F23" i="35"/>
  <c r="AA23" i="35" s="1"/>
  <c r="AB36" i="35"/>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s="1"/>
  <c r="AC15" i="40"/>
  <c r="W15" i="40"/>
  <c r="W27" i="39"/>
  <c r="S23" i="39"/>
  <c r="AB16" i="39"/>
  <c r="W14" i="39"/>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W12" i="34"/>
  <c r="U29" i="33"/>
  <c r="AC13" i="33"/>
  <c r="U17" i="34"/>
  <c r="AA11" i="34"/>
  <c r="W32" i="33"/>
  <c r="H15" i="33"/>
  <c r="U15" i="33"/>
  <c r="AA11" i="33"/>
  <c r="AA40" i="21"/>
  <c r="U17" i="21"/>
  <c r="S13" i="39"/>
  <c r="AA13" i="39"/>
  <c r="U16" i="40"/>
  <c r="W34" i="40"/>
  <c r="AB34" i="40"/>
  <c r="U42" i="40"/>
  <c r="AC16" i="40"/>
  <c r="H25" i="40"/>
  <c r="AB25" i="40" s="1"/>
  <c r="F93" i="40"/>
  <c r="G93" i="40" s="1"/>
  <c r="U47" i="39"/>
  <c r="W15"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B11" i="1"/>
  <c r="E11" i="1" s="1"/>
  <c r="K11" i="1"/>
  <c r="M11" i="1" s="1"/>
  <c r="B9" i="1"/>
  <c r="E9" i="1" s="1"/>
  <c r="K9" i="1"/>
  <c r="M9" i="1" s="1"/>
  <c r="B7" i="1"/>
  <c r="E7" i="1" s="1"/>
  <c r="K7" i="1"/>
  <c r="M7" i="1" s="1"/>
  <c r="M2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AC45" i="34"/>
  <c r="AA40" i="34"/>
  <c r="W33" i="34"/>
  <c r="U30" i="34"/>
  <c r="AB33" i="34"/>
  <c r="AC35"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W31" i="33"/>
  <c r="W43" i="33"/>
  <c r="U46" i="33"/>
  <c r="W39" i="33"/>
  <c r="U35" i="33"/>
  <c r="AB34" i="33"/>
  <c r="W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AA21" i="40"/>
  <c r="W42" i="40"/>
  <c r="U35" i="40"/>
  <c r="F37" i="40"/>
  <c r="AA37" i="40" s="1"/>
  <c r="J37" i="40"/>
  <c r="AC37" i="40" s="1"/>
  <c r="H37" i="40"/>
  <c r="U37" i="40" s="1"/>
  <c r="G112" i="40"/>
  <c r="H112" i="40" s="1"/>
  <c r="I112" i="40" s="1"/>
  <c r="J112" i="40" s="1"/>
  <c r="K112" i="40" s="1"/>
  <c r="L112" i="40" s="1"/>
  <c r="M112" i="40" s="1"/>
  <c r="F39" i="40"/>
  <c r="H39" i="40"/>
  <c r="J39" i="40"/>
  <c r="W39" i="40" s="1"/>
  <c r="F29" i="40"/>
  <c r="H29" i="40"/>
  <c r="J29" i="40"/>
  <c r="F97" i="40"/>
  <c r="G97" i="40" s="1"/>
  <c r="H97" i="40" s="1"/>
  <c r="I97" i="40" s="1"/>
  <c r="J97" i="40" s="1"/>
  <c r="K97" i="40" s="1"/>
  <c r="L97" i="40" s="1"/>
  <c r="M97" i="40" s="1"/>
  <c r="S30" i="40"/>
  <c r="AB4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A39" i="40"/>
  <c r="S39" i="40"/>
  <c r="U29" i="40"/>
  <c r="AB29" i="40"/>
  <c r="AC29" i="40"/>
  <c r="W29" i="40"/>
  <c r="AA29" i="40"/>
  <c r="S29" i="40"/>
  <c r="B20" i="31"/>
  <c r="R22" i="31"/>
  <c r="B21" i="31" s="1"/>
  <c r="A17" i="51"/>
  <c r="B13" i="63" s="1"/>
  <c r="AT6" i="3"/>
  <c r="AZ16" i="3"/>
  <c r="E4" i="4"/>
  <c r="B21" i="55" s="1"/>
  <c r="B72" i="63" s="1"/>
  <c r="C4" i="4"/>
  <c r="B20" i="55" s="1"/>
  <c r="B70" i="63" s="1"/>
  <c r="G66" i="36"/>
  <c r="J18" i="36"/>
  <c r="W18" i="36"/>
  <c r="AC18" i="36"/>
  <c r="L20" i="6"/>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H72" i="46"/>
  <c r="C22" i="59"/>
  <c r="C21" i="59" s="1"/>
  <c r="D22" i="59"/>
  <c r="B12" i="67"/>
  <c r="M6" i="15"/>
  <c r="L48" i="15"/>
  <c r="F10" i="44"/>
  <c r="F16" i="15"/>
  <c r="F39" i="44"/>
  <c r="F45" i="44"/>
  <c r="F40" i="44"/>
  <c r="F15" i="44"/>
  <c r="F40" i="15"/>
  <c r="M26" i="44"/>
  <c r="M26" i="15"/>
  <c r="M8" i="15"/>
  <c r="F9" i="67"/>
  <c r="F8" i="67"/>
  <c r="J36" i="15"/>
  <c r="F14" i="67"/>
  <c r="N7" i="65"/>
  <c r="M24" i="44"/>
  <c r="B10" i="67"/>
  <c r="J17" i="44"/>
  <c r="M8" i="44"/>
  <c r="M24" i="15"/>
  <c r="B14" i="67"/>
  <c r="B9" i="67"/>
  <c r="M22" i="15"/>
  <c r="N6" i="65"/>
  <c r="F42" i="15"/>
  <c r="L47" i="15"/>
  <c r="M10" i="44"/>
  <c r="E8" i="67"/>
  <c r="E11" i="67"/>
  <c r="N5" i="65"/>
  <c r="N4" i="65"/>
  <c r="M29" i="15"/>
  <c r="F9" i="44"/>
  <c r="M11" i="44"/>
  <c r="F43" i="44"/>
  <c r="M31" i="44"/>
  <c r="F8" i="15"/>
  <c r="F38" i="15"/>
  <c r="F26" i="15"/>
  <c r="M28" i="15"/>
  <c r="F10" i="67"/>
  <c r="F13" i="15"/>
  <c r="L48" i="44"/>
  <c r="F9" i="15"/>
  <c r="F6" i="15"/>
  <c r="N3" i="65"/>
  <c r="B13" i="67"/>
  <c r="F8" i="44"/>
  <c r="F7" i="15"/>
  <c r="M25" i="44"/>
  <c r="E13" i="67"/>
  <c r="L49" i="44"/>
  <c r="F43" i="15"/>
  <c r="E14" i="67"/>
  <c r="F12" i="67"/>
  <c r="F36" i="15"/>
  <c r="M9" i="15"/>
  <c r="M30" i="44"/>
  <c r="E9" i="67"/>
  <c r="F11" i="44"/>
  <c r="J15" i="15"/>
  <c r="F28" i="44"/>
  <c r="M23" i="15"/>
  <c r="E12" i="67"/>
  <c r="F38" i="44"/>
  <c r="F13" i="67"/>
  <c r="F18" i="44"/>
  <c r="M28" i="44"/>
  <c r="F37" i="15"/>
  <c r="F11" i="67"/>
  <c r="E10" i="67"/>
  <c r="B11" i="67"/>
  <c r="B8" i="67"/>
  <c r="H1" i="65" l="1"/>
  <c r="J19" i="40"/>
  <c r="AC19" i="40" s="1"/>
  <c r="W38" i="40"/>
  <c r="H23" i="40"/>
  <c r="U23" i="40" s="1"/>
  <c r="F9" i="1"/>
  <c r="AP9" i="1" s="1"/>
  <c r="F6" i="1"/>
  <c r="AP6" i="1" s="1"/>
  <c r="C42" i="1"/>
  <c r="C95" i="9" s="1"/>
  <c r="C92" i="9" s="1"/>
  <c r="C9" i="73"/>
  <c r="C64" i="73" s="1"/>
  <c r="J32" i="40"/>
  <c r="W32" i="40" s="1"/>
  <c r="AC39" i="40"/>
  <c r="S38" i="40"/>
  <c r="U38" i="40"/>
  <c r="W37" i="40"/>
  <c r="S37" i="40"/>
  <c r="AB37" i="40"/>
  <c r="W27" i="40"/>
  <c r="W25" i="40"/>
  <c r="U25" i="40"/>
  <c r="S25" i="40"/>
  <c r="AB23" i="40"/>
  <c r="AA23" i="40"/>
  <c r="W23" i="40"/>
  <c r="U21" i="40"/>
  <c r="W21" i="40"/>
  <c r="F87" i="40"/>
  <c r="G87" i="40" s="1"/>
  <c r="H19" i="40"/>
  <c r="AB19" i="40" s="1"/>
  <c r="F19" i="40"/>
  <c r="W19" i="40"/>
  <c r="F85" i="40"/>
  <c r="G85" i="40" s="1"/>
  <c r="F17" i="40"/>
  <c r="AA17" i="40" s="1"/>
  <c r="H17" i="40"/>
  <c r="U17" i="40" s="1"/>
  <c r="J17" i="40"/>
  <c r="W11" i="40"/>
  <c r="AC13" i="40"/>
  <c r="AB13" i="40"/>
  <c r="AA13" i="40"/>
  <c r="U10" i="40"/>
  <c r="F32" i="40"/>
  <c r="B87" i="46"/>
  <c r="C25" i="73"/>
  <c r="B83" i="46"/>
  <c r="B88" i="46"/>
  <c r="C27" i="73"/>
  <c r="G12" i="1"/>
  <c r="F20" i="59"/>
  <c r="F19" i="59" s="1"/>
  <c r="F18" i="59" s="1"/>
  <c r="F17" i="59" s="1"/>
  <c r="V21" i="59"/>
  <c r="C20" i="59"/>
  <c r="T21" i="59"/>
  <c r="D21" i="59"/>
  <c r="AC36" i="33"/>
  <c r="S33" i="40"/>
  <c r="AZ19" i="3"/>
  <c r="AZ571" i="3"/>
  <c r="AB28" i="33"/>
  <c r="U28" i="33"/>
  <c r="AZ569" i="3"/>
  <c r="AZ559" i="3"/>
  <c r="AZ555" i="3"/>
  <c r="AZ550" i="3"/>
  <c r="AZ545" i="3"/>
  <c r="AZ529" i="3"/>
  <c r="AZ528" i="3"/>
  <c r="AZ521" i="3"/>
  <c r="AZ513" i="3"/>
  <c r="AZ511" i="3"/>
  <c r="AZ493" i="3"/>
  <c r="AZ486" i="3"/>
  <c r="AZ485" i="3"/>
  <c r="G29" i="6"/>
  <c r="AZ488" i="3"/>
  <c r="AZ531" i="3"/>
  <c r="S9" i="21"/>
  <c r="AA9" i="21"/>
  <c r="AZ492" i="3"/>
  <c r="AZ520" i="3"/>
  <c r="AZ526" i="3"/>
  <c r="AZ544" i="3"/>
  <c r="AZ542" i="3"/>
  <c r="AZ557" i="3"/>
  <c r="E5" i="6"/>
  <c r="D12" i="11" s="1"/>
  <c r="C12" i="11" s="1"/>
  <c r="BF5" i="3"/>
  <c r="B84" i="46"/>
  <c r="B94" i="46"/>
  <c r="J9" i="34"/>
  <c r="H9" i="34"/>
  <c r="F9" i="34"/>
  <c r="J12" i="36"/>
  <c r="H12" i="36"/>
  <c r="J23" i="36"/>
  <c r="H23" i="36"/>
  <c r="F23" i="36"/>
  <c r="H23" i="35"/>
  <c r="S35" i="21"/>
  <c r="AZ489" i="3"/>
  <c r="AZ509" i="3"/>
  <c r="AZ518" i="3"/>
  <c r="AZ552" i="3"/>
  <c r="AZ554" i="3"/>
  <c r="J33" i="39"/>
  <c r="AB14" i="37"/>
  <c r="AC34" i="37"/>
  <c r="AC45" i="21"/>
  <c r="U31" i="34"/>
  <c r="U25" i="35"/>
  <c r="J46" i="34"/>
  <c r="F46" i="34"/>
  <c r="J32" i="34"/>
  <c r="F32" i="34"/>
  <c r="J30" i="34"/>
  <c r="F30" i="34"/>
  <c r="H14" i="34"/>
  <c r="F14" i="34"/>
  <c r="F12" i="34"/>
  <c r="H12" i="34"/>
  <c r="F29" i="33"/>
  <c r="H13" i="33"/>
  <c r="U39" i="21"/>
  <c r="S25" i="35"/>
  <c r="AC14" i="37"/>
  <c r="AC11" i="36"/>
  <c r="AC29" i="33"/>
  <c r="W37" i="37"/>
  <c r="AC26" i="36"/>
  <c r="S37" i="34"/>
  <c r="AB15" i="37"/>
  <c r="AZ356" i="3"/>
  <c r="AZ345" i="3"/>
  <c r="AZ340" i="3"/>
  <c r="AZ329" i="3"/>
  <c r="AZ324" i="3"/>
  <c r="AZ305" i="3"/>
  <c r="AZ381" i="3"/>
  <c r="AZ372" i="3"/>
  <c r="AZ355" i="3"/>
  <c r="AZ307" i="3"/>
  <c r="U12" i="37"/>
  <c r="AA36" i="21"/>
  <c r="U19" i="21"/>
  <c r="AA13" i="33"/>
  <c r="AC23" i="37"/>
  <c r="AC28" i="34"/>
  <c r="BL484" i="3"/>
  <c r="BL514" i="3"/>
  <c r="AZ514" i="3" s="1"/>
  <c r="BL524" i="3"/>
  <c r="AZ524" i="3" s="1"/>
  <c r="AZ532" i="3"/>
  <c r="BL546" i="3"/>
  <c r="AZ546" i="3" s="1"/>
  <c r="BL564" i="3"/>
  <c r="AZ564" i="3" s="1"/>
  <c r="S19" i="21"/>
  <c r="S45" i="21"/>
  <c r="AA27" i="33"/>
  <c r="AB45" i="33"/>
  <c r="W31" i="34"/>
  <c r="AB13" i="21"/>
  <c r="AB40" i="37"/>
  <c r="W46" i="33"/>
  <c r="W35" i="35"/>
  <c r="F45" i="33"/>
  <c r="J45" i="33"/>
  <c r="H26" i="33"/>
  <c r="U34" i="37"/>
  <c r="S22" i="35"/>
  <c r="AB8" i="36"/>
  <c r="F12" i="36"/>
  <c r="C23" i="39"/>
  <c r="AA38" i="21"/>
  <c r="U33" i="33"/>
  <c r="S34" i="35"/>
  <c r="AC27" i="35"/>
  <c r="W39" i="37"/>
  <c r="AB41" i="21"/>
  <c r="H9" i="21"/>
  <c r="H5" i="3"/>
  <c r="BA572" i="3"/>
  <c r="AZ572" i="3" s="1"/>
  <c r="BA570" i="3"/>
  <c r="AZ570" i="3" s="1"/>
  <c r="BE5" i="3"/>
  <c r="B79" i="46"/>
  <c r="B101" i="46"/>
  <c r="J36" i="35"/>
  <c r="G569" i="3"/>
  <c r="G564" i="3"/>
  <c r="G535" i="3"/>
  <c r="G528" i="3"/>
  <c r="G520" i="3"/>
  <c r="G511" i="3"/>
  <c r="G500" i="3"/>
  <c r="G490" i="3"/>
  <c r="G482" i="3"/>
  <c r="AZ399" i="3"/>
  <c r="AZ403" i="3"/>
  <c r="AZ415" i="3"/>
  <c r="AZ420" i="3"/>
  <c r="AZ432" i="3"/>
  <c r="AZ433" i="3"/>
  <c r="AZ439" i="3"/>
  <c r="AZ459" i="3"/>
  <c r="AZ463" i="3"/>
  <c r="AZ467" i="3"/>
  <c r="AZ471" i="3"/>
  <c r="AZ475" i="3"/>
  <c r="AZ479" i="3"/>
  <c r="AZ360" i="3"/>
  <c r="AZ371" i="3"/>
  <c r="AZ376" i="3"/>
  <c r="AZ388"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13" i="1"/>
  <c r="E13" i="1" s="1"/>
  <c r="K13" i="1"/>
  <c r="M13" i="1" s="1"/>
  <c r="B100" i="46"/>
  <c r="B68" i="46"/>
  <c r="C31" i="39"/>
  <c r="B77" i="46"/>
  <c r="AA21" i="34"/>
  <c r="S21" i="34"/>
  <c r="AA18" i="35"/>
  <c r="S18" i="35"/>
  <c r="T45" i="59"/>
  <c r="C33" i="59"/>
  <c r="C53" i="59"/>
  <c r="C87" i="59"/>
  <c r="D87" i="59" s="1"/>
  <c r="B67" i="59"/>
  <c r="AB26" i="59"/>
  <c r="X29" i="59"/>
  <c r="B36" i="59"/>
  <c r="B37" i="59" s="1"/>
  <c r="S37" i="59" s="1"/>
  <c r="Y34" i="59"/>
  <c r="Z34" i="59" s="1"/>
  <c r="C35" i="59"/>
  <c r="Y26" i="59"/>
  <c r="Z26" i="59" s="1"/>
  <c r="Y28" i="59"/>
  <c r="Z28" i="59" s="1"/>
  <c r="B41" i="59"/>
  <c r="S41" i="59" s="1"/>
  <c r="C40" i="59"/>
  <c r="D39" i="59"/>
  <c r="AB38" i="59"/>
  <c r="AA35" i="59"/>
  <c r="E24" i="59"/>
  <c r="E23" i="59" s="1"/>
  <c r="E22" i="59" s="1"/>
  <c r="E21" i="59" s="1"/>
  <c r="U25" i="59"/>
  <c r="AZ148" i="3"/>
  <c r="AA30" i="59"/>
  <c r="E31" i="59"/>
  <c r="E32" i="59" s="1"/>
  <c r="E33" i="59" s="1"/>
  <c r="U33" i="59" s="1"/>
  <c r="AA38" i="59"/>
  <c r="E39" i="59"/>
  <c r="E40" i="59" s="1"/>
  <c r="E41" i="59" s="1"/>
  <c r="U41" i="59" s="1"/>
  <c r="X5" i="59"/>
  <c r="X7" i="59"/>
  <c r="X6" i="59"/>
  <c r="X8" i="59"/>
  <c r="X11" i="59"/>
  <c r="X10" i="59"/>
  <c r="X40" i="59"/>
  <c r="X38" i="59"/>
  <c r="X39" i="59"/>
  <c r="AB8" i="59"/>
  <c r="AB5" i="59"/>
  <c r="AB7" i="59"/>
  <c r="AB6" i="59"/>
  <c r="AB40" i="59"/>
  <c r="AB10" i="59"/>
  <c r="AB29" i="59"/>
  <c r="AB28" i="59"/>
  <c r="F41" i="59"/>
  <c r="V41" i="59" s="1"/>
  <c r="P68" i="59"/>
  <c r="E67" i="59"/>
  <c r="T73" i="59"/>
  <c r="C72" i="59"/>
  <c r="T81" i="59"/>
  <c r="C80" i="59"/>
  <c r="D81" i="59"/>
  <c r="E29" i="59"/>
  <c r="AA29" i="59"/>
  <c r="X34" i="59"/>
  <c r="AB30" i="59"/>
  <c r="S29" i="59"/>
  <c r="D29" i="59"/>
  <c r="T29" i="59"/>
  <c r="C28" i="59"/>
  <c r="X27" i="59"/>
  <c r="AA27" i="59"/>
  <c r="X28" i="59"/>
  <c r="AA26" i="59"/>
  <c r="X26" i="59"/>
  <c r="Y24" i="59"/>
  <c r="Z24" i="59" s="1"/>
  <c r="AA24" i="59"/>
  <c r="AB24" i="59"/>
  <c r="X24" i="59"/>
  <c r="X22" i="59"/>
  <c r="AB19" i="59"/>
  <c r="Y15" i="59"/>
  <c r="Z15" i="59"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F31" i="59"/>
  <c r="F32" i="59" s="1"/>
  <c r="F33" i="59" s="1"/>
  <c r="V33" i="59" s="1"/>
  <c r="AB27" i="59"/>
  <c r="Y31" i="59"/>
  <c r="Z31" i="59" s="1"/>
  <c r="AB31" i="59"/>
  <c r="Y32" i="59"/>
  <c r="Z32" i="59" s="1"/>
  <c r="AB32" i="59"/>
  <c r="AB33" i="59"/>
  <c r="AB36" i="59"/>
  <c r="AB39" i="59"/>
  <c r="AA5" i="59"/>
  <c r="AA7" i="59"/>
  <c r="AA6" i="59"/>
  <c r="AA8" i="59"/>
  <c r="AA10" i="59"/>
  <c r="C48" i="59"/>
  <c r="D48" i="59" s="1"/>
  <c r="D47" i="59"/>
  <c r="Q67" i="59"/>
  <c r="Q66" i="59"/>
  <c r="O69" i="59"/>
  <c r="C68" i="59"/>
  <c r="D85" i="59"/>
  <c r="C84" i="59"/>
  <c r="Y25" i="59"/>
  <c r="Z25" i="59" s="1"/>
  <c r="AB34" i="59"/>
  <c r="X30" i="59"/>
  <c r="X19" i="59"/>
  <c r="Y19" i="59"/>
  <c r="Z19" i="59" s="1"/>
  <c r="AA19" i="59"/>
  <c r="AB3" i="59"/>
  <c r="X18" i="59"/>
  <c r="AA18" i="59"/>
  <c r="AA3" i="59"/>
  <c r="Y14" i="59"/>
  <c r="Z14" i="59" s="1"/>
  <c r="X13" i="59"/>
  <c r="P16" i="4"/>
  <c r="Y30" i="59"/>
  <c r="Z30" i="59" s="1"/>
  <c r="X31" i="59"/>
  <c r="AA32" i="59"/>
  <c r="X33" i="59"/>
  <c r="AA34" i="59"/>
  <c r="AB35" i="59"/>
  <c r="Y36" i="59"/>
  <c r="Z36" i="59" s="1"/>
  <c r="AB37" i="59"/>
  <c r="Y38" i="59"/>
  <c r="Z38" i="59" s="1"/>
  <c r="Y8" i="59"/>
  <c r="Z8" i="59" s="1"/>
  <c r="Y7" i="59"/>
  <c r="Z7" i="59" s="1"/>
  <c r="Y5" i="59"/>
  <c r="Z5" i="59" s="1"/>
  <c r="Y6" i="59"/>
  <c r="Z6" i="59" s="1"/>
  <c r="Y10" i="59"/>
  <c r="Z10" i="59" s="1"/>
  <c r="F28" i="59"/>
  <c r="F27" i="59" s="1"/>
  <c r="AB25" i="59"/>
  <c r="X25" i="59"/>
  <c r="B25" i="59"/>
  <c r="X15" i="59"/>
  <c r="X12" i="59"/>
  <c r="AA16" i="59"/>
  <c r="AA12" i="59"/>
  <c r="AA11" i="59"/>
  <c r="X17" i="59"/>
  <c r="Y18" i="59"/>
  <c r="Z18" i="59" s="1"/>
  <c r="AB18" i="59"/>
  <c r="AB11" i="59"/>
  <c r="Y13" i="59"/>
  <c r="Z13" i="59" s="1"/>
  <c r="AA13" i="59"/>
  <c r="AA15" i="59"/>
  <c r="X14" i="59"/>
  <c r="AB16" i="59"/>
  <c r="AB12" i="59"/>
  <c r="AB14" i="59"/>
  <c r="AB13" i="59"/>
  <c r="Y11" i="59"/>
  <c r="Z11" i="59" s="1"/>
  <c r="Y12" i="59"/>
  <c r="Z12"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AZ20" i="3"/>
  <c r="BL5" i="3"/>
  <c r="AZ484" i="3"/>
  <c r="AZ395" i="3"/>
  <c r="AZ397" i="3"/>
  <c r="AZ405" i="3"/>
  <c r="AZ411" i="3"/>
  <c r="AZ413" i="3"/>
  <c r="AZ417" i="3"/>
  <c r="AZ427" i="3"/>
  <c r="AZ437" i="3"/>
  <c r="AZ443" i="3"/>
  <c r="AZ447" i="3"/>
  <c r="AZ451" i="3"/>
  <c r="AZ457" i="3"/>
  <c r="AZ465" i="3"/>
  <c r="AZ473" i="3"/>
  <c r="AZ206" i="3"/>
  <c r="AZ116" i="3"/>
  <c r="BT5" i="3"/>
  <c r="BI5" i="3"/>
  <c r="BG5" i="3"/>
  <c r="E15" i="6" s="1"/>
  <c r="E61" i="73"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F30" i="44"/>
  <c r="D86" i="9"/>
  <c r="F29" i="12"/>
  <c r="F32" i="15"/>
  <c r="F59" i="15" s="1"/>
  <c r="F71" i="9"/>
  <c r="K15" i="1"/>
  <c r="O11" i="1"/>
  <c r="P11" i="1" s="1"/>
  <c r="D21" i="12"/>
  <c r="C21" i="12" s="1"/>
  <c r="O6" i="1"/>
  <c r="P6" i="1" s="1"/>
  <c r="O7" i="1"/>
  <c r="P7" i="1" s="1"/>
  <c r="O12" i="1"/>
  <c r="P12" i="1" s="1"/>
  <c r="O10" i="1"/>
  <c r="P10" i="1" s="1"/>
  <c r="O9" i="1"/>
  <c r="P9" i="1" s="1"/>
  <c r="O13" i="1"/>
  <c r="P13" i="1" s="1"/>
  <c r="G6" i="1"/>
  <c r="K17" i="4"/>
  <c r="A22" i="51" s="1"/>
  <c r="B16" i="63" s="1"/>
  <c r="A25" i="51"/>
  <c r="B18" i="63" s="1"/>
  <c r="G10" i="1"/>
  <c r="G13" i="1"/>
  <c r="C15" i="43"/>
  <c r="D23" i="15"/>
  <c r="L52" i="37"/>
  <c r="M52" i="37" s="1"/>
  <c r="N52" i="37" s="1"/>
  <c r="O52" i="37" s="1"/>
  <c r="G58" i="33"/>
  <c r="H58" i="33" s="1"/>
  <c r="I58" i="33" s="1"/>
  <c r="J58" i="33" s="1"/>
  <c r="K58" i="33" s="1"/>
  <c r="L58" i="33" s="1"/>
  <c r="M58" i="33" s="1"/>
  <c r="N58" i="33" s="1"/>
  <c r="O58" i="33" s="1"/>
  <c r="F58" i="21"/>
  <c r="G58" i="21" s="1"/>
  <c r="H58" i="21" s="1"/>
  <c r="I58" i="21" s="1"/>
  <c r="J58" i="21" s="1"/>
  <c r="K58" i="21" s="1"/>
  <c r="L58" i="21" s="1"/>
  <c r="M58" i="21" s="1"/>
  <c r="N58" i="21" s="1"/>
  <c r="O58" i="21" s="1"/>
  <c r="D69" i="39"/>
  <c r="C66" i="40"/>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Q73" i="44"/>
  <c r="C6" i="15"/>
  <c r="C32" i="15" s="1"/>
  <c r="F65" i="15"/>
  <c r="C29" i="44"/>
  <c r="C8" i="44"/>
  <c r="C34" i="44" s="1"/>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J7" i="65"/>
  <c r="I6" i="65"/>
  <c r="I3" i="65"/>
  <c r="J6" i="65"/>
  <c r="I7" i="65"/>
  <c r="C16" i="15"/>
  <c r="J3" i="65"/>
  <c r="C18" i="44"/>
  <c r="I4" i="65"/>
  <c r="I5" i="65"/>
  <c r="J5" i="65"/>
  <c r="J4" i="65"/>
  <c r="S17" i="40" l="1"/>
  <c r="C25" i="12"/>
  <c r="C15" i="12"/>
  <c r="C30" i="44"/>
  <c r="C28" i="15"/>
  <c r="J1" i="65"/>
  <c r="A1" i="70"/>
  <c r="U19" i="40"/>
  <c r="AC32" i="40"/>
  <c r="AB17" i="40"/>
  <c r="P27" i="46"/>
  <c r="C66" i="73"/>
  <c r="D64" i="73"/>
  <c r="B67" i="40"/>
  <c r="B67" i="73"/>
  <c r="P25" i="46"/>
  <c r="P26" i="46"/>
  <c r="O23" i="46"/>
  <c r="P29" i="46"/>
  <c r="B72" i="39" s="1"/>
  <c r="E53" i="40"/>
  <c r="E53" i="73"/>
  <c r="S19" i="40"/>
  <c r="AA19" i="40"/>
  <c r="AC17" i="40"/>
  <c r="W17" i="40"/>
  <c r="AA32" i="40"/>
  <c r="S32" i="40"/>
  <c r="Q16" i="1"/>
  <c r="H16" i="1"/>
  <c r="AP16" i="1"/>
  <c r="S25" i="59"/>
  <c r="B24" i="59"/>
  <c r="B23" i="59" s="1"/>
  <c r="B22" i="59" s="1"/>
  <c r="B21" i="59" s="1"/>
  <c r="U29" i="59"/>
  <c r="E28" i="59"/>
  <c r="E27" i="59" s="1"/>
  <c r="C79" i="59"/>
  <c r="D79" i="59" s="1"/>
  <c r="D80" i="59"/>
  <c r="D72" i="59"/>
  <c r="C71" i="59"/>
  <c r="D71" i="59" s="1"/>
  <c r="P66" i="59"/>
  <c r="P67" i="59"/>
  <c r="N67" i="59"/>
  <c r="N66" i="59"/>
  <c r="D53" i="59"/>
  <c r="T53" i="59"/>
  <c r="AC36" i="35"/>
  <c r="W36" i="35"/>
  <c r="W45" i="33"/>
  <c r="AC45" i="33"/>
  <c r="AA29" i="33"/>
  <c r="S29" i="33"/>
  <c r="S12" i="34"/>
  <c r="AA12" i="34"/>
  <c r="AB14" i="34"/>
  <c r="U14" i="34"/>
  <c r="W30" i="34"/>
  <c r="AC30" i="34"/>
  <c r="W32" i="34"/>
  <c r="AC32" i="34"/>
  <c r="AC46" i="34"/>
  <c r="W46" i="34"/>
  <c r="W33" i="39"/>
  <c r="AC33" i="39"/>
  <c r="AA23" i="36"/>
  <c r="S23" i="36"/>
  <c r="W23" i="36"/>
  <c r="AC23" i="36"/>
  <c r="AC12" i="36"/>
  <c r="W12" i="36"/>
  <c r="AB9" i="34"/>
  <c r="U9" i="34"/>
  <c r="J7" i="33"/>
  <c r="AC7" i="33" s="1"/>
  <c r="V48" i="33" s="1"/>
  <c r="I48" i="33" s="1"/>
  <c r="C83" i="59"/>
  <c r="D83" i="59" s="1"/>
  <c r="D84" i="59"/>
  <c r="O68" i="59"/>
  <c r="D68" i="59"/>
  <c r="C67" i="59"/>
  <c r="C27" i="59"/>
  <c r="D27" i="59" s="1"/>
  <c r="D28" i="59"/>
  <c r="E20" i="59"/>
  <c r="E19" i="59" s="1"/>
  <c r="E18" i="59" s="1"/>
  <c r="E17" i="59" s="1"/>
  <c r="U21" i="59"/>
  <c r="D40" i="59"/>
  <c r="C41" i="59"/>
  <c r="D35" i="59"/>
  <c r="C36" i="59"/>
  <c r="D33" i="59"/>
  <c r="T33" i="59"/>
  <c r="U9" i="21"/>
  <c r="AB9" i="21"/>
  <c r="S12" i="36"/>
  <c r="AA12" i="36"/>
  <c r="U26" i="33"/>
  <c r="AB26" i="33"/>
  <c r="S45" i="33"/>
  <c r="AA45" i="33"/>
  <c r="U13" i="33"/>
  <c r="AB13" i="33"/>
  <c r="AB12" i="34"/>
  <c r="U12" i="34"/>
  <c r="S14" i="34"/>
  <c r="AA14" i="34"/>
  <c r="S30" i="34"/>
  <c r="AA30" i="34"/>
  <c r="S32" i="34"/>
  <c r="AA32" i="34"/>
  <c r="AA46" i="34"/>
  <c r="S46" i="34"/>
  <c r="AB23" i="35"/>
  <c r="U23" i="35"/>
  <c r="AB23" i="36"/>
  <c r="U23" i="36"/>
  <c r="U12" i="36"/>
  <c r="AB12" i="36"/>
  <c r="AA9" i="34"/>
  <c r="S9" i="34"/>
  <c r="AC9" i="34"/>
  <c r="W9" i="34"/>
  <c r="C19" i="59"/>
  <c r="D20" i="59"/>
  <c r="F16" i="59"/>
  <c r="F15" i="59" s="1"/>
  <c r="F14" i="59" s="1"/>
  <c r="F13" i="59" s="1"/>
  <c r="V17" i="59"/>
  <c r="J60" i="44"/>
  <c r="J61" i="44" s="1"/>
  <c r="Q50" i="44" s="1"/>
  <c r="E83" i="46"/>
  <c r="B81" i="46" s="1"/>
  <c r="D26" i="46"/>
  <c r="C25" i="46" s="1"/>
  <c r="C29" i="12"/>
  <c r="BA5" i="3"/>
  <c r="E12" i="6"/>
  <c r="E58" i="73"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13" i="6"/>
  <c r="E11" i="6"/>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F7" i="21"/>
  <c r="AA7" i="21" s="1"/>
  <c r="R48" i="21" s="1"/>
  <c r="H7" i="21"/>
  <c r="AB7" i="21" s="1"/>
  <c r="T48" i="21" s="1"/>
  <c r="G48" i="21" s="1"/>
  <c r="F58" i="15"/>
  <c r="H7" i="35"/>
  <c r="U7" i="35" s="1"/>
  <c r="E64" i="40"/>
  <c r="D66" i="40"/>
  <c r="J7" i="37"/>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E2" i="65"/>
  <c r="F46" i="44"/>
  <c r="E3" i="65"/>
  <c r="F41" i="15"/>
  <c r="B40" i="1" l="1"/>
  <c r="L36" i="46" s="1"/>
  <c r="O36" i="46" s="1"/>
  <c r="S7" i="34"/>
  <c r="AC7" i="21"/>
  <c r="V48" i="21" s="1"/>
  <c r="I48" i="21" s="1"/>
  <c r="W7" i="33"/>
  <c r="AB7" i="34"/>
  <c r="T49" i="34" s="1"/>
  <c r="G49" i="34" s="1"/>
  <c r="G54" i="34" s="1"/>
  <c r="H54" i="34" s="1"/>
  <c r="E64" i="73"/>
  <c r="D66" i="73"/>
  <c r="E62" i="39"/>
  <c r="E57" i="73"/>
  <c r="E59" i="40"/>
  <c r="E59" i="73"/>
  <c r="E65" i="39"/>
  <c r="E60" i="73"/>
  <c r="J12" i="40"/>
  <c r="AC12" i="40" s="1"/>
  <c r="J12" i="73"/>
  <c r="F12" i="73"/>
  <c r="H12" i="73"/>
  <c r="D36" i="59"/>
  <c r="C37" i="59"/>
  <c r="D41" i="59"/>
  <c r="T41" i="59"/>
  <c r="D67" i="59"/>
  <c r="O67" i="59"/>
  <c r="O66" i="59"/>
  <c r="B20" i="59"/>
  <c r="B19" i="59" s="1"/>
  <c r="B18" i="59" s="1"/>
  <c r="B17" i="59" s="1"/>
  <c r="S21" i="59"/>
  <c r="V13" i="59"/>
  <c r="F12" i="59"/>
  <c r="F11" i="59" s="1"/>
  <c r="C18" i="59"/>
  <c r="D19" i="59"/>
  <c r="E16" i="59"/>
  <c r="E15" i="59" s="1"/>
  <c r="E14" i="59" s="1"/>
  <c r="E13" i="59" s="1"/>
  <c r="U17" i="59"/>
  <c r="Q36" i="46"/>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N36" i="46" l="1"/>
  <c r="P36" i="46"/>
  <c r="L37" i="46"/>
  <c r="M37" i="46" s="1"/>
  <c r="M36" i="46"/>
  <c r="G53" i="34"/>
  <c r="H53" i="34" s="1"/>
  <c r="C20" i="12"/>
  <c r="E66" i="73"/>
  <c r="F64" i="73"/>
  <c r="AB12" i="73"/>
  <c r="U12" i="73"/>
  <c r="W12" i="73"/>
  <c r="AC12" i="73"/>
  <c r="AA12" i="73"/>
  <c r="S12" i="73"/>
  <c r="E12" i="59"/>
  <c r="E11" i="59" s="1"/>
  <c r="U13" i="59"/>
  <c r="C17" i="59"/>
  <c r="D18" i="59"/>
  <c r="B16" i="59"/>
  <c r="B15" i="59" s="1"/>
  <c r="B14" i="59" s="1"/>
  <c r="B13" i="59" s="1"/>
  <c r="S17" i="59"/>
  <c r="D37" i="59"/>
  <c r="T37"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P37" i="46" l="1"/>
  <c r="Q37" i="46"/>
  <c r="N37" i="46"/>
  <c r="O37" i="46"/>
  <c r="G64" i="73"/>
  <c r="F66" i="73"/>
  <c r="C36" i="40"/>
  <c r="E62" i="73"/>
  <c r="B12" i="59"/>
  <c r="B11" i="59" s="1"/>
  <c r="B10" i="59" s="1"/>
  <c r="S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G66" i="73" l="1"/>
  <c r="H64" i="73"/>
  <c r="S16" i="1"/>
  <c r="J36" i="40"/>
  <c r="H36" i="40"/>
  <c r="F36" i="40"/>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5" i="15"/>
  <c r="C14" i="15"/>
  <c r="M23" i="44"/>
  <c r="C16" i="44"/>
  <c r="F37" i="44"/>
  <c r="M21" i="15"/>
  <c r="I64" i="73" l="1"/>
  <c r="H66" i="73"/>
  <c r="AA36" i="40"/>
  <c r="S36" i="40"/>
  <c r="AB36" i="40"/>
  <c r="U36" i="40"/>
  <c r="AC36" i="40"/>
  <c r="W36" i="40"/>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H7" i="36"/>
  <c r="J64" i="40"/>
  <c r="I66" i="40"/>
  <c r="J69" i="39"/>
  <c r="I71" i="39"/>
  <c r="B3" i="67"/>
  <c r="B4" i="67"/>
  <c r="F7" i="36" l="1"/>
  <c r="S7" i="36" s="1"/>
  <c r="I66" i="73"/>
  <c r="J64" i="73"/>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K64" i="73"/>
  <c r="J66" i="73"/>
  <c r="C12" i="59"/>
  <c r="D13" i="59"/>
  <c r="T13" i="59"/>
  <c r="E5" i="59"/>
  <c r="U5" i="59" s="1"/>
  <c r="B5" i="59"/>
  <c r="C21" i="43"/>
  <c r="R37" i="36"/>
  <c r="E36" i="36"/>
  <c r="I41" i="36" s="1"/>
  <c r="J41" i="36" s="1"/>
  <c r="K66" i="40"/>
  <c r="L64" i="40"/>
  <c r="G41" i="36"/>
  <c r="H41" i="36" s="1"/>
  <c r="G40" i="36"/>
  <c r="H40" i="36" s="1"/>
  <c r="I40" i="36"/>
  <c r="J40" i="36" s="1"/>
  <c r="L69" i="39"/>
  <c r="K71" i="39"/>
  <c r="K66" i="73" l="1"/>
  <c r="L64" i="73"/>
  <c r="C11" i="59"/>
  <c r="D12" i="59"/>
  <c r="S5" i="59"/>
  <c r="L71" i="39"/>
  <c r="M69" i="39"/>
  <c r="M64" i="40"/>
  <c r="L66" i="40"/>
  <c r="E40" i="36"/>
  <c r="F40" i="36" s="1"/>
  <c r="E41" i="36"/>
  <c r="F41" i="36" s="1"/>
  <c r="C37" i="36"/>
  <c r="B3" i="36" s="1"/>
  <c r="B2" i="36" s="1"/>
  <c r="C36" i="36"/>
  <c r="M64" i="73" l="1"/>
  <c r="L66" i="73"/>
  <c r="C10" i="59"/>
  <c r="D11" i="59"/>
  <c r="N64" i="40"/>
  <c r="N66" i="40" s="1"/>
  <c r="M66" i="40"/>
  <c r="N69" i="39"/>
  <c r="N71" i="39" s="1"/>
  <c r="M71" i="39"/>
  <c r="M66" i="73" l="1"/>
  <c r="N64" i="73"/>
  <c r="N66" i="73" s="1"/>
  <c r="C9" i="59"/>
  <c r="D10" i="59"/>
  <c r="J9" i="40"/>
  <c r="H9" i="40"/>
  <c r="F9" i="40"/>
  <c r="J9" i="39"/>
  <c r="H9" i="39"/>
  <c r="F9" i="39"/>
  <c r="J9" i="73" l="1"/>
  <c r="F9" i="73"/>
  <c r="H9" i="73"/>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A9" i="73" l="1"/>
  <c r="R44" i="73" s="1"/>
  <c r="S9" i="73"/>
  <c r="U9" i="73"/>
  <c r="AB9" i="73"/>
  <c r="T44" i="73" s="1"/>
  <c r="G44" i="73" s="1"/>
  <c r="AC9" i="73"/>
  <c r="V44" i="73" s="1"/>
  <c r="I44" i="73" s="1"/>
  <c r="W9" i="73"/>
  <c r="D8" i="59"/>
  <c r="C7" i="59"/>
  <c r="R45" i="40"/>
  <c r="E44" i="40"/>
  <c r="G53" i="39"/>
  <c r="H53" i="39" s="1"/>
  <c r="G54" i="39"/>
  <c r="H54" i="39" s="1"/>
  <c r="G48" i="40"/>
  <c r="H48" i="40" s="1"/>
  <c r="G49" i="40"/>
  <c r="H49" i="40" s="1"/>
  <c r="I53" i="39"/>
  <c r="J53" i="39" s="1"/>
  <c r="R50" i="39"/>
  <c r="E49" i="39"/>
  <c r="I54" i="39" s="1"/>
  <c r="J54" i="39" s="1"/>
  <c r="G48" i="73" l="1"/>
  <c r="H48" i="73" s="1"/>
  <c r="G49" i="73"/>
  <c r="H49" i="73" s="1"/>
  <c r="I48" i="73"/>
  <c r="J48" i="73" s="1"/>
  <c r="R45" i="73"/>
  <c r="E44" i="73"/>
  <c r="I49" i="73" s="1"/>
  <c r="J49" i="73" s="1"/>
  <c r="C6" i="59"/>
  <c r="D7" i="59"/>
  <c r="E54" i="39"/>
  <c r="F54" i="39" s="1"/>
  <c r="E53" i="39"/>
  <c r="F53" i="39" s="1"/>
  <c r="I49" i="40"/>
  <c r="J49" i="40" s="1"/>
  <c r="E49" i="40"/>
  <c r="F49" i="40" s="1"/>
  <c r="E48" i="40"/>
  <c r="F48" i="40" s="1"/>
  <c r="C49" i="39"/>
  <c r="C50" i="39"/>
  <c r="C44" i="40"/>
  <c r="C45" i="40"/>
  <c r="E48" i="73" l="1"/>
  <c r="F48" i="73" s="1"/>
  <c r="E49" i="73"/>
  <c r="F49" i="73" s="1"/>
  <c r="C44" i="73"/>
  <c r="E8" i="11" s="1"/>
  <c r="C8" i="11" s="1"/>
  <c r="C7" i="11" s="1"/>
  <c r="C45" i="73"/>
  <c r="C5" i="59"/>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7" i="11" l="1"/>
  <c r="C18" i="11"/>
  <c r="C19" i="11" s="1"/>
  <c r="C20" i="11" s="1"/>
  <c r="C21" i="11" s="1"/>
  <c r="C22" i="11" s="1"/>
  <c r="C23" i="11" s="1"/>
  <c r="B2" i="11" s="1"/>
  <c r="B57" i="73"/>
  <c r="F57" i="73" s="1"/>
  <c r="B55" i="73"/>
  <c r="F55" i="73" s="1"/>
  <c r="B54" i="73"/>
  <c r="F54" i="73" s="1"/>
  <c r="B53" i="73"/>
  <c r="F53" i="73" s="1"/>
  <c r="B59" i="73"/>
  <c r="F59" i="73" s="1"/>
  <c r="B56" i="73"/>
  <c r="F56" i="73" s="1"/>
  <c r="B58" i="73"/>
  <c r="F58" i="73" s="1"/>
  <c r="B60" i="73"/>
  <c r="F60" i="73" s="1"/>
  <c r="B61" i="73"/>
  <c r="F61" i="73" s="1"/>
  <c r="F62" i="73"/>
  <c r="B2" i="73" s="1"/>
  <c r="L43" i="9"/>
  <c r="D5" i="59"/>
  <c r="T5" i="59"/>
  <c r="M24" i="46"/>
  <c r="B5" i="39"/>
  <c r="B4" i="39"/>
  <c r="B3" i="39"/>
  <c r="B5" i="40"/>
  <c r="B4" i="40"/>
  <c r="B3" i="40"/>
  <c r="C21" i="9"/>
  <c r="D19" i="9"/>
  <c r="C20" i="9"/>
  <c r="L44" i="9" l="1"/>
  <c r="G19" i="9"/>
  <c r="D22" i="9"/>
  <c r="B5" i="11"/>
  <c r="B4" i="11"/>
  <c r="B3" i="11"/>
  <c r="B4" i="73"/>
  <c r="B3" i="73"/>
  <c r="B5" i="73"/>
  <c r="F20" i="43"/>
  <c r="D20" i="43" s="1"/>
  <c r="F26" i="12"/>
  <c r="F26" i="44"/>
  <c r="F24" i="15"/>
  <c r="D21" i="9"/>
  <c r="D20" i="9"/>
  <c r="G22" i="9" l="1"/>
  <c r="D14" i="66"/>
  <c r="C32" i="9"/>
  <c r="O38" i="9" s="1"/>
  <c r="N43" i="9"/>
  <c r="G20" i="9"/>
  <c r="D4" i="75" s="1"/>
  <c r="G21" i="9"/>
  <c r="C20" i="43"/>
  <c r="C24" i="15"/>
  <c r="C23" i="15"/>
  <c r="C27" i="12"/>
  <c r="D26" i="12" s="1"/>
  <c r="C32" i="12" s="1"/>
  <c r="D30" i="12" s="1"/>
  <c r="C28" i="12"/>
  <c r="C26" i="12" s="1"/>
  <c r="C31" i="12" s="1"/>
  <c r="C30" i="12" s="1"/>
  <c r="C26" i="44"/>
  <c r="C25" i="44"/>
  <c r="C42" i="9" l="1"/>
  <c r="D63" i="9" s="1"/>
  <c r="E14" i="66"/>
  <c r="B5" i="66"/>
  <c r="F14" i="66"/>
  <c r="C34" i="9"/>
  <c r="M38" i="9" s="1"/>
  <c r="K27" i="9" s="1"/>
  <c r="O43" i="9"/>
  <c r="C33" i="9"/>
  <c r="N38" i="9" s="1"/>
  <c r="K28" i="9" s="1"/>
  <c r="C35" i="9"/>
  <c r="F42" i="9" s="1"/>
  <c r="K25" i="9"/>
  <c r="K26" i="9"/>
  <c r="R5" i="54"/>
  <c r="B48" i="63" s="1"/>
  <c r="N68" i="9"/>
  <c r="C23" i="43"/>
  <c r="C31" i="44"/>
  <c r="C38" i="44" s="1"/>
  <c r="C36" i="12"/>
  <c r="B2" i="12" s="1"/>
  <c r="B3" i="12" s="1"/>
  <c r="C29" i="15"/>
  <c r="C5" i="66" l="1"/>
  <c r="D5" i="66"/>
  <c r="E42" i="9"/>
  <c r="P5" i="54" s="1"/>
  <c r="B46" i="63" s="1"/>
  <c r="D42" i="9"/>
  <c r="Q5" i="54" s="1"/>
  <c r="B47" i="63" s="1"/>
  <c r="C111" i="9"/>
  <c r="C104" i="9" s="1"/>
  <c r="D70" i="9"/>
  <c r="C96" i="9"/>
  <c r="C91" i="9" s="1"/>
  <c r="C90" i="9"/>
  <c r="D73" i="9"/>
  <c r="N73" i="9" s="1"/>
  <c r="C82" i="9"/>
  <c r="C81" i="9" s="1"/>
  <c r="C85" i="9" s="1"/>
  <c r="C86" i="9" s="1"/>
  <c r="D72" i="9" s="1"/>
  <c r="D71" i="9"/>
  <c r="D66" i="9" s="1"/>
  <c r="N72" i="9" s="1"/>
  <c r="C103"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114" i="9" s="1"/>
  <c r="E114" i="9" s="1"/>
  <c r="E115" i="9" s="1"/>
  <c r="C97" i="9"/>
  <c r="C98" i="9" s="1"/>
  <c r="E98" i="9" s="1"/>
  <c r="E99"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115" i="9" l="1"/>
  <c r="D76" i="9" s="1"/>
  <c r="D74" i="9" s="1"/>
  <c r="N74" i="9" s="1"/>
  <c r="O77" i="9" s="1"/>
  <c r="O78" i="9" s="1"/>
  <c r="C99"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O79" i="9" l="1"/>
  <c r="O81" i="9" s="1"/>
  <c r="Q77" i="9"/>
  <c r="Q57" i="15"/>
  <c r="L57" i="15"/>
  <c r="L60" i="15" s="1"/>
  <c r="Q67" i="15" s="1"/>
  <c r="Q68" i="15"/>
  <c r="C46" i="15"/>
  <c r="Q66" i="15"/>
  <c r="J42" i="15"/>
  <c r="J43" i="15" s="1"/>
  <c r="B2" i="15"/>
  <c r="B3" i="15" s="1"/>
  <c r="C43" i="15"/>
  <c r="Q48" i="15"/>
  <c r="Q54" i="15" s="1"/>
  <c r="L52" i="44"/>
  <c r="L58" i="44" s="1"/>
  <c r="L61" i="44" s="1"/>
  <c r="L47" i="44" s="1"/>
  <c r="B3" i="44"/>
  <c r="B5" i="44"/>
  <c r="B4" i="44"/>
  <c r="O80" i="9" l="1"/>
  <c r="Q58" i="15"/>
  <c r="Q63" i="15" s="1"/>
  <c r="Q76" i="15"/>
  <c r="Q69" i="44"/>
  <c r="Q59" i="44"/>
  <c r="Q64" i="44" s="1"/>
  <c r="Q68" i="44"/>
  <c r="Q77" i="44" s="1"/>
  <c r="D5" i="75" l="1"/>
  <c r="D11" i="75" l="1"/>
  <c r="D12" i="75" s="1"/>
  <c r="D13" i="75"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<sst xmlns="http://schemas.openxmlformats.org/spreadsheetml/2006/main" count="9067" uniqueCount="4098">
  <si>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</si>
  <si>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</si>
  <si>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</si>
  <si>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</si>
  <si>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</si>
  <si>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</si>
  <si>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</si>
  <si>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</si>
  <si>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</si>
  <si>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</si>
  <si>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</si>
  <si>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</si>
  <si>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</si>
  <si>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</si>
  <si>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</si>
  <si>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</si>
  <si>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</si>
  <si>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</si>
  <si>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</si>
  <si>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</si>
  <si>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</si>
  <si>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</si>
  <si>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</si>
  <si>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</si>
  <si>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</si>
  <si>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</si>
  <si>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</si>
  <si>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</si>
  <si>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</si>
  <si>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</si>
  <si>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</si>
  <si>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</si>
  <si>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</si>
  <si>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</si>
  <si>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</si>
  <si>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</si>
  <si>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</si>
  <si>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</si>
  <si>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</si>
  <si>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</si>
  <si>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</si>
  <si>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</si>
  <si>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</si>
  <si>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</si>
  <si>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</si>
  <si>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</si>
  <si>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</si>
  <si>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</si>
  <si>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</si>
  <si>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</si>
  <si>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</si>
  <si>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</si>
  <si>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</si>
  <si>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</si>
  <si>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</si>
  <si>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</si>
  <si>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</si>
  <si>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</si>
  <si>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</si>
  <si>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</si>
  <si>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</si>
  <si>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</si>
  <si>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</si>
  <si>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</si>
  <si>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</si>
  <si>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</si>
  <si>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</si>
  <si>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</si>
  <si>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</si>
  <si>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</si>
  <si>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</si>
  <si>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</si>
  <si>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</si>
  <si>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</si>
  <si>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</si>
  <si>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</si>
  <si>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</si>
  <si>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</si>
  <si>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</si>
  <si>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</si>
  <si>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</si>
  <si>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</si>
  <si>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</si>
  <si>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</si>
  <si>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</si>
  <si>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</si>
  <si>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</si>
  <si>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</si>
  <si>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</si>
  <si>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</si>
  <si>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</si>
  <si>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</si>
  <si>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</si>
  <si>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</si>
  <si>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</si>
  <si>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</si>
  <si>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</si>
  <si>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</si>
  <si>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</si>
  <si>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</si>
  <si>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</si>
  <si>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</si>
  <si>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</si>
  <si>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</si>
  <si>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</si>
  <si>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</si>
  <si>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</si>
  <si>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</si>
  <si>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</si>
  <si>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</si>
  <si>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</si>
  <si>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</si>
  <si>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</si>
  <si>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</si>
  <si>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</si>
  <si>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</si>
  <si>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</si>
  <si>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</si>
  <si>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</si>
  <si>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</si>
  <si>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</si>
  <si>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</si>
  <si>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</si>
  <si>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</si>
  <si>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</si>
  <si>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</si>
  <si>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</si>
  <si>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</si>
  <si>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</si>
  <si>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</si>
  <si>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</si>
  <si>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</si>
  <si>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</si>
  <si>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</si>
  <si>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</si>
  <si>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</si>
  <si>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</si>
  <si>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</si>
  <si>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</si>
  <si>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</si>
  <si>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</si>
  <si>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</si>
  <si>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</si>
  <si>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</si>
  <si>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</si>
  <si>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</si>
  <si>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</si>
  <si>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</si>
  <si>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</si>
  <si>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</si>
  <si>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</si>
  <si>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</si>
  <si>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</si>
  <si>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</si>
  <si>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</si>
  <si>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</si>
  <si>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</si>
  <si>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</si>
  <si>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</si>
  <si>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</si>
  <si>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</si>
  <si>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</si>
  <si>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</si>
  <si>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</si>
  <si>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</si>
  <si>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</si>
  <si>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</si>
  <si>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</si>
  <si>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</si>
  <si>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</si>
  <si>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</si>
  <si>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</si>
  <si>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</si>
  <si>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</si>
  <si>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</si>
  <si>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</si>
  <si>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</si>
  <si>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</si>
  <si>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</si>
  <si>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</si>
  <si>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</si>
  <si>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</si>
  <si>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</si>
  <si>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</si>
  <si>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</si>
  <si>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</si>
  <si>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</si>
  <si>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</si>
  <si>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</si>
  <si>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</si>
  <si>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</si>
  <si>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</si>
  <si>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</si>
  <si>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</si>
  <si>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</si>
  <si>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</si>
  <si>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</si>
  <si>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</si>
  <si>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</si>
  <si>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</si>
  <si>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</si>
  <si>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</si>
  <si>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</si>
  <si>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</si>
  <si>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</si>
  <si>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</si>
  <si>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</si>
  <si>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</si>
  <si>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</si>
  <si>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</si>
  <si>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</si>
  <si>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</si>
  <si>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</si>
  <si>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</si>
  <si>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</si>
  <si>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</si>
  <si>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</si>
  <si>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</si>
  <si>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</si>
  <si>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</si>
  <si>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</si>
  <si>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</si>
  <si>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</si>
  <si>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</si>
  <si>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</si>
  <si>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</si>
  <si>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</si>
  <si>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</si>
  <si>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</si>
  <si>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</si>
  <si>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</si>
  <si>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</si>
  <si>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</si>
  <si>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</si>
  <si>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</si>
  <si>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</si>
  <si>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</si>
  <si>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</si>
  <si>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</si>
  <si>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</si>
  <si>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</si>
  <si>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</si>
  <si>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</si>
  <si>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</si>
  <si>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</si>
  <si>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</si>
  <si>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</si>
  <si>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</si>
  <si>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</si>
  <si>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</si>
  <si>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</si>
  <si>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</si>
  <si>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</si>
  <si>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</si>
  <si>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</si>
  <si>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</si>
  <si>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</si>
  <si>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</si>
  <si>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</si>
  <si>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</si>
  <si>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</si>
  <si>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</si>
  <si>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</si>
  <si>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</si>
  <si>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</si>
  <si>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</si>
  <si>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</si>
  <si>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</si>
  <si>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</si>
  <si>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</si>
  <si>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</si>
  <si>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</si>
  <si>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</si>
  <si>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</si>
  <si>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</si>
  <si>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</si>
  <si>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</si>
  <si>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</si>
  <si>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</si>
  <si>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</si>
  <si>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</si>
  <si>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</si>
  <si>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</si>
  <si>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</si>
  <si>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</si>
  <si>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</si>
  <si>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</si>
  <si>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</si>
  <si>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</si>
  <si>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</si>
  <si>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</si>
  <si>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</si>
  <si>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</si>
  <si>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</si>
  <si>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</si>
  <si>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</si>
  <si>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</si>
  <si>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</si>
  <si>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</si>
  <si>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</si>
  <si>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</si>
  <si>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</si>
  <si>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</si>
  <si>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</si>
  <si>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</si>
  <si>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</si>
  <si>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</si>
  <si>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</si>
  <si>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</si>
  <si>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</si>
  <si>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</si>
  <si>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</si>
  <si>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</si>
  <si>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</si>
  <si>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</si>
  <si>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</si>
  <si>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</si>
  <si>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</si>
  <si>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</si>
  <si>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</si>
  <si>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</si>
  <si>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</si>
  <si>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</si>
  <si>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</si>
  <si>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</si>
  <si>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</si>
  <si>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</si>
  <si>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</si>
  <si>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</si>
  <si>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</si>
  <si>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</si>
  <si>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</si>
  <si>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</si>
  <si>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</si>
  <si>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</si>
  <si>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</si>
  <si>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</si>
  <si>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</si>
  <si>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</si>
  <si>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</si>
  <si>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</si>
  <si>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</si>
  <si>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</si>
  <si>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</si>
  <si>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</si>
  <si>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</si>
  <si>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</si>
  <si>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</si>
  <si>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</si>
  <si>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</si>
  <si>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</si>
  <si>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</si>
  <si>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</si>
  <si>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</si>
  <si>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</si>
  <si>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</si>
  <si>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</si>
  <si>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</si>
  <si>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</si>
  <si>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</si>
  <si>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</si>
  <si>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</si>
  <si>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</si>
  <si>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</si>
  <si>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</si>
  <si>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</si>
  <si>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</si>
  <si>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</si>
  <si>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</si>
  <si>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</si>
  <si>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</si>
  <si>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</si>
  <si>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</si>
  <si>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</si>
  <si>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</si>
  <si>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</si>
  <si>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</si>
  <si>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</si>
  <si>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</si>
  <si>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</si>
  <si>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</si>
  <si>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</si>
  <si>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</si>
  <si>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</si>
  <si>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</si>
  <si>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</si>
  <si>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</si>
  <si>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</si>
  <si>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</si>
  <si>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</si>
  <si>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</si>
  <si>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</si>
  <si>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</si>
  <si>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</si>
  <si>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</si>
  <si>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</si>
  <si>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</si>
  <si>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</si>
  <si>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</si>
  <si>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</si>
  <si>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</si>
  <si>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</si>
  <si>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</si>
  <si>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</si>
  <si>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</si>
  <si>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</si>
  <si>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</si>
  <si>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</si>
  <si>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</si>
  <si>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</si>
  <si>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</si>
  <si>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</si>
  <si>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</si>
  <si>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</si>
  <si>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</si>
  <si>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</si>
  <si>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</si>
  <si>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</si>
  <si>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</si>
  <si>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</si>
  <si>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</si>
  <si>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</si>
  <si>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</si>
  <si>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</si>
  <si>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</si>
  <si>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</si>
  <si>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</si>
  <si>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</si>
  <si>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</si>
  <si>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</si>
  <si>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</si>
  <si>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</si>
  <si>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</si>
  <si>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</si>
  <si>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</si>
  <si>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</si>
  <si>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</si>
  <si>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</si>
  <si>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</si>
  <si>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</si>
  <si>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</si>
  <si>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</si>
  <si>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</si>
  <si>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</si>
  <si>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</si>
  <si>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</si>
  <si>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</si>
  <si>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</si>
  <si>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</si>
  <si>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</si>
  <si>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</si>
  <si>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</si>
  <si>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</si>
  <si>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</si>
  <si>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</si>
  <si>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</si>
  <si>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</si>
  <si>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</si>
  <si>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</si>
  <si>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</si>
  <si>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</si>
  <si>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</si>
  <si>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</si>
  <si>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</si>
  <si>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</si>
  <si>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</si>
  <si>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</si>
  <si>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</si>
  <si>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</si>
  <si>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</si>
  <si>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</si>
  <si>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</si>
  <si>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</si>
  <si>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</si>
  <si>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</si>
  <si>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</si>
  <si>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</si>
  <si>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</si>
  <si>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</si>
  <si>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</si>
  <si>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</si>
  <si>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</si>
  <si>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</si>
  <si>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</si>
  <si>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</si>
  <si>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</si>
  <si>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</si>
  <si>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</si>
  <si>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</si>
  <si>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</si>
  <si>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</si>
  <si>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</si>
  <si>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</si>
  <si>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</si>
  <si>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</si>
  <si>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</si>
  <si>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</si>
  <si>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</si>
  <si>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</si>
  <si>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</si>
  <si>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</si>
  <si>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</si>
  <si>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</si>
  <si>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</si>
  <si>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</si>
  <si>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</si>
  <si>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</si>
  <si>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</si>
  <si>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</si>
  <si>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</si>
  <si>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</si>
  <si>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</si>
  <si>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</si>
  <si>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</si>
  <si>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</si>
  <si>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</si>
  <si>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</si>
  <si>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</si>
  <si>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</si>
  <si>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</si>
  <si>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</si>
  <si>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</si>
  <si>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</si>
  <si>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</si>
  <si>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</si>
  <si>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</si>
  <si>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</si>
  <si>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</si>
  <si>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</si>
  <si>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</si>
  <si>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</si>
  <si>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</si>
  <si>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</si>
  <si>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</si>
  <si>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</si>
  <si>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</si>
  <si>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</si>
  <si>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</si>
  <si>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</si>
  <si>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</si>
  <si>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</si>
  <si>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</si>
  <si>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</si>
  <si>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</si>
  <si>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</si>
  <si>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</si>
  <si>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</si>
  <si>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</si>
  <si>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</si>
  <si>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</si>
  <si>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</si>
  <si>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</si>
  <si>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</si>
  <si>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</si>
  <si>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</si>
  <si>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</si>
  <si>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</si>
  <si>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</si>
  <si>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</si>
  <si>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</si>
  <si>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</si>
  <si>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</si>
  <si>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</si>
  <si>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</si>
  <si>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</si>
  <si>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</si>
  <si>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</si>
  <si>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</si>
  <si>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</si>
  <si>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</si>
  <si>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</si>
  <si>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</si>
  <si>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</si>
  <si>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</si>
  <si>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</si>
  <si>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</si>
  <si>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</si>
  <si>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</si>
  <si>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</si>
  <si>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</si>
  <si>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</si>
  <si>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</si>
  <si>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</si>
  <si>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</si>
  <si>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</si>
  <si>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</si>
  <si>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</si>
  <si>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</si>
  <si>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</si>
  <si>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</si>
  <si>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</si>
  <si>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</si>
  <si>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</si>
  <si>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</si>
  <si>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</si>
  <si>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</si>
  <si>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</si>
  <si>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</si>
  <si>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</si>
  <si>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</si>
  <si>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</si>
  <si>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</si>
  <si>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</si>
  <si>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</si>
  <si>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</si>
  <si>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</si>
  <si>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</si>
  <si>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</si>
  <si>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</si>
  <si>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</si>
  <si>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</si>
  <si>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</si>
  <si>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</si>
  <si>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</si>
  <si>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</si>
  <si>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</si>
  <si>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</si>
  <si>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</si>
  <si>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</si>
  <si>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</si>
  <si>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</si>
  <si>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</si>
  <si>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</si>
  <si>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</si>
  <si>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</si>
  <si>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</si>
  <si>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</si>
  <si>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</si>
  <si>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</si>
  <si>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</si>
  <si>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</si>
  <si>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</si>
  <si>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</si>
  <si>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</si>
  <si>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</si>
  <si>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</si>
  <si>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</si>
  <si>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</si>
  <si>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</si>
  <si>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</si>
  <si>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</si>
  <si>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</si>
  <si>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</si>
  <si>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</si>
  <si>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</si>
  <si>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</si>
  <si>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</si>
  <si>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</si>
  <si>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</si>
  <si>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</si>
  <si>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</si>
  <si>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</si>
  <si>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</si>
  <si>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</si>
  <si>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</si>
  <si>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</si>
  <si>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</si>
  <si>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</si>
  <si>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</si>
  <si>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</si>
  <si>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</si>
  <si>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</si>
  <si>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</si>
  <si>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</si>
  <si>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</si>
  <si>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</si>
  <si>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</si>
  <si>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</si>
  <si>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</si>
  <si>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</si>
  <si>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</si>
  <si>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</si>
  <si>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</si>
  <si>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</si>
  <si>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</si>
  <si>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</si>
  <si>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</si>
  <si>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</si>
  <si>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</si>
  <si>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</si>
  <si>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</si>
  <si>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</si>
  <si>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</si>
  <si>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</si>
  <si>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</si>
  <si>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</si>
  <si>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</si>
  <si>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</si>
  <si>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</si>
  <si>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</si>
  <si>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</si>
  <si>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</si>
  <si>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</si>
  <si>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</si>
  <si>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</si>
  <si>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</si>
  <si>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</si>
  <si>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</si>
  <si>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</si>
  <si>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</si>
  <si>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</si>
  <si>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</si>
  <si>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</si>
  <si>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</si>
  <si>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</si>
  <si>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</si>
  <si>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</si>
  <si>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</si>
  <si>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</si>
  <si>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</si>
  <si>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</si>
  <si>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</si>
  <si>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</si>
  <si>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</si>
  <si>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</si>
  <si>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</si>
  <si>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</si>
  <si>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</si>
  <si>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</si>
  <si>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</si>
  <si>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</si>
  <si>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</si>
  <si>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</si>
  <si>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</si>
  <si>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</si>
  <si>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</si>
  <si>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</si>
  <si>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</si>
  <si>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</si>
  <si>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</si>
  <si>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</si>
  <si>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</si>
  <si>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</si>
  <si>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</si>
  <si>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</si>
  <si>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</si>
  <si>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</si>
  <si>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</si>
  <si>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</si>
  <si>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</si>
  <si>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</si>
  <si>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</si>
  <si>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</si>
  <si>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</si>
  <si>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</si>
  <si>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</si>
  <si>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</si>
  <si>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</si>
  <si>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</si>
  <si>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</si>
  <si>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</si>
  <si>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</si>
  <si>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</si>
  <si>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</si>
  <si>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</si>
  <si>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</si>
  <si>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</si>
  <si>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</si>
  <si>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</si>
  <si>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</si>
  <si>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</si>
  <si>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</si>
  <si>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</si>
  <si>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</si>
  <si>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</si>
  <si>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</si>
  <si>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</si>
  <si>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</si>
  <si>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</si>
  <si>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</si>
  <si>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</si>
  <si>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</si>
  <si>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</si>
  <si>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</si>
  <si>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</si>
  <si>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</si>
  <si>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</si>
  <si>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</si>
  <si>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</si>
  <si>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</si>
  <si>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</si>
  <si>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</si>
  <si>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</si>
  <si>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</si>
  <si>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</si>
  <si>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</si>
  <si>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</si>
  <si>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</si>
  <si>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</si>
  <si>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</si>
  <si>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</si>
  <si>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</si>
  <si>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</si>
  <si>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</si>
  <si>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</si>
  <si>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</si>
  <si>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</si>
  <si>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</si>
  <si>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</si>
  <si>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</si>
  <si>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</si>
  <si>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</si>
  <si>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</si>
  <si>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</si>
  <si>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</si>
  <si>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</si>
  <si>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</si>
  <si>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</si>
  <si>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</si>
  <si>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</si>
  <si>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</si>
  <si>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</si>
  <si>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</si>
  <si>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</si>
  <si>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</si>
  <si>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</si>
  <si>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</si>
  <si>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</si>
  <si>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</si>
  <si>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</si>
  <si>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</si>
  <si>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</si>
  <si>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</si>
  <si>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</si>
  <si>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</si>
  <si>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</si>
  <si>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</si>
  <si>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</si>
  <si>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</si>
  <si>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</si>
  <si>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</si>
  <si>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</si>
  <si>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</si>
  <si>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</si>
  <si>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</si>
  <si>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</si>
  <si>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</si>
  <si>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</si>
  <si>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</si>
  <si>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</si>
  <si>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</si>
  <si>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</si>
  <si>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</si>
  <si>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</si>
  <si>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</si>
  <si>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</si>
  <si>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</si>
  <si>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</si>
  <si>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</si>
  <si>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</si>
  <si>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</si>
  <si>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</si>
  <si>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</si>
  <si>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</si>
  <si>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</si>
  <si>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</si>
  <si>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</si>
  <si>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</si>
  <si>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</si>
  <si>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</si>
  <si>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</si>
  <si>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</si>
  <si>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</si>
  <si>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</si>
  <si>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</si>
  <si>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</si>
  <si>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</si>
  <si>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</si>
  <si>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</si>
  <si>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</si>
  <si>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</si>
  <si>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</si>
  <si>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</si>
  <si>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</si>
  <si>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</si>
  <si>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</si>
  <si>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</si>
  <si>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</si>
  <si>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</si>
  <si>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</si>
  <si>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</si>
  <si>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</si>
  <si>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</si>
  <si>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</si>
  <si>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</si>
  <si>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</si>
  <si>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</si>
  <si>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</si>
  <si>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</si>
  <si>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</si>
  <si>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</si>
  <si>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</si>
  <si>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</si>
  <si>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</si>
  <si>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</si>
  <si>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</si>
  <si>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</si>
  <si>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</si>
  <si>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</si>
  <si>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</si>
  <si>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</si>
  <si>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</si>
  <si>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</si>
  <si>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</si>
  <si>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</si>
  <si>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</si>
  <si>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</si>
  <si>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</si>
  <si>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</si>
  <si>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</si>
  <si>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</si>
  <si>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</si>
  <si>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</si>
  <si>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</si>
  <si>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</si>
  <si>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</si>
  <si>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</si>
  <si>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</si>
  <si>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</si>
  <si>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</si>
  <si>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</si>
  <si>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</si>
  <si>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</si>
  <si>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</si>
  <si>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</si>
  <si>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</si>
  <si>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</si>
  <si>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</si>
  <si>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</si>
  <si>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</si>
  <si>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</si>
  <si>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</si>
  <si>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</si>
  <si>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</si>
  <si>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</si>
  <si>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</si>
  <si>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</si>
  <si>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</si>
  <si>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</si>
  <si>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</si>
  <si>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</si>
  <si>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</si>
  <si>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</si>
  <si>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</si>
  <si>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</si>
  <si>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</si>
  <si>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</si>
  <si>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</si>
  <si>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</si>
  <si>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</si>
  <si>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</si>
  <si>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</si>
  <si>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</si>
  <si>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</si>
  <si>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</si>
  <si>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</si>
  <si>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</si>
  <si>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</si>
  <si>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</si>
  <si>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</si>
  <si>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</si>
  <si>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</si>
  <si>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</si>
  <si>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</si>
  <si>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</si>
  <si>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</si>
  <si>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</si>
  <si>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</si>
  <si>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</si>
  <si>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</si>
  <si>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</si>
  <si>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</si>
  <si>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</si>
  <si>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</si>
  <si>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</si>
  <si>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</si>
  <si>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</si>
  <si>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</si>
  <si>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</si>
  <si>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</si>
  <si>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</si>
  <si>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</si>
  <si>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</si>
  <si>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</si>
  <si>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</si>
  <si>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</si>
  <si>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</si>
  <si>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</si>
  <si>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</si>
  <si>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</si>
  <si>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</si>
  <si>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</si>
  <si>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</si>
  <si>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</si>
  <si>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</si>
  <si>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</si>
  <si>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</si>
  <si>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</si>
  <si>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</si>
  <si>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</si>
  <si>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</si>
  <si>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</si>
  <si>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</si>
  <si>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</si>
  <si>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</si>
  <si>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</si>
  <si>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</si>
  <si>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</si>
  <si>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</si>
  <si>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</si>
  <si>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</si>
  <si>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</si>
  <si>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</si>
  <si>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</si>
  <si>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</si>
  <si>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</si>
  <si>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</si>
  <si>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</si>
  <si>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</si>
  <si>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</si>
  <si>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</si>
  <si>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</si>
  <si>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</si>
  <si>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</si>
  <si>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</si>
  <si>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</si>
  <si>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</si>
  <si>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</si>
  <si>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</si>
  <si>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</si>
  <si>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</si>
  <si>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</si>
  <si>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</si>
  <si>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</si>
  <si>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</si>
  <si>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</si>
  <si>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</si>
  <si>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</si>
  <si>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</si>
  <si>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</si>
  <si>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</si>
  <si>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</si>
  <si>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</si>
  <si>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</si>
  <si>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</si>
  <si>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</si>
  <si>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</si>
  <si>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</si>
  <si>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</si>
  <si>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</si>
  <si>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</si>
  <si>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</si>
  <si>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</si>
  <si>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</si>
  <si>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</si>
  <si>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</si>
  <si>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</si>
  <si>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</si>
  <si>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</si>
  <si>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</si>
  <si>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</si>
  <si>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</si>
  <si>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</si>
  <si>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</si>
  <si>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</si>
  <si>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</si>
  <si>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</si>
  <si>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</si>
  <si>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</si>
  <si>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</si>
  <si>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</si>
  <si>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</si>
  <si>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</si>
  <si>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</si>
  <si>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</si>
  <si>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</si>
  <si>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</si>
  <si>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</si>
  <si>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</si>
  <si>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</si>
  <si>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</si>
  <si>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</si>
  <si>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</si>
  <si>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</si>
  <si>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</si>
  <si>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</si>
  <si>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</si>
  <si>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</si>
  <si>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</si>
  <si>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</si>
  <si>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</si>
  <si>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</si>
  <si>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</si>
  <si>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</si>
  <si>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</si>
  <si>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</si>
  <si>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</si>
  <si>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</si>
  <si>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</si>
  <si>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</si>
  <si>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</si>
  <si>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</si>
  <si>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</si>
  <si>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</si>
  <si>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</si>
  <si>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</si>
  <si>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</si>
  <si>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</si>
  <si>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</si>
  <si>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</si>
  <si>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</si>
  <si>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</si>
  <si>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</si>
  <si>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</si>
  <si>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</si>
  <si>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</si>
  <si>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</si>
  <si>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</si>
  <si>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</si>
  <si>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</si>
  <si>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</si>
  <si>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</si>
  <si>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</si>
  <si>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</si>
  <si>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</si>
  <si>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</si>
  <si>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</si>
  <si>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</si>
  <si>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</si>
  <si>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</si>
  <si>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</si>
  <si>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</si>
  <si>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</si>
  <si>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</si>
  <si>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</si>
  <si>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</si>
  <si>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</si>
  <si>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</si>
  <si>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</si>
  <si>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</si>
  <si>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</si>
  <si>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</si>
  <si>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</si>
  <si>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</si>
  <si>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</si>
  <si>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</si>
  <si>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</si>
  <si>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</si>
  <si>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</si>
  <si>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</si>
  <si>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</si>
  <si>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</si>
  <si>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</si>
  <si>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</si>
  <si>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</si>
  <si>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</si>
  <si>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</si>
  <si>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</si>
  <si>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</si>
  <si>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</si>
  <si>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</si>
  <si>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</si>
  <si>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</si>
  <si>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</si>
  <si>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</si>
  <si>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</si>
  <si>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</si>
  <si>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</si>
  <si>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</si>
  <si>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</si>
  <si>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</si>
  <si>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</si>
  <si>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</si>
  <si>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</si>
  <si>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</si>
  <si>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</si>
  <si>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</si>
  <si>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</si>
  <si>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</si>
  <si>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</si>
  <si>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</si>
  <si>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</si>
  <si>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</si>
  <si>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</si>
  <si>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</si>
  <si>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</si>
  <si>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</si>
  <si>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</si>
  <si>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</si>
  <si>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</si>
  <si>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</si>
  <si>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</si>
  <si>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</si>
  <si>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</si>
  <si>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</si>
  <si>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</si>
  <si>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</si>
  <si>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</si>
  <si>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</si>
  <si>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</si>
  <si>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</si>
  <si>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</si>
  <si>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</si>
  <si>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</si>
  <si>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</si>
  <si>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</si>
  <si>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</si>
  <si>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</si>
  <si>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</si>
  <si>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</si>
  <si>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</si>
  <si>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</si>
  <si>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</si>
  <si>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</si>
  <si>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</si>
  <si>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</si>
  <si>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</si>
  <si>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</si>
  <si>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</si>
  <si>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</si>
  <si>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</si>
  <si>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</si>
  <si>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</si>
  <si>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</si>
  <si>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</si>
  <si>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</si>
  <si>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</si>
  <si>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</si>
  <si>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</si>
  <si>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</si>
  <si>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</si>
  <si>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</si>
  <si>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</si>
  <si>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</si>
  <si>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</si>
  <si>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</si>
  <si>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</si>
  <si>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</si>
  <si>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</si>
  <si>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</si>
  <si>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</si>
  <si>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</si>
  <si>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</si>
  <si>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</si>
  <si>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</si>
  <si>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</si>
  <si>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</si>
  <si>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</si>
  <si>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</si>
  <si>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</si>
  <si>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</si>
  <si>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</si>
  <si>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</si>
  <si>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</si>
  <si>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</si>
  <si>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</si>
  <si>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</si>
  <si>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</si>
  <si>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</si>
  <si>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</si>
  <si>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</si>
  <si>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</si>
  <si>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</si>
  <si>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</si>
  <si>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</si>
  <si>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</si>
  <si>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</si>
  <si>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</si>
  <si>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</si>
  <si>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</si>
  <si>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</si>
  <si>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</si>
  <si>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</si>
  <si>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</si>
  <si>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</si>
  <si>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</si>
  <si>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</si>
  <si>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</si>
  <si>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</si>
  <si>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</si>
  <si>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</si>
  <si>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</si>
  <si>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</si>
  <si>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</si>
  <si>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</si>
  <si>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</si>
  <si>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</si>
  <si>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</si>
  <si>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</si>
  <si>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</si>
  <si>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</si>
  <si>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</si>
  <si>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</si>
  <si>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</si>
  <si>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</si>
  <si>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</si>
  <si>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</si>
  <si>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</si>
  <si>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</si>
  <si>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</si>
  <si>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</si>
  <si>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</si>
  <si>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</si>
  <si>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</si>
  <si>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</si>
  <si>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</si>
  <si>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</si>
  <si>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</si>
  <si>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</si>
  <si>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</si>
  <si>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</si>
  <si>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</si>
  <si>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</si>
  <si>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</si>
  <si>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</si>
  <si>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</si>
  <si>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</si>
  <si>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</si>
  <si>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</si>
  <si>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</si>
  <si>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</si>
  <si>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</si>
  <si>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</si>
  <si>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</si>
  <si>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</si>
  <si>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</si>
  <si>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</si>
  <si>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</si>
  <si>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</si>
  <si>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</si>
  <si>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</si>
  <si>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</si>
  <si>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</si>
  <si>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</si>
  <si>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</si>
  <si>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</si>
  <si>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</si>
  <si>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</si>
  <si>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</si>
  <si>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</si>
  <si>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</si>
  <si>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</si>
  <si>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</si>
  <si>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</si>
  <si>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</si>
  <si>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</si>
  <si>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</si>
  <si>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</si>
  <si>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</si>
  <si>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</si>
  <si>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</si>
  <si>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</si>
  <si>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</si>
  <si>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</si>
  <si>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</si>
  <si>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</si>
  <si>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</si>
  <si>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</si>
  <si>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</si>
  <si>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</si>
  <si>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</si>
  <si>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</si>
  <si>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</si>
  <si>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</si>
  <si>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</si>
  <si>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</si>
  <si>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</si>
  <si>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</si>
  <si>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</si>
  <si>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</si>
  <si>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</si>
  <si>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</si>
  <si>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</si>
  <si>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</si>
  <si>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</si>
  <si>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</si>
  <si>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</si>
  <si>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</si>
  <si>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</si>
  <si>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</si>
  <si>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</si>
  <si>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</si>
  <si>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</si>
  <si>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</si>
  <si>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</si>
  <si>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</si>
  <si>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</si>
  <si>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</si>
  <si>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</si>
  <si>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</si>
  <si>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</si>
  <si>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</si>
  <si>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</si>
  <si>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</si>
  <si>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</si>
  <si>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</si>
  <si>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</si>
  <si>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</si>
  <si>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</si>
  <si>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</si>
  <si>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</si>
  <si>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</si>
  <si>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</si>
  <si>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</si>
  <si>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</si>
  <si>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</si>
  <si>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</si>
  <si>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</si>
  <si>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</si>
  <si>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</si>
  <si>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</si>
  <si>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</si>
  <si>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</si>
  <si>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</si>
  <si>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</si>
  <si>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</si>
  <si>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</si>
  <si>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</si>
  <si>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</si>
  <si>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</si>
  <si>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</si>
  <si>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</si>
  <si>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</si>
  <si>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</si>
  <si>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</si>
  <si>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</si>
  <si>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</si>
  <si>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</si>
  <si>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</si>
  <si>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</si>
  <si>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</si>
  <si>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</si>
  <si>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</si>
  <si>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</si>
  <si>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</si>
  <si>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</si>
  <si>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</si>
  <si>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</si>
  <si>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</si>
  <si>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</si>
  <si>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</si>
  <si>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</si>
  <si>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</si>
  <si>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</si>
  <si>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</si>
  <si>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</si>
  <si>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</si>
  <si>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</si>
  <si>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</si>
  <si>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</si>
  <si>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</si>
  <si>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</si>
  <si>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</si>
  <si>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</si>
  <si>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</si>
  <si>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</si>
  <si>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</si>
  <si>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</si>
  <si>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</si>
  <si>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</si>
  <si>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</si>
  <si>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</si>
  <si>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</si>
  <si>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</si>
  <si>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</si>
  <si>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</si>
  <si>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</si>
  <si>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</si>
  <si>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</si>
  <si>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</si>
  <si>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</si>
  <si>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</si>
  <si>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</si>
  <si>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</si>
  <si>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</si>
  <si>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</si>
  <si>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</si>
  <si>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</si>
  <si>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</si>
  <si>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</si>
  <si>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</si>
  <si>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</si>
  <si>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</si>
  <si>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</si>
  <si>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</si>
  <si>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</si>
  <si>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</si>
  <si>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</si>
  <si>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</si>
  <si>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</si>
  <si>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</si>
  <si>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</si>
  <si>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</si>
  <si>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</si>
  <si>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</si>
  <si>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</si>
  <si>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</si>
  <si>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</si>
  <si>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</si>
  <si>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</si>
  <si>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</si>
  <si>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</si>
  <si>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</si>
  <si>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</si>
  <si>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</si>
  <si>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</si>
  <si>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</si>
  <si>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</si>
  <si>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</si>
  <si>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</si>
  <si>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</si>
  <si>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</si>
  <si>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</si>
  <si>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</si>
  <si>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</si>
  <si>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</si>
  <si>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</si>
  <si>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</si>
  <si>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</si>
  <si>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</si>
  <si>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</si>
  <si>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</si>
  <si>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</si>
  <si>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</si>
  <si>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</si>
  <si>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</si>
  <si>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</si>
  <si>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</si>
  <si>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</si>
  <si>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</si>
  <si>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</si>
  <si>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</si>
  <si>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</si>
  <si>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</si>
  <si>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</si>
  <si>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</si>
  <si>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</si>
  <si>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</si>
  <si>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</si>
  <si>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</si>
  <si>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</si>
  <si>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</si>
  <si>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</si>
  <si>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</si>
  <si>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</si>
  <si>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</si>
  <si>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</si>
  <si>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</si>
  <si>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</si>
  <si>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</si>
  <si>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</si>
  <si>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</si>
  <si>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</si>
  <si>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</si>
  <si>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</si>
  <si>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</si>
  <si>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</si>
  <si>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</si>
  <si>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</si>
  <si>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</si>
  <si>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</si>
  <si>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</si>
  <si>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</si>
  <si>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</si>
  <si>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</si>
  <si>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</si>
  <si>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</si>
  <si>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</si>
  <si>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</si>
  <si>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</si>
  <si>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</si>
  <si>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</si>
  <si>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</si>
  <si>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</si>
  <si>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</si>
  <si>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</si>
  <si>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</si>
  <si>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</si>
  <si>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</si>
  <si>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</si>
  <si>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</si>
  <si>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</si>
  <si>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</si>
  <si>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</si>
  <si>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</si>
  <si>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</si>
  <si>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</si>
  <si>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</si>
  <si>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</si>
  <si>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</si>
  <si>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</si>
  <si>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</si>
  <si>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</si>
  <si>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</si>
  <si>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</si>
  <si>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</si>
  <si>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</si>
  <si>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</si>
  <si>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</si>
  <si>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</si>
  <si>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</si>
  <si>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</si>
  <si>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</si>
  <si>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</si>
  <si>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</si>
  <si>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</si>
  <si>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</si>
  <si>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</si>
  <si>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</si>
  <si>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</si>
  <si>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</si>
  <si>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</si>
  <si>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</si>
  <si>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</si>
  <si>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</si>
  <si>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</si>
  <si>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</si>
  <si>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</si>
  <si>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</si>
  <si>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</si>
  <si>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</si>
  <si>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</si>
  <si>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</si>
  <si>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</si>
  <si>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</si>
  <si>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</si>
  <si>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</si>
  <si>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</si>
  <si>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</si>
  <si>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</si>
  <si>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</si>
  <si>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</si>
  <si>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</si>
  <si>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</si>
  <si>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</si>
  <si>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</si>
  <si>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</si>
  <si>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</si>
  <si>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</si>
  <si>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</si>
  <si>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</si>
  <si>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</si>
  <si>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</si>
  <si>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</si>
  <si>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</si>
  <si>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</si>
  <si>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</si>
  <si>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</si>
  <si>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</si>
  <si>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</si>
  <si>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</si>
  <si>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</si>
  <si>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</si>
  <si>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</si>
  <si>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</si>
  <si>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</si>
  <si>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</si>
  <si>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</si>
  <si>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</si>
  <si>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</si>
  <si>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</si>
  <si>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</si>
  <si>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</si>
  <si>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</si>
  <si>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</si>
  <si>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</si>
  <si>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</si>
  <si>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</si>
  <si>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</si>
  <si>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</si>
  <si>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</si>
  <si>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</si>
  <si>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</si>
  <si>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</si>
  <si>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</si>
  <si>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</si>
  <si>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</si>
  <si>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</si>
  <si>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</si>
  <si>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</si>
  <si>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</si>
  <si>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</si>
  <si>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</si>
  <si>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</si>
  <si>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</si>
  <si>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</si>
  <si>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</si>
  <si>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</si>
  <si>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</si>
  <si>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</si>
  <si>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</si>
  <si>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</si>
  <si>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</si>
  <si>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</si>
  <si>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</si>
  <si>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</si>
  <si>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</si>
  <si>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</si>
  <si>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</si>
  <si>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</si>
  <si>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</si>
  <si>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</si>
  <si>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</si>
  <si>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</si>
  <si>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</si>
  <si>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</si>
  <si>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</si>
  <si>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</si>
  <si>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</si>
  <si>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</si>
  <si>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</si>
  <si>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</si>
  <si>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</si>
  <si>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</si>
  <si>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</si>
  <si>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</si>
  <si>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</si>
  <si>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</si>
  <si>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</si>
  <si>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</si>
  <si>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</si>
  <si>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</si>
  <si>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</si>
  <si>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</si>
  <si>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</si>
  <si>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</si>
  <si>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</si>
  <si>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</si>
  <si>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</si>
  <si>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</si>
  <si>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</si>
  <si>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</si>
  <si>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</si>
  <si>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</si>
  <si>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</si>
  <si>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</si>
  <si>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</si>
  <si>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</si>
  <si>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</si>
  <si>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</si>
  <si>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</si>
  <si>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</si>
  <si>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</si>
  <si>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</si>
  <si>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</si>
  <si>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</si>
  <si>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</si>
  <si>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</si>
  <si>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</si>
  <si>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</si>
  <si>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</si>
  <si>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</si>
  <si>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</si>
  <si>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</si>
  <si>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</si>
  <si>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</si>
  <si>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</si>
  <si>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</si>
  <si>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</si>
  <si>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</si>
  <si>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</si>
  <si>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</si>
  <si>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</si>
  <si>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</si>
  <si>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</si>
  <si>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</si>
  <si>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</si>
  <si>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</si>
  <si>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</si>
  <si>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</si>
  <si>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</si>
  <si>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</si>
  <si>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</si>
  <si>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</si>
  <si>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</si>
  <si>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</si>
  <si>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</si>
  <si>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</si>
  <si>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</si>
  <si>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</si>
  <si>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</si>
  <si>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</si>
  <si>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</si>
  <si>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</si>
  <si>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</si>
  <si>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</si>
  <si>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</si>
  <si>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</si>
  <si>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</si>
  <si>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</si>
  <si>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</si>
  <si>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</si>
  <si>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</si>
  <si>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</si>
  <si>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</si>
  <si>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</si>
  <si>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</si>
  <si>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</si>
  <si>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</si>
  <si>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</si>
  <si>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</si>
  <si>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</si>
  <si>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</si>
  <si>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</si>
  <si>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</si>
  <si>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</si>
  <si>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</si>
  <si>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</si>
  <si>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</si>
  <si>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</si>
  <si>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</si>
  <si>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</si>
  <si>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</si>
  <si>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</si>
  <si>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</si>
  <si>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</si>
  <si>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</si>
  <si>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</si>
  <si>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</si>
  <si>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</si>
  <si>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</si>
  <si>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</si>
  <si>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</si>
  <si>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</si>
  <si>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</si>
  <si>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</si>
  <si>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</si>
  <si>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</si>
  <si>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</si>
  <si>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</si>
  <si>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</si>
  <si>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</si>
  <si>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</si>
  <si>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</si>
  <si>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</si>
  <si>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</si>
  <si>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</si>
  <si>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</si>
  <si>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</si>
  <si>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</si>
  <si>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</si>
  <si>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</si>
  <si>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</si>
  <si>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</si>
  <si>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</si>
  <si>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</si>
  <si>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</si>
  <si>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</si>
  <si>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</si>
  <si>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</si>
  <si>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</si>
  <si>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</si>
  <si>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</si>
  <si>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</si>
  <si>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</si>
  <si>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</si>
  <si>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</si>
  <si>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</si>
  <si>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</si>
  <si>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</si>
  <si>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</si>
  <si>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</si>
  <si>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</si>
  <si>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</si>
  <si>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</si>
  <si>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</si>
  <si>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</si>
  <si>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</si>
  <si>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</si>
  <si>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</si>
  <si>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</si>
  <si>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</si>
  <si>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</si>
  <si>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</si>
  <si>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</si>
  <si>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</si>
  <si>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</si>
  <si>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</si>
  <si>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</si>
  <si>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</si>
  <si>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</si>
  <si>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</si>
  <si>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</si>
  <si>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</si>
  <si>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</si>
  <si>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</si>
  <si>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</si>
  <si>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</si>
  <si>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</si>
  <si>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</si>
  <si>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</si>
  <si>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</si>
  <si>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</si>
  <si>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</si>
  <si>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</si>
  <si>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</si>
  <si>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</si>
  <si>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</si>
  <si>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</si>
  <si>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</si>
  <si>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</si>
  <si>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</si>
  <si>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</si>
  <si>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</si>
  <si>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</si>
  <si>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</si>
  <si>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</si>
  <si>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</si>
  <si>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</si>
  <si>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</si>
  <si>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</si>
  <si>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</si>
  <si>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</si>
  <si>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</si>
  <si>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</si>
  <si>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</si>
  <si>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</si>
  <si>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</si>
  <si>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</si>
  <si>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</si>
  <si>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</si>
  <si>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</si>
  <si>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</si>
  <si>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</si>
  <si>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</si>
  <si>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</si>
  <si>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</si>
  <si>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</si>
  <si>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</si>
  <si>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</si>
  <si>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</si>
  <si>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</si>
  <si>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</si>
  <si>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</si>
  <si>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</si>
  <si>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</si>
  <si>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</si>
  <si>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</si>
  <si>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</si>
  <si>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</si>
  <si>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</si>
  <si>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</si>
  <si>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</si>
  <si>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</si>
  <si>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</si>
  <si>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</si>
  <si>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</si>
  <si>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</si>
  <si>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</si>
  <si>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</si>
  <si>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</si>
  <si>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</si>
  <si>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</si>
  <si>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</si>
  <si>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</si>
  <si>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</si>
  <si>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</si>
  <si>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</si>
  <si>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</si>
  <si>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</si>
  <si>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</si>
  <si>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</si>
  <si>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</si>
  <si>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</si>
  <si>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</si>
  <si>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</si>
  <si>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</si>
  <si>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</si>
  <si>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</si>
  <si>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</si>
  <si>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</si>
  <si>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</si>
  <si>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</si>
  <si>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</si>
  <si>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</si>
  <si>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</si>
  <si>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</si>
  <si>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</si>
  <si>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</si>
  <si>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</si>
  <si>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</si>
  <si>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</si>
  <si>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</si>
  <si>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</si>
  <si>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</si>
  <si>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</si>
  <si>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</si>
  <si>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</si>
  <si>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</si>
  <si>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</si>
  <si>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</si>
  <si>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</si>
  <si>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</si>
  <si>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</si>
  <si>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</si>
  <si>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</si>
  <si>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</si>
  <si>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</si>
  <si>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</si>
  <si>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</si>
  <si>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</si>
  <si>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</si>
  <si>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</si>
  <si>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</si>
  <si>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</si>
  <si>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</si>
  <si>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</si>
  <si>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</si>
  <si>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</si>
  <si>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</si>
  <si>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</si>
  <si>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</si>
  <si>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</si>
  <si>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</si>
  <si>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</si>
  <si>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</si>
  <si>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</si>
  <si>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</si>
  <si>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</si>
  <si>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</si>
  <si>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</si>
  <si>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</si>
  <si>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</si>
  <si>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</si>
  <si>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</si>
  <si>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</si>
  <si>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</si>
  <si>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</si>
  <si>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</si>
  <si>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</si>
  <si>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</si>
  <si>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</si>
  <si>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</si>
  <si>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</si>
  <si>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</si>
  <si>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</si>
  <si>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</si>
  <si>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</si>
  <si>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</si>
  <si>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</si>
  <si>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</si>
  <si>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</si>
  <si>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</si>
  <si>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</si>
  <si>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</si>
  <si>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</si>
  <si>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</si>
  <si>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</si>
  <si>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</si>
  <si>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</si>
  <si>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</si>
  <si>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</si>
  <si>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</si>
  <si>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</si>
  <si>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</si>
  <si>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</si>
  <si>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</si>
  <si>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</si>
  <si>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</si>
  <si>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</si>
  <si>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</si>
  <si>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</si>
  <si>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</si>
  <si>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</si>
  <si>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</si>
  <si>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</si>
  <si>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</si>
  <si>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</si>
  <si>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</si>
  <si>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</si>
  <si>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</si>
  <si>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</si>
  <si>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</si>
  <si>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</si>
  <si>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</si>
  <si>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</si>
  <si>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</si>
  <si>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</si>
  <si>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</si>
  <si>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</si>
  <si>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</si>
  <si>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</si>
  <si>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</si>
  <si>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</si>
  <si>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</si>
  <si>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</si>
  <si>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</si>
  <si>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</si>
  <si>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</si>
  <si>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</si>
  <si>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</si>
  <si>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</si>
  <si>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</si>
  <si>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</si>
  <si>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</si>
  <si>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</si>
  <si>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</si>
  <si>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</si>
  <si>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</si>
  <si>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</si>
  <si>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</si>
  <si>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</si>
  <si>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</si>
  <si>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</si>
  <si>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</si>
  <si>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</si>
  <si>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</si>
  <si>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</si>
  <si>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</si>
  <si>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</si>
  <si>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</si>
  <si>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</si>
  <si>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</si>
  <si>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</si>
  <si>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</si>
  <si>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</si>
  <si>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</si>
  <si>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</si>
  <si>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</si>
  <si>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</si>
  <si>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</si>
  <si>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</si>
  <si>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</si>
  <si>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</si>
  <si>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</si>
  <si>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</si>
  <si>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</si>
  <si>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</si>
  <si>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</si>
  <si>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</si>
  <si>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</si>
  <si>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</si>
  <si>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</si>
  <si>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</si>
  <si>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</si>
  <si>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</si>
  <si>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</si>
  <si>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</si>
  <si>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</si>
  <si>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</si>
  <si>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</si>
  <si>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</si>
  <si>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</si>
  <si>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</si>
  <si>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</si>
  <si>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</si>
  <si>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</si>
  <si>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</si>
  <si>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</si>
  <si>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</si>
  <si>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</si>
  <si>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</si>
  <si>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</si>
  <si>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</si>
  <si>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</si>
  <si>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</si>
  <si>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</si>
  <si>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</si>
  <si>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</si>
  <si>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</si>
  <si>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</si>
  <si>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</si>
  <si>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</si>
  <si>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</si>
  <si>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</si>
  <si>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</si>
  <si>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</si>
  <si>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</si>
  <si>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</si>
  <si>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</si>
  <si>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</si>
  <si>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</si>
  <si>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</si>
  <si>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</si>
  <si>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</si>
  <si>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</si>
  <si>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</si>
  <si>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</si>
  <si>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</si>
  <si>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</si>
  <si>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</si>
  <si>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</si>
  <si>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</si>
  <si>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</si>
  <si>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</si>
  <si>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</si>
  <si>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</si>
  <si>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</si>
  <si>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</si>
  <si>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</si>
  <si>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</si>
  <si>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</si>
  <si>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</si>
  <si>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</si>
  <si>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</si>
  <si>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</si>
  <si>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</si>
  <si>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</si>
  <si>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</si>
  <si>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</si>
  <si>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</si>
  <si>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</si>
  <si>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</si>
  <si>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</si>
  <si>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</si>
  <si>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</si>
  <si>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</si>
  <si>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</si>
  <si>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</si>
  <si>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</si>
  <si>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</si>
  <si>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</si>
  <si>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</si>
  <si>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</si>
  <si>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</si>
  <si>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</si>
  <si>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</si>
  <si>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</si>
  <si>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</si>
  <si>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</si>
  <si>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</si>
  <si>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</si>
  <si>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</si>
  <si>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</si>
  <si>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</si>
  <si>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</si>
  <si>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</si>
  <si>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</si>
  <si>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</si>
  <si>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</si>
  <si>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</si>
  <si>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</si>
  <si>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</si>
  <si>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</si>
  <si>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</si>
  <si>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</si>
  <si>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</si>
  <si>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</si>
  <si>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</si>
  <si>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</si>
  <si>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</si>
  <si>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</si>
  <si>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</si>
  <si>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</si>
  <si>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</si>
  <si>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</si>
  <si>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</si>
  <si>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</si>
  <si>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</si>
  <si>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</si>
  <si>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</si>
  <si>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</si>
  <si>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</si>
  <si>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</si>
  <si>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</si>
  <si>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</si>
  <si>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</si>
  <si>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</si>
  <si>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</si>
  <si>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</si>
  <si>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</si>
  <si>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</si>
  <si>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</si>
  <si>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</si>
  <si>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</si>
  <si>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</si>
  <si>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</si>
  <si>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</si>
  <si>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</si>
  <si>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</si>
  <si>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</si>
  <si>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</si>
  <si>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</si>
  <si>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</si>
  <si>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</si>
  <si>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</si>
  <si>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</si>
  <si>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</si>
  <si>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</si>
  <si>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</si>
  <si>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</si>
  <si>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</si>
  <si>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</si>
  <si>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</si>
  <si>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</si>
  <si>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</si>
  <si>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</si>
  <si>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</si>
  <si>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</si>
  <si>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</si>
  <si>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</si>
  <si>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</si>
  <si>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</si>
  <si>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</si>
  <si>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</si>
  <si>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</si>
  <si>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</si>
  <si>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</si>
  <si>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</si>
  <si>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</si>
  <si>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</si>
  <si>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</si>
  <si>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</si>
  <si>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</si>
  <si>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</si>
  <si>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</si>
  <si>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</si>
  <si>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</si>
  <si>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</si>
  <si>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</si>
  <si>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</si>
  <si>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</si>
  <si>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</si>
  <si>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</si>
  <si>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</si>
  <si>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</si>
  <si>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</si>
  <si>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</si>
  <si>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</si>
  <si>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</si>
  <si>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</si>
  <si>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</si>
  <si>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</si>
  <si>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</si>
  <si>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</si>
  <si>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</si>
  <si>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</si>
  <si>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</si>
  <si>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</si>
  <si>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</si>
  <si>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</si>
  <si>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</si>
  <si>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</si>
  <si>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</si>
  <si>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</si>
  <si>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</si>
  <si>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</si>
  <si>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</si>
  <si>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</si>
  <si>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</si>
  <si>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</si>
  <si>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</si>
  <si>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</si>
  <si>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</si>
  <si>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</si>
  <si>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</si>
  <si>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</si>
  <si>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</si>
  <si>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</si>
  <si>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</si>
  <si>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</si>
  <si>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</si>
  <si>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</si>
  <si>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</si>
  <si>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</si>
  <si>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</si>
  <si>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</si>
  <si>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</si>
  <si>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</si>
  <si>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</si>
  <si>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</si>
  <si>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</si>
  <si>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</si>
  <si>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</si>
  <si>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</si>
  <si>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</si>
  <si>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</si>
  <si>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</si>
  <si>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</si>
  <si>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</si>
  <si>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</si>
  <si>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</si>
  <si>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</si>
  <si>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</si>
  <si>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</si>
  <si>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</si>
  <si>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</si>
  <si>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</si>
  <si>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</si>
  <si>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</si>
  <si>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</si>
  <si>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</si>
  <si>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</si>
  <si>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</si>
  <si>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</si>
  <si>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</si>
  <si>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</si>
  <si>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</si>
  <si>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</si>
  <si>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</si>
  <si>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</si>
  <si>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</si>
  <si>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</si>
  <si>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</si>
  <si>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</si>
  <si>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</si>
  <si>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</si>
  <si>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</si>
  <si>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</si>
  <si>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</si>
  <si>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</si>
  <si>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</si>
  <si>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</si>
  <si>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</si>
  <si>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</si>
  <si>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</si>
  <si>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</si>
  <si>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</si>
  <si>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</si>
  <si>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</si>
  <si>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</si>
  <si>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</si>
  <si>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</si>
  <si>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</si>
  <si>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</si>
  <si>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</si>
  <si>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</si>
  <si>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</si>
  <si>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</si>
  <si>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</si>
  <si>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</si>
  <si>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</si>
  <si>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</si>
  <si>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</si>
  <si>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</si>
  <si>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</si>
  <si>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</si>
  <si>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</si>
  <si>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</si>
  <si>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</si>
  <si>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</si>
  <si>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</si>
  <si>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</si>
  <si>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</si>
  <si>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</si>
  <si>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</si>
  <si>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</si>
  <si>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</si>
  <si>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</si>
  <si>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</si>
  <si>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</si>
  <si>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</si>
  <si>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</si>
  <si>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</si>
  <si>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</si>
  <si>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</si>
  <si>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</si>
  <si>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</si>
  <si>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</si>
  <si>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</si>
  <si>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</si>
  <si>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</si>
  <si>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</si>
  <si>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</si>
  <si>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</si>
  <si>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</si>
  <si>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</si>
  <si>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</si>
  <si>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</si>
  <si>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</si>
  <si>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</si>
  <si>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</si>
  <si>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</si>
  <si>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</si>
  <si>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</si>
  <si>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</si>
  <si>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</si>
  <si>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</si>
  <si>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</si>
  <si>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</si>
  <si>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</si>
  <si>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</si>
  <si>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</si>
  <si>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</si>
  <si>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</si>
  <si>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</si>
  <si>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</si>
  <si>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</si>
  <si>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</si>
  <si>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</si>
  <si>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</si>
  <si>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</si>
  <si>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</si>
  <si>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</si>
  <si>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</si>
  <si>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</si>
  <si>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</si>
  <si>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</si>
  <si>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</si>
  <si>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</si>
  <si>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</si>
  <si>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</si>
  <si>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</si>
  <si>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</si>
  <si>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</si>
  <si>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</si>
  <si>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</si>
  <si>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</si>
  <si>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</si>
  <si>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</si>
  <si>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</si>
  <si>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</si>
  <si>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</si>
  <si>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</si>
  <si>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</si>
  <si>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</si>
  <si>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</si>
  <si>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</si>
  <si>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</si>
  <si>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</si>
  <si>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</si>
  <si>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</si>
  <si>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</si>
  <si>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</si>
  <si>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</si>
  <si>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</si>
  <si>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</si>
  <si>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</si>
  <si>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</si>
  <si>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</si>
  <si>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</si>
  <si>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</si>
  <si>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</si>
  <si>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</si>
  <si>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</si>
  <si>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</si>
  <si>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</si>
  <si>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</si>
  <si>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</si>
  <si>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</si>
  <si>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</si>
  <si>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</si>
  <si>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</si>
  <si>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</si>
  <si>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</si>
  <si>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</si>
  <si>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</si>
  <si>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</si>
  <si>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</si>
  <si>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</si>
  <si>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</si>
  <si>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</si>
  <si>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</si>
  <si>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</si>
  <si>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</si>
  <si>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</si>
  <si>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</si>
  <si>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</si>
  <si>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</si>
  <si>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</si>
  <si>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</si>
  <si>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</si>
  <si>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</si>
  <si>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</si>
  <si>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</si>
  <si>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</si>
  <si>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</si>
  <si>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</si>
  <si>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</si>
  <si>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</si>
  <si>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</si>
  <si>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</si>
  <si>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</si>
  <si>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</si>
  <si>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</si>
  <si>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</si>
  <si>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</si>
  <si>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</si>
  <si>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</si>
  <si>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</si>
  <si>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</si>
  <si>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</si>
  <si>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</si>
  <si>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</si>
  <si>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</si>
  <si>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</si>
  <si>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</si>
  <si>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</si>
  <si>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</si>
  <si>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</si>
  <si>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</si>
  <si>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</si>
  <si>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</si>
  <si>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</si>
  <si>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</si>
  <si>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</si>
  <si>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</si>
  <si>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</si>
  <si>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</si>
  <si>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</si>
  <si>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</si>
  <si>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</si>
  <si>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</si>
  <si>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</si>
  <si>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</si>
  <si>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</si>
  <si>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</si>
  <si>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</si>
  <si>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</si>
  <si>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</si>
  <si>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</si>
  <si>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</si>
  <si>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</si>
  <si>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</si>
  <si>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</si>
  <si>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</si>
  <si>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</si>
  <si>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</si>
  <si>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</si>
  <si>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</si>
  <si>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</si>
  <si>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</si>
  <si>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</si>
  <si>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</si>
  <si>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</si>
  <si>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</si>
  <si>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</si>
  <si>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</si>
  <si>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</si>
  <si>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</si>
  <si>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</si>
  <si>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</si>
  <si>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</si>
  <si>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</si>
  <si>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</si>
  <si>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</si>
  <si>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</si>
  <si>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</si>
  <si>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</si>
  <si>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</si>
  <si>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</si>
  <si>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</si>
  <si>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</si>
  <si>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</si>
  <si>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</si>
  <si>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</si>
  <si>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</si>
  <si>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</si>
  <si>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</si>
  <si>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</si>
  <si>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</si>
  <si>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</si>
  <si>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</si>
  <si>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</si>
  <si>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</si>
  <si>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</si>
  <si>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</si>
  <si>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</si>
  <si>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</si>
  <si>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</si>
  <si>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</si>
  <si>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</si>
  <si>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</si>
  <si>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</si>
  <si>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</si>
  <si>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</si>
  <si>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</si>
  <si>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</si>
  <si>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</si>
  <si>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</si>
  <si>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</si>
  <si>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</si>
  <si>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</si>
  <si>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</si>
  <si>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</si>
  <si>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</si>
  <si>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</si>
  <si>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</si>
  <si>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</si>
  <si>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</si>
  <si>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</si>
  <si>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</si>
  <si>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</si>
  <si>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</si>
  <si>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</si>
  <si>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</si>
  <si>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</si>
  <si>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</si>
  <si>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</si>
  <si>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</si>
  <si>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</si>
  <si>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</si>
  <si>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</si>
  <si>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</si>
  <si>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</si>
  <si>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</si>
  <si>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</si>
  <si>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</si>
  <si>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</si>
  <si>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</si>
  <si>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</si>
  <si>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</si>
  <si>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</si>
  <si>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</si>
  <si>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</si>
  <si>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</si>
  <si>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</si>
  <si>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</si>
  <si>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</si>
  <si>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</si>
  <si>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</si>
  <si>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</si>
  <si>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</si>
  <si>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</si>
  <si>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</si>
  <si>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</si>
  <si>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</si>
  <si>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</si>
  <si>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</si>
  <si>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</si>
  <si>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</si>
  <si>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</si>
  <si>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</si>
  <si>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</si>
  <si>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</si>
  <si>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</si>
  <si>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</si>
  <si>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</si>
  <si>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</si>
  <si>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</si>
  <si>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</si>
  <si>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</si>
  <si>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</si>
  <si>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</si>
  <si>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</si>
  <si>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</si>
  <si>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</si>
  <si>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</si>
  <si>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</si>
  <si>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</si>
  <si>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</si>
  <si>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</si>
  <si>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</si>
  <si>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</si>
  <si>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</si>
  <si>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</si>
  <si>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</si>
  <si>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</si>
  <si>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</si>
  <si>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</si>
  <si>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</si>
  <si>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</si>
  <si>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</si>
  <si>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</si>
  <si>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</si>
  <si>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</si>
  <si>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</si>
  <si>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</si>
  <si>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</si>
  <si>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</si>
  <si>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</si>
  <si>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</si>
  <si>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</si>
  <si>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</si>
  <si>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</si>
  <si>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</si>
  <si>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</si>
  <si>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</si>
  <si>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</si>
  <si>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</si>
  <si>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</si>
  <si>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</si>
  <si>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</si>
  <si>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</si>
  <si>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</si>
  <si>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</si>
  <si>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</si>
  <si>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</si>
  <si>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</si>
  <si>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</si>
  <si>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</si>
  <si>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</si>
  <si>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</si>
  <si>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</si>
  <si>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</si>
  <si>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</si>
  <si>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</si>
  <si>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</si>
  <si>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</si>
  <si>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</si>
  <si>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</si>
  <si>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</si>
  <si>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</si>
  <si>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</si>
  <si>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</si>
  <si>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</si>
  <si>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</si>
  <si>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</si>
  <si>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</si>
  <si>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</si>
  <si>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</si>
  <si>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</si>
  <si>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</si>
  <si>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</si>
  <si>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</si>
  <si>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</si>
  <si>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</si>
  <si>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</si>
  <si>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</si>
  <si>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</si>
  <si>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</si>
  <si>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</si>
  <si>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</si>
  <si>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</si>
  <si>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</si>
  <si>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</si>
  <si>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</si>
  <si>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</si>
  <si>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</si>
  <si>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</si>
  <si>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</si>
  <si>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</si>
  <si>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</si>
  <si>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</si>
  <si>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</si>
  <si>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</si>
  <si>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</si>
  <si>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</si>
  <si>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</si>
  <si>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</si>
  <si>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</si>
  <si>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</si>
  <si>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</si>
  <si>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</si>
  <si>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</si>
  <si>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</si>
  <si>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</si>
  <si>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</si>
  <si>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</si>
  <si>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</si>
  <si>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</si>
  <si>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</si>
  <si>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</si>
  <si>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</si>
  <si>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</si>
  <si>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</si>
  <si>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</si>
  <si>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</si>
  <si>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</si>
  <si>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</si>
  <si>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</si>
  <si>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</si>
  <si>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</si>
  <si>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</si>
  <si>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</si>
  <si>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</si>
  <si>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</si>
  <si>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</si>
  <si>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</si>
  <si>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</si>
  <si>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</si>
  <si>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</si>
  <si>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</si>
  <si>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</si>
  <si>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</si>
  <si>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</si>
  <si>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</si>
  <si>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</si>
  <si>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</si>
  <si>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</si>
  <si>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</si>
  <si>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</si>
  <si>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</si>
  <si>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</si>
  <si>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</si>
  <si>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</si>
  <si>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</si>
  <si>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</si>
  <si>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</si>
  <si>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</si>
  <si>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</si>
  <si>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</si>
  <si>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</si>
  <si>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</si>
  <si>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</si>
  <si>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</si>
  <si>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</si>
  <si>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</si>
  <si>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</si>
  <si>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</si>
  <si>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</si>
  <si>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</si>
  <si>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</si>
  <si>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</si>
  <si>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</si>
  <si>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</si>
  <si>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</si>
  <si>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</si>
  <si>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</si>
  <si>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</si>
  <si>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</si>
  <si>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</si>
  <si>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</si>
  <si>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</si>
  <si>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</si>
  <si>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</si>
  <si>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</si>
  <si>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</si>
  <si>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</si>
  <si>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</si>
  <si>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</si>
  <si>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</si>
  <si>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</si>
  <si>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</si>
  <si>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</si>
  <si>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</si>
  <si>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</si>
  <si>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</si>
  <si>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</si>
  <si>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</si>
  <si>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</si>
  <si>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</si>
  <si>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</si>
  <si>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</si>
  <si>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</si>
  <si>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</si>
  <si>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</si>
  <si>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</si>
  <si>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</si>
  <si>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</si>
  <si>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</si>
  <si>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</si>
  <si>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</si>
  <si>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</si>
  <si>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</si>
  <si>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</si>
  <si>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</si>
  <si>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</si>
  <si>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</si>
  <si>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</si>
  <si>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</si>
  <si>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</si>
  <si>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</si>
  <si>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</si>
  <si>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</si>
  <si>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</si>
  <si>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</si>
  <si>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</si>
  <si>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</si>
  <si>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</si>
  <si>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</si>
  <si>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</si>
  <si>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</si>
  <si>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</si>
  <si>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</si>
  <si>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</si>
  <si>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</si>
  <si>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</si>
  <si>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</si>
  <si>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</si>
  <si>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</si>
  <si>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</si>
  <si>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</si>
  <si>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</si>
  <si>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</si>
  <si>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</si>
  <si>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</si>
  <si>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</si>
  <si>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</si>
  <si>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</si>
  <si>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</si>
  <si>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</si>
  <si>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</si>
  <si>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</si>
  <si>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</si>
  <si>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</si>
  <si>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</si>
  <si>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</si>
  <si>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</si>
  <si>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</si>
  <si>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</si>
  <si>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</si>
  <si>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</si>
  <si>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</si>
  <si>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</si>
  <si>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</si>
  <si>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</si>
  <si>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</si>
  <si>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</si>
  <si>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</si>
  <si>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</si>
  <si>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</si>
  <si>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</si>
  <si>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</si>
  <si>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</si>
  <si>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</si>
  <si>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</si>
  <si>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</si>
  <si>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</si>
  <si>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</si>
  <si>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</si>
  <si>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</si>
  <si>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</si>
  <si>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</si>
  <si>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</si>
  <si>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</si>
  <si>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</si>
  <si>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</si>
  <si>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</si>
  <si>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</si>
  <si>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</si>
  <si>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</si>
  <si>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</si>
  <si>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</si>
  <si>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</si>
  <si>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</si>
  <si>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</si>
  <si>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</si>
  <si>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</si>
  <si>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</si>
  <si>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</si>
  <si>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</si>
  <si>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</si>
  <si>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</si>
  <si>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</si>
  <si>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</si>
  <si>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</si>
  <si>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</si>
  <si>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</si>
  <si>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</si>
  <si>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</si>
  <si>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</si>
  <si>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</si>
  <si>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</si>
  <si>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</si>
  <si>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</si>
  <si>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</si>
  <si>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</si>
  <si>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</si>
  <si>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</si>
  <si>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</si>
  <si>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</si>
  <si>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</si>
  <si>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</si>
  <si>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</si>
  <si>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</si>
  <si>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</si>
  <si>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</si>
  <si>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</si>
  <si>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</si>
  <si>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</si>
  <si>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</si>
  <si>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</si>
  <si>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</si>
  <si>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</si>
  <si>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</si>
  <si>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</si>
  <si>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</si>
  <si>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</si>
  <si>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</si>
  <si>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</si>
  <si>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</si>
  <si>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</si>
  <si>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</si>
  <si>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</si>
  <si>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</si>
  <si>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</si>
  <si>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</si>
  <si>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</si>
  <si>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</si>
  <si>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</si>
  <si>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</si>
  <si>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</si>
  <si>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</si>
  <si>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</si>
  <si>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</si>
  <si>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</si>
  <si>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</si>
  <si>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</si>
  <si>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</si>
  <si>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</si>
  <si>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</si>
  <si>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</si>
  <si>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</si>
  <si>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</si>
  <si>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</si>
  <si>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</si>
  <si>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</si>
  <si>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</si>
  <si>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</si>
  <si>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</si>
  <si>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</si>
  <si>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</si>
  <si>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</si>
  <si>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</si>
  <si>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</si>
  <si>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</si>
  <si>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</si>
  <si>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</si>
  <si>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</si>
  <si>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</si>
  <si>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</si>
  <si>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</si>
  <si>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</si>
  <si>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</si>
  <si>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</si>
  <si>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</si>
  <si>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</si>
  <si>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</si>
  <si>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</si>
  <si>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</si>
  <si>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</si>
  <si>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</si>
  <si>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</si>
  <si>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</si>
  <si>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</si>
  <si>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</si>
  <si>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</si>
  <si>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</si>
  <si>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</si>
  <si>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</si>
  <si>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</si>
  <si>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</si>
  <si>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</si>
  <si>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</si>
  <si>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</si>
  <si>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</si>
  <si>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</si>
  <si>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</si>
  <si>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</si>
  <si>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</si>
  <si>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</si>
  <si>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</si>
  <si>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</si>
  <si>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</si>
  <si>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</si>
  <si>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</si>
  <si>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</si>
  <si>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</si>
  <si>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</si>
  <si>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</si>
  <si>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</si>
  <si>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</si>
  <si>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</si>
  <si>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</si>
  <si>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</si>
  <si>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</si>
  <si>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</si>
  <si>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</si>
  <si>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</si>
  <si>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</si>
  <si>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</si>
  <si>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</si>
  <si>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</si>
  <si>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</si>
  <si>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</si>
  <si>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</si>
  <si>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</si>
  <si>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</si>
  <si>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</si>
  <si>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</si>
  <si>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</si>
  <si>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</si>
  <si>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</si>
  <si>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</si>
  <si>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</si>
  <si>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</si>
  <si>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</si>
  <si>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</si>
  <si>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</si>
  <si>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</si>
  <si>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</si>
  <si>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</si>
  <si>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</si>
  <si>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</si>
  <si>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</si>
  <si>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</si>
  <si>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</si>
  <si>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</si>
  <si>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</si>
  <si>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</si>
  <si>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</si>
  <si>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</si>
  <si>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</si>
  <si>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</si>
  <si>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</si>
  <si>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</si>
  <si>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</si>
  <si>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</si>
  <si>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</si>
  <si>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</si>
  <si>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</si>
  <si>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</si>
  <si>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</si>
  <si>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</si>
  <si>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</si>
  <si>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</si>
  <si>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</si>
  <si>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</si>
  <si>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</si>
  <si>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</si>
  <si>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</si>
  <si>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</si>
  <si>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</si>
  <si>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</si>
  <si>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</si>
  <si>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</si>
  <si>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</si>
  <si>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</si>
  <si>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</si>
  <si>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</si>
  <si>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</si>
  <si>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</si>
  <si>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</si>
  <si>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</si>
  <si>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</si>
  <si>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</si>
  <si>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</si>
  <si>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</si>
  <si>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</si>
  <si>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</si>
  <si>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</si>
  <si>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</si>
  <si>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</si>
  <si>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</si>
  <si>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</si>
  <si>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</si>
  <si>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</si>
  <si>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</si>
  <si>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</si>
  <si>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</si>
  <si>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</si>
  <si>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</si>
  <si>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</si>
  <si>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</si>
  <si>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</si>
  <si>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</si>
  <si>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</si>
  <si>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</si>
  <si>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</si>
  <si>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</si>
  <si>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</si>
  <si>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</si>
  <si>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</si>
  <si>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</si>
  <si>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</si>
  <si>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</si>
  <si>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</si>
  <si>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</si>
  <si>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</si>
  <si>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</si>
  <si>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</si>
  <si>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</si>
  <si>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</si>
  <si>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</si>
  <si>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</si>
  <si>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</si>
  <si>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</si>
  <si>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</si>
  <si>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</si>
  <si>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</si>
  <si>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</si>
  <si>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</si>
  <si>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</si>
  <si>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</si>
  <si>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2023-3</t>
    <phoneticPr fontId="5" type="noConversion"/>
  </si>
  <si>
    <t>2023-2</t>
    <phoneticPr fontId="5" type="noConversion"/>
  </si>
  <si>
    <t>2023-3</t>
    <phoneticPr fontId="5" type="noConversion"/>
  </si>
  <si>
    <t>2023-2</t>
    <phoneticPr fontId="5" type="noConversion"/>
  </si>
  <si>
    <t>2024-2</t>
    <phoneticPr fontId="5" type="noConversion"/>
  </si>
  <si>
    <t>2024-1</t>
    <phoneticPr fontId="5" type="noConversion"/>
  </si>
  <si>
    <t>2023-4</t>
    <phoneticPr fontId="5" type="noConversion"/>
  </si>
  <si>
    <t>市场价格</t>
  </si>
  <si>
    <t>企业</t>
  </si>
  <si>
    <t>划拨</t>
  </si>
  <si>
    <t>是</t>
  </si>
  <si>
    <t>地上</t>
  </si>
  <si>
    <t>序号</t>
    <phoneticPr fontId="226" type="noConversion"/>
  </si>
  <si>
    <t>项目位置</t>
    <phoneticPr fontId="226" type="noConversion"/>
  </si>
  <si>
    <t xml:space="preserve">土地开发成本 （万元）  </t>
    <phoneticPr fontId="226" type="noConversion"/>
  </si>
  <si>
    <t>财务费用</t>
    <phoneticPr fontId="226" type="noConversion"/>
  </si>
  <si>
    <t>审定日期</t>
    <phoneticPr fontId="226" type="noConversion"/>
  </si>
  <si>
    <t>征地补偿及相关税费</t>
  </si>
  <si>
    <t>收购补偿费、房屋征收（拆迁）补偿费及相关费用</t>
  </si>
  <si>
    <t>永丰产业基地（新）园区土地一级开发项目F1地块</t>
    <phoneticPr fontId="226" type="noConversion"/>
  </si>
  <si>
    <t>海淀区</t>
    <phoneticPr fontId="226" type="noConversion"/>
  </si>
  <si>
    <t>永丰产业基地（新）园区土地一级开发项目J地块</t>
    <phoneticPr fontId="226" type="noConversion"/>
  </si>
  <si>
    <t>北部地区温泉镇HD00-0301-6003等地块</t>
    <phoneticPr fontId="226" type="noConversion"/>
  </si>
  <si>
    <t>2023-4</t>
  </si>
  <si>
    <t>2023-3</t>
  </si>
  <si>
    <t>2023-2</t>
  </si>
  <si>
    <t>2023-1</t>
  </si>
  <si>
    <t>2022-4</t>
  </si>
  <si>
    <t>2022-3</t>
  </si>
  <si>
    <t>2022-2</t>
  </si>
  <si>
    <t>2022-1</t>
  </si>
  <si>
    <t>2021-4</t>
  </si>
  <si>
    <t>2021-3</t>
  </si>
  <si>
    <t>2021-2</t>
  </si>
  <si>
    <t>2021-1</t>
  </si>
  <si>
    <t>2020-4</t>
    <phoneticPr fontId="226" type="noConversion"/>
  </si>
  <si>
    <t>2020-3</t>
    <phoneticPr fontId="226" type="noConversion"/>
  </si>
  <si>
    <t>2020-2</t>
    <phoneticPr fontId="226" type="noConversion"/>
  </si>
  <si>
    <t>2020-1</t>
    <phoneticPr fontId="226" type="noConversion"/>
  </si>
  <si>
    <t>2019-4</t>
    <phoneticPr fontId="226" type="noConversion"/>
  </si>
  <si>
    <t>2019-3</t>
    <phoneticPr fontId="226" type="noConversion"/>
  </si>
  <si>
    <t>2019-2</t>
    <phoneticPr fontId="226" type="noConversion"/>
  </si>
  <si>
    <t>2019-1</t>
    <phoneticPr fontId="226" type="noConversion"/>
  </si>
  <si>
    <t>正常</t>
  </si>
  <si>
    <t>利息：取LPR加浮动点数</t>
  </si>
  <si>
    <t>成新度</t>
  </si>
  <si>
    <t>工业</t>
    <phoneticPr fontId="9" type="noConversion"/>
  </si>
  <si>
    <t>一般</t>
  </si>
  <si>
    <t>较好</t>
  </si>
  <si>
    <t>较差</t>
  </si>
  <si>
    <t>七通</t>
  </si>
  <si>
    <t>支路</t>
    <phoneticPr fontId="226" type="noConversion"/>
  </si>
  <si>
    <t>次干道</t>
    <phoneticPr fontId="226" type="noConversion"/>
  </si>
  <si>
    <t>主干道</t>
    <phoneticPr fontId="226" type="noConversion"/>
  </si>
  <si>
    <t>快速路</t>
    <phoneticPr fontId="226" type="noConversion"/>
  </si>
  <si>
    <t>单面临街</t>
  </si>
  <si>
    <t>不临街</t>
  </si>
  <si>
    <t>估价对象位于海淀区，区域工业成熟度一般，产业集聚程度一般</t>
    <phoneticPr fontId="5" type="noConversion"/>
  </si>
  <si>
    <t>估价对象所在区域公共配套设施齐备情况好</t>
    <phoneticPr fontId="5" type="noConversion"/>
  </si>
  <si>
    <t>该区域内没有污染型企业，绿化情况教好，卫生条件教好，整体环境状况较好</t>
    <phoneticPr fontId="5" type="noConversion"/>
  </si>
  <si>
    <t>六级</t>
    <phoneticPr fontId="23" type="noConversion"/>
  </si>
  <si>
    <t>较规则，无影响</t>
  </si>
  <si>
    <t>较规则，无影响</t>
    <phoneticPr fontId="226" type="noConversion"/>
  </si>
  <si>
    <t>宗地形状不规则，但对宗地利用影响较小</t>
    <phoneticPr fontId="226" type="noConversion"/>
  </si>
  <si>
    <t>较规则，但对宗地利用影响较小</t>
    <phoneticPr fontId="226" type="noConversion"/>
  </si>
  <si>
    <t>六级</t>
    <phoneticPr fontId="226" type="noConversion"/>
  </si>
  <si>
    <t>七级</t>
    <phoneticPr fontId="226" type="noConversion"/>
  </si>
  <si>
    <t>八级</t>
    <phoneticPr fontId="226" type="noConversion"/>
  </si>
  <si>
    <t>九级</t>
    <phoneticPr fontId="226" type="noConversion"/>
  </si>
  <si>
    <t>七通</t>
    <phoneticPr fontId="226" type="noConversion"/>
  </si>
  <si>
    <t>六通</t>
    <phoneticPr fontId="226" type="noConversion"/>
  </si>
  <si>
    <t>五通</t>
    <phoneticPr fontId="226" type="noConversion"/>
  </si>
  <si>
    <r>
      <t>丰台区大红门西里1</t>
    </r>
    <r>
      <rPr>
        <sz val="11"/>
        <color theme="1"/>
        <rFont val="宋体"/>
        <family val="3"/>
        <charset val="134"/>
        <scheme val="minor"/>
      </rPr>
      <t>9号</t>
    </r>
    <phoneticPr fontId="226" type="noConversion"/>
  </si>
  <si>
    <t>北京金隅兴港科技发展有限公司</t>
    <phoneticPr fontId="226" type="noConversion"/>
  </si>
  <si>
    <t>出让</t>
    <phoneticPr fontId="226" type="noConversion"/>
  </si>
  <si>
    <t>征收</t>
    <phoneticPr fontId="226" type="noConversion"/>
  </si>
  <si>
    <t>京港</t>
    <phoneticPr fontId="226" type="noConversion"/>
  </si>
  <si>
    <t>项目名</t>
    <phoneticPr fontId="226" type="noConversion"/>
  </si>
  <si>
    <t>产权人</t>
    <phoneticPr fontId="226" type="noConversion"/>
  </si>
  <si>
    <t>土地使用权类型</t>
    <phoneticPr fontId="226" type="noConversion"/>
  </si>
  <si>
    <t>交易方式</t>
    <phoneticPr fontId="226" type="noConversion"/>
  </si>
  <si>
    <t>土地用途</t>
    <phoneticPr fontId="226" type="noConversion"/>
  </si>
  <si>
    <t>建筑面积</t>
    <phoneticPr fontId="226" type="noConversion"/>
  </si>
  <si>
    <t>土地级别</t>
    <phoneticPr fontId="226" type="noConversion"/>
  </si>
  <si>
    <t>总价</t>
    <phoneticPr fontId="226" type="noConversion"/>
  </si>
  <si>
    <t>地面价</t>
    <phoneticPr fontId="226" type="noConversion"/>
  </si>
  <si>
    <t>备注</t>
    <phoneticPr fontId="226" type="noConversion"/>
  </si>
  <si>
    <t>土地终止日期</t>
    <phoneticPr fontId="226" type="noConversion"/>
  </si>
  <si>
    <t>剩余使用年限</t>
    <phoneticPr fontId="226" type="noConversion"/>
  </si>
  <si>
    <t>年期修正系数</t>
    <phoneticPr fontId="226" type="noConversion"/>
  </si>
  <si>
    <t>北京金隅股份有限公司</t>
    <phoneticPr fontId="226" type="noConversion"/>
  </si>
  <si>
    <t>海淀区清河安宁庄东路1号</t>
    <phoneticPr fontId="226" type="noConversion"/>
  </si>
  <si>
    <t>划拨</t>
    <phoneticPr fontId="226" type="noConversion"/>
  </si>
  <si>
    <t>收储</t>
    <phoneticPr fontId="226" type="noConversion"/>
  </si>
  <si>
    <t>丰台区南四环中路10号</t>
    <phoneticPr fontId="226" type="noConversion"/>
  </si>
  <si>
    <t>北京环境卫生工程集团有限公司</t>
    <phoneticPr fontId="226" type="noConversion"/>
  </si>
  <si>
    <t>交易/出报告日期</t>
    <phoneticPr fontId="226" type="noConversion"/>
  </si>
  <si>
    <t>广播器材厂</t>
    <phoneticPr fontId="226" type="noConversion"/>
  </si>
  <si>
    <t>划拨</t>
    <phoneticPr fontId="226" type="noConversion"/>
  </si>
  <si>
    <t>收储</t>
    <phoneticPr fontId="226" type="noConversion"/>
  </si>
  <si>
    <t>工业</t>
    <phoneticPr fontId="226" type="noConversion"/>
  </si>
  <si>
    <t>收储</t>
    <phoneticPr fontId="30" type="noConversion"/>
  </si>
  <si>
    <t>工业</t>
    <phoneticPr fontId="30" type="noConversion"/>
  </si>
  <si>
    <t>2020-4</t>
    <phoneticPr fontId="30" type="noConversion"/>
  </si>
  <si>
    <t>2020-3</t>
    <phoneticPr fontId="30" type="noConversion"/>
  </si>
  <si>
    <t>2020-2</t>
  </si>
  <si>
    <t>2020-1</t>
  </si>
  <si>
    <t>2019-4</t>
    <phoneticPr fontId="30" type="noConversion"/>
  </si>
  <si>
    <t>2019-3</t>
    <phoneticPr fontId="30" type="noConversion"/>
  </si>
  <si>
    <t>2019-2</t>
  </si>
  <si>
    <t>2019-1</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</si>
  <si>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0" type="noConversion"/>
  </si>
  <si>
    <t>六级</t>
    <phoneticPr fontId="30" type="noConversion"/>
  </si>
  <si>
    <t>七级</t>
    <phoneticPr fontId="30" type="noConversion"/>
  </si>
  <si>
    <t>八级</t>
    <phoneticPr fontId="30" type="noConversion"/>
  </si>
  <si>
    <t>较规则</t>
  </si>
  <si>
    <t>较规则</t>
    <phoneticPr fontId="30" type="noConversion"/>
  </si>
  <si>
    <t>较不规则</t>
  </si>
  <si>
    <t>较不规则</t>
    <phoneticPr fontId="30" type="noConversion"/>
  </si>
  <si>
    <t>七通一平</t>
  </si>
  <si>
    <t>七通一平</t>
    <phoneticPr fontId="30" type="noConversion"/>
  </si>
  <si>
    <t>六通一平</t>
    <phoneticPr fontId="30" type="noConversion"/>
  </si>
  <si>
    <t>五通一平</t>
  </si>
  <si>
    <t>五通一平</t>
    <phoneticPr fontId="30" type="noConversion"/>
  </si>
  <si>
    <t>较好</t>
    <phoneticPr fontId="30" type="noConversion"/>
  </si>
  <si>
    <t>五级</t>
    <phoneticPr fontId="30" type="noConversion"/>
  </si>
  <si>
    <t>比较法-工业</t>
  </si>
  <si>
    <t>成本逼近法</t>
  </si>
  <si>
    <t>评估结果一览表</t>
    <phoneticPr fontId="226" type="noConversion"/>
  </si>
  <si>
    <t>价格（万元）</t>
    <phoneticPr fontId="226" type="noConversion"/>
  </si>
  <si>
    <t>土地使用权(划拨）</t>
    <phoneticPr fontId="226" type="noConversion"/>
  </si>
  <si>
    <t>建筑物</t>
    <phoneticPr fontId="226" type="noConversion"/>
  </si>
  <si>
    <t>附属物</t>
    <phoneticPr fontId="226" type="noConversion"/>
  </si>
  <si>
    <t>无法恢复使用的设施设备补偿价</t>
    <phoneticPr fontId="226" type="noConversion"/>
  </si>
  <si>
    <t>停产停业补助费</t>
  </si>
  <si>
    <t>因土地收购造成的停产停业损失补偿费用</t>
    <phoneticPr fontId="226" type="noConversion"/>
  </si>
  <si>
    <t>搬迁补助费</t>
  </si>
  <si>
    <t>合计</t>
    <phoneticPr fontId="226" type="noConversion"/>
  </si>
  <si>
    <t>单价（元/平方米）</t>
    <phoneticPr fontId="226" type="noConversion"/>
  </si>
  <si>
    <t>亩</t>
    <phoneticPr fontId="226" type="noConversion"/>
  </si>
  <si>
    <t>丰台区大红门西后街甲1号“鸿都国际轻纺城”项目</t>
    <phoneticPr fontId="226" type="noConversion"/>
  </si>
  <si>
    <t>划拨</t>
    <phoneticPr fontId="226" type="noConversion"/>
  </si>
  <si>
    <t>仓储</t>
    <phoneticPr fontId="226" type="noConversion"/>
  </si>
  <si>
    <t>kz</t>
    <phoneticPr fontId="226" type="noConversion"/>
  </si>
  <si>
    <t>北京铁路局工电重点维修处</t>
    <phoneticPr fontId="226" type="noConversion"/>
  </si>
  <si>
    <t>搬迁</t>
    <phoneticPr fontId="226" type="noConversion"/>
  </si>
  <si>
    <t>——</t>
    <phoneticPr fontId="226" type="noConversion"/>
  </si>
  <si>
    <t>期日修正前</t>
    <phoneticPr fontId="226" type="noConversion"/>
  </si>
  <si>
    <t>期日修正后</t>
    <phoneticPr fontId="226" type="noConversion"/>
  </si>
  <si>
    <t>地面单价（元/平方米）</t>
    <phoneticPr fontId="226" type="noConversion"/>
  </si>
  <si>
    <t>建设用地面积</t>
    <phoneticPr fontId="226" type="noConversion"/>
  </si>
  <si>
    <t>项目土地面积（平方米）</t>
    <phoneticPr fontId="226" type="noConversion"/>
  </si>
  <si>
    <t>总用地面积</t>
    <phoneticPr fontId="226" type="noConversion"/>
  </si>
  <si>
    <t>永丰产业基地（新）园区土地一级开发项目F2地块</t>
    <phoneticPr fontId="226" type="noConversion"/>
  </si>
  <si>
    <t>顺义区南法信地区刘家河村顺余东路1号</t>
    <phoneticPr fontId="226" type="noConversion"/>
  </si>
  <si>
    <t>2020-4</t>
  </si>
  <si>
    <t>2022-1</t>
    <phoneticPr fontId="30" type="noConversion"/>
  </si>
  <si>
    <t>2021-4</t>
    <phoneticPr fontId="30" type="noConversion"/>
  </si>
  <si>
    <t>2021-3</t>
    <phoneticPr fontId="30" type="noConversion"/>
  </si>
  <si>
    <t>2021-2</t>
    <phoneticPr fontId="30" type="noConversion"/>
  </si>
  <si>
    <t>2021-1</t>
    <phoneticPr fontId="30" type="noConversion"/>
  </si>
  <si>
    <t>2019-1</t>
    <phoneticPr fontId="30" type="noConversion"/>
  </si>
  <si>
    <t>2018-4</t>
  </si>
  <si>
    <t>2018-4</t>
    <phoneticPr fontId="30" type="noConversion"/>
  </si>
  <si>
    <t>2018-3</t>
  </si>
  <si>
    <t>2018-3</t>
    <phoneticPr fontId="30" type="noConversion"/>
  </si>
  <si>
    <t>2022-1</t>
    <phoneticPr fontId="226" type="noConversion"/>
  </si>
  <si>
    <t>2020-3</t>
  </si>
  <si>
    <t>2019-4</t>
  </si>
  <si>
    <t>2019-3</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</si>
  <si>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</si>
  <si>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</si>
  <si>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</si>
  <si>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</si>
  <si>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</si>
  <si>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</si>
  <si>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</si>
  <si>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</si>
  <si>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</si>
  <si>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</si>
  <si>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</si>
  <si>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</si>
  <si>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</si>
  <si>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</si>
  <si>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</si>
  <si>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</si>
  <si>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</si>
  <si>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</si>
  <si>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昌平</t>
  </si>
  <si>
    <t>公开出让</t>
  </si>
  <si>
    <t>北京市土地整理储备中心昌平区分中心</t>
  </si>
  <si>
    <t>收储</t>
  </si>
  <si>
    <t>房山</t>
  </si>
  <si>
    <t>住宅混合公建</t>
  </si>
  <si>
    <t>石景山</t>
  </si>
  <si>
    <t>怀柔</t>
  </si>
  <si>
    <t>西城区车公庄大街3号项目</t>
  </si>
  <si>
    <t>顺义</t>
  </si>
  <si>
    <t>丰台</t>
  </si>
  <si>
    <t>大兴</t>
  </si>
  <si>
    <t>企业利用自有用地建设保障房</t>
  </si>
  <si>
    <t>通州</t>
  </si>
  <si>
    <t>已基本完成地上物拆除工作。</t>
  </si>
  <si>
    <t>北京市土地整理储备中心顺义区分中心</t>
  </si>
  <si>
    <t>门头沟</t>
  </si>
  <si>
    <t>北京市土地整理储备中心房山区分中心</t>
  </si>
  <si>
    <t>R2二类居住用地</t>
  </si>
  <si>
    <t>海淀区</t>
  </si>
  <si>
    <t>海淀区西三旗建材城中路东侧地块建设共有产权房项目</t>
    <phoneticPr fontId="226" type="noConversion"/>
  </si>
  <si>
    <t xml:space="preserve">北京市土地整理储备中心
</t>
  </si>
  <si>
    <t xml:space="preserve">二类居住、托幼、体育
</t>
  </si>
  <si>
    <t xml:space="preserve"> 
市政建设程度为项目红线范围内城市支路的临时三通（通施工临时用水、通施工临时用电、通可供施工车辆通行的道路）和场地自然平整，由北京西三旗高新建材城经营开发有限公司负责于项目入市前完成。
</t>
  </si>
  <si>
    <t xml:space="preserve"> 
一、海淀区西三旗建材城中路东侧保障房  项目土地开发成本为19022.50万元，其中，收购补偿款19015.67万元，评估费6.83万元。
二、本次审核的1814-630地块土地开发成本18632.52万元；1814-631地块土地开发成本158.88万元；1814-632地块土地开发成本231.10万元。
</t>
  </si>
  <si>
    <t xml:space="preserve">已完成地上物拆除工作。
</t>
  </si>
  <si>
    <t>顺义区</t>
  </si>
  <si>
    <t xml:space="preserve">顺义区顺平路北侧赵古营段地块建设共有产权房项目 </t>
  </si>
  <si>
    <t>二类居住、社区卫生服务中心、社会福利用地</t>
  </si>
  <si>
    <t>市政建设程度为项目红线范围内城市支路的七通（通路、通上水（自来水、中水）、通下水（雨水、污水）、通电(仅管沟)、通燃气、通热力、通讯）和场地自然平整，以上工作由北京市顺义大龙城乡建设开发总公司负责于二级竣工验收前完成。</t>
  </si>
  <si>
    <t xml:space="preserve"> 
一、顺义区顺平路北侧赵古营段地块收储项目土地开发成本为279955.66万元，其中，收购补偿款230674.47万元，评估费21.19万元，市政基础建设费49260万元。
二、本次审核的SY00-0003-6009地块土地开发成本65992.97万元，SY00-0003-6013地块土地开发成本122761.12万元，SY00-0003-6017地块土地开发成本85507.02万元,SY00-0003-6018地块土地开发成本461.24万元，SY00-0003-6019地块土地开发成本4701.11万元。
</t>
  </si>
  <si>
    <t>海淀区西三旗建材城中路东侧地块建设共有产权房项目</t>
  </si>
  <si>
    <t>企业利用自有用地建设共有产权房</t>
  </si>
  <si>
    <t>二类居住</t>
  </si>
  <si>
    <t>市政建设程度为项目红线范围内城市支路的临时三通（通施工临时用水、通施工临时用电、通可供施工车辆通行的道路）和场地自然平整，以上工作由北京西三旗高新建材城经营开发有限公司负责于项目入市前完成。</t>
  </si>
  <si>
    <t xml:space="preserve">
一、海淀区西三旗建材城中路东侧建设共有产权房项目土地开发成本为19022.50万元，其中，收购补偿款19015.67万元，评估费6.83万元。
二、本次审议的海淀区西三旗建材城中路东侧建设共有产权房项目土地开发成本为19022.5万元。</t>
  </si>
  <si>
    <t xml:space="preserve">本次审核地块已完成地上物拆除。
</t>
  </si>
  <si>
    <t>石景山区</t>
  </si>
  <si>
    <t>石景山区首钢铸造村一区共有产权房项目</t>
  </si>
  <si>
    <t>市政建设程度为项目红线范围内城市支路的临时三通（通施工临时用水、通施工临时用电、通可供施工车辆通行的道路）和场地自然平整，以上工作由首钢总公司负责于项目入市前完成。</t>
  </si>
  <si>
    <t xml:space="preserve"> 
一、石景山区首钢铸造村一区共有产权房项目土地开发成本为53088.68万元，其中，土地收购补偿款53078.68万元，评估费10.00万元。
二、本次审核的土地开发成本为53088.68万元，其中，土地收购补偿53078.68款万元，评估费10.00万元。</t>
  </si>
  <si>
    <t>门头沟区</t>
  </si>
  <si>
    <t>门头沟区鑫华源厂区共有产权房项目</t>
  </si>
  <si>
    <t xml:space="preserve"> 
市政建设程度为项目红线范围内城市支路的临时三通（通施工临时用水、通施工临时用电、通可供施工车辆通行的道路）和场地自然平整，以上工作由北京京煤集团有限责任公司负责于项目入市前完成。
</t>
  </si>
  <si>
    <t xml:space="preserve"> 
一、门头沟区鑫华源厂区共有产权房项目土地开发成本为104710.50万元，其中，土地收购补偿款104697.25万元，评估费13.25万元。
二、本次审核的土地开发成本为104710.50万元，其中，土地收购补偿款104697.25万元，评估费13.25万元。</t>
  </si>
  <si>
    <t>正在进行地上物拆除工作。</t>
  </si>
  <si>
    <t>丰台区</t>
  </si>
  <si>
    <t>丰台区首钢二通厂东区共有产权房项目地块（一期）项目</t>
  </si>
  <si>
    <t>北京市土地
整理储备中心</t>
  </si>
  <si>
    <t>二类居住、教育科研、医疗卫生</t>
  </si>
  <si>
    <t xml:space="preserve"> 
市政建设程度为项目红线范围内城市支路的临时三通（通施工临时用水、通施工临时用电、通可供施工车辆通行的道路）和场地自然平整，以上工作由北京首钢房地产开发有限公司负责于项目入市前完成。
</t>
  </si>
  <si>
    <t>一、首钢二通厂东区共有产权房项目地块（一期）项目土地开发成本为115519.49万元，其中，收购补偿款115510.11万元，评估费9.38万元。
二、本次审议的首钢二通厂东区共有产权房项目地块（一期）项目土地开发成本为115519.49万元。</t>
  </si>
  <si>
    <t xml:space="preserve">已完成地上物拆除。
</t>
  </si>
  <si>
    <t>海淀区清河安宁庄东路1号地块建设共有产权房项目</t>
  </si>
  <si>
    <t xml:space="preserve">北京市土地
整理储备中心
</t>
  </si>
  <si>
    <t xml:space="preserve">二类居住、社区综合服务设施、公交场站设施、邮政设施
</t>
  </si>
  <si>
    <t xml:space="preserve"> 
市政建设程度为项目红线范围内城市支路的临时三通（通施工临时用水、通施工临时用电、通可供施工车辆通行的道路）和场地自然平整，以上工作由北京金隅集团股份有限公司负责于项目入市前完成。
</t>
  </si>
  <si>
    <t xml:space="preserve"> 
一、海淀区西三旗建材城中路东侧建设共有产权房项目土地开发成本为121459.42万元，其中，收购补偿款121449.75万元，评估费9.67万元。
二、本次审议的海淀区西三旗建材城中路东侧建设共有产权房项目土地开发成本为121459.42万元。
</t>
  </si>
  <si>
    <t xml:space="preserve">正在进行地上物拆除。
</t>
  </si>
  <si>
    <t>昌平区</t>
  </si>
  <si>
    <t>昌平区昌平镇东环路136号（原六亭饭店）项目</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</si>
  <si>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</si>
  <si>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一、昌平区昌平镇东环路136号（原六亭饭店）项目土地开发成本为 63177.98 万元，其中，前期费用 251 万元，土地收购补偿费 61070.55 万元（已通过2018年11月16日国有土地使用权收购补偿方案审核会审议），评估费 9.31 万元，期间管理费 15 万元，不可预见费 1832.12 万元。
二、本次审议的昌平区昌平镇东环路136号（原六亭饭店）项目土地开发成本为 63177.98 万元。</t>
  </si>
  <si>
    <t>该项目不涉及征地，涉及非宅拆迁工作尚未完成</t>
  </si>
  <si>
    <t>海淀区中关村西三旗（金隅）软件园配套商业用地（原金隅砼二厂用地）项目</t>
    <phoneticPr fontId="226" type="noConversion"/>
  </si>
  <si>
    <t xml:space="preserve">北京市土地整理储备中心海淀区分中心
</t>
  </si>
  <si>
    <t xml:space="preserve">市政建设程度为项目红线范围内城市支路的六通（通路、通上水（自来水、中水）、通下水（雨水、污水）、通电(管沟、电缆)、通燃气、通热力）和场地自然平整，以上工作由北京西三旗高新建材城经营开发有限公司落实于二级竣工验收前实施完成。 
</t>
  </si>
  <si>
    <t xml:space="preserve"> 
一、经海淀区政府审核，海淀区中关村西三旗（金隅）软件园配套商业用地（原金隅砼二厂用地）项目土地开发总成本为80763.01万元，其中：土地收购补偿费73755.48万元，前期费用 0 万元，市政基础设施建设费用6996.31 万元， 土地评估费 11.22 万元，期间管理费 0 万元。
二、本次审核1811-L04地块的土地开发总成本为80763.01万元。</t>
  </si>
  <si>
    <t>无</t>
  </si>
  <si>
    <t>怀柔区</t>
  </si>
  <si>
    <t>怀柔区杨宋镇凤翔一园10号地块建设共有产权房项目</t>
  </si>
  <si>
    <t xml:space="preserve">二类居住、防护绿地及城市道路用地
</t>
  </si>
  <si>
    <t xml:space="preserve"> 
市政建设程度为项目红线范围内城市支路的临时三通（通施工临时用水、通施工临时用电、通可供施工车辆通行的道路）和场地自然平整，以上工作由北京承驰伟业投资有限公司负责于项目入市前完成。
</t>
  </si>
  <si>
    <t xml:space="preserve"> 
一、怀柔区杨宋镇凤翔一园10号建设共有产权房项目土地开发成本为12196.42万元，其中，收购补偿款12189.68万元，评估费6.74万元。
二、本次审议的怀柔区杨宋镇凤翔一园10号地块建设共有产权房项目土地开发成本为12196.42万元。
</t>
  </si>
  <si>
    <t>怀柔区怀北镇怀北庄村北项目</t>
  </si>
  <si>
    <t xml:space="preserve">北京市土地
整理储备中心怀柔区分中心 </t>
  </si>
  <si>
    <t>商务用地</t>
  </si>
  <si>
    <t>市政建设程度为项目红线范围内城市支路的临时三通（通施工临时用水、通施工临时用电、通可供施工车辆通行的道路）和场地自然平整，以上工作由北京市土地整理储备中心怀柔区分中心负责于项目入市前完成。</t>
  </si>
  <si>
    <t>一、经怀柔区政府审核，怀柔区怀北镇怀北庄村北项目土地开发成本为 15396.7356万元，其中，前期费用0万元，土地收购补偿款15390.3561万元，评估费6.3795万元，期间管理费0万元，财务费用0万元，审计费0万元，不可预见费0万元。
二、本次审议的怀柔区怀北镇怀北庄村北项目土地开发成本为 15396.7356万元。</t>
  </si>
  <si>
    <t>本项目不涉及征地、已完成拆迁工作。</t>
  </si>
  <si>
    <t>房山区</t>
  </si>
  <si>
    <t>房山区长阳镇04街区企业利用自有用地建设共有产权房项目</t>
  </si>
  <si>
    <t>北京市土地整理储备中心</t>
  </si>
  <si>
    <t>二类居住用地、基础教育用地、公园绿地</t>
  </si>
  <si>
    <t xml:space="preserve"> 
市政建设程度为项目红线范围内城市支路的临时三通（通施工临时用水、通施工临时用电、通可供施工车辆通行的道路）和场地自然平整，以上工作由力博国际建材会展（北京）有限公司负责于项目入市前完成。
</t>
  </si>
  <si>
    <t>一、房山区长阳镇04街区企业利用自有用地建设共有产权房项目土地开发成本为21396.6911万元，其中，收购补偿款21389.22万元，评估费7.4711万元。
二、本次审议的房山区长阳镇04街区企业利用自有用地建设共有产权房项目土地开发成本为21396.6911万元。</t>
  </si>
  <si>
    <t xml:space="preserve">本项目不涉及征地，已完成地上物拆除工作。
</t>
  </si>
  <si>
    <t>海淀区安宁庄东陶企业利用自有用地建设共有产权房项目</t>
    <phoneticPr fontId="226" type="noConversion"/>
  </si>
  <si>
    <t xml:space="preserve">二类居住、教育用地
</t>
  </si>
  <si>
    <t xml:space="preserve"> 
市政建设程度为项目红线范围内城市支路的临时三通（通施工临时用水、通施工临时用电、通可供施工车辆通行的道路）和场地自然平整，以上工作由北京东陶有限公司负责于项目入市前完成。
</t>
  </si>
  <si>
    <t xml:space="preserve"> 
一、海淀区安宁庄东陶企业利用自有用地建设共有产权房项目土地开发成本为77768.62万元，其中，收购补偿款77757.39万元，评估费11.23万元。
二、本次审议的海淀区安宁庄东陶企业利用自有用地建设共有产权房项目土地开发成本为77768.62万元。
</t>
  </si>
  <si>
    <t>本项目尚未完成地上物拆迁。</t>
  </si>
  <si>
    <t>海淀区西三旗建工四建企业利用自有用地建设共有产权房项目</t>
    <phoneticPr fontId="226" type="noConversion"/>
  </si>
  <si>
    <t xml:space="preserve">二类居住、公园绿地
</t>
  </si>
  <si>
    <t xml:space="preserve"> 
市政建设程度为项目红线范围内城市支路的临时三通（通施工临时用水、通施工临时用电、通可供施工车辆通行的道路）和场地自然平整，以上工作由北京建工四建工程建设有限公司负责于项目入市前完成。
</t>
  </si>
  <si>
    <t xml:space="preserve"> 
一、海淀区西三旗建工四建地块建设共有产权房项目土地开发成本为13772.45万元，其中，收购补偿款13766.45万元，评估费6.00万元。
二、本次审议的海淀区西三旗建工四建地块建设共有产权房项目土地开发成本为13772.45万元。
</t>
  </si>
  <si>
    <t>石景山区首钢设备处企业利用自有用地建设共有产权房项目</t>
  </si>
  <si>
    <t xml:space="preserve">二类居住
</t>
  </si>
  <si>
    <t xml:space="preserve"> 
市政建设程度为项目红线范围内城市支路的临时三通（通施工临时用水、通施工临时用电、通可供施工车辆通行的道路）和场地自然平整，以上工作由首钢集团有限公司负责于项目入市前完成。
</t>
  </si>
  <si>
    <t xml:space="preserve"> 
一、石景山区首钢设备处企业利用自有用地建设共有产权房项目土地开发成本为106099.19万元，其中，收购补偿款106090.29万元，评估费8.9万元。
二、本次审议的石景山区首钢设备处企业利用自有用地建设共有产权房项目土地开发成本为106099.19万元。
</t>
  </si>
  <si>
    <t>通州区</t>
  </si>
  <si>
    <t>通州区于家务次中心收储项目TZ11-0200-6002、6003、6006地块</t>
  </si>
  <si>
    <t>北京市土地整理储备中心通州区分中心</t>
  </si>
  <si>
    <t>分中心收储</t>
  </si>
  <si>
    <t>R2二类居住用地、托幼用地</t>
  </si>
  <si>
    <t>市政建设程度为项目红线范围内城市支路的六通[通路、通上水（自来水、中水）、通下水（雨水、污水）、通电（仅管沟）、通燃气、通热力]和场地自然平整，以上工作由北京市土地整理储备中心通州区分中心负责于二级竣工验收前完成。</t>
  </si>
  <si>
    <t>一、该项目土地开发总成本为尚未确定。
二、该项目已收回成本50004.74万元。
三、本次审核地块拟采取先供先摊以市场可接受的成本先行入市，本次提请会议审议的土地开发总成本为20580万元，其中TZ11-0200-6006地块土地开发成本为11520万元，TZ11-0200-6003地块土地开发成本为8820万元，TZ11-0200-6002地块土地开发成本为240万元。</t>
  </si>
  <si>
    <t>西城区</t>
  </si>
  <si>
    <t>原控规为商业金融用地，拟调整为住宅用地</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</si>
  <si>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</si>
  <si>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</si>
  <si>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通州区永顺镇0401街区46号地块（西马庄收储）供地项目</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</si>
  <si>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</si>
  <si>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</si>
  <si>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</si>
  <si>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</si>
  <si>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</si>
  <si>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</si>
  <si>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</si>
  <si>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</si>
  <si>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</si>
  <si>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房山区长阳镇04街区企业利用自用地建设共有产权房配建公租房项目</t>
  </si>
  <si>
    <t>R2二类居住用地、A334基础教育用地</t>
  </si>
  <si>
    <t xml:space="preserve"> 
本项目周边市政将达到六通[通路、通上水（自来水、中水）、通下水（雨水、污水）、通电(仅管沟)、通讯、通燃气]，由房山区政府负责督促完成实施。成本中市政建设内容为项目红线范围内临时三通（通施工临时用水、通施工临时用电、通可供施工车辆通行的道路）和场地自然平整，由力博国际建材会展（北京）有限公司负责于项目入市前完成。
</t>
  </si>
  <si>
    <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phoneticPr fontId="226" type="noConversion"/>
  </si>
  <si>
    <t>房山区佳世苑三期国有土地收储项目FS00-0113-0008、0006、0009地块</t>
  </si>
  <si>
    <t>R2二类居住用地、B4商业用地、A33托幼用地</t>
  </si>
  <si>
    <t xml:space="preserve">本项目周边市政达到六通[通路、通上水（供水、中水）、通下水（雨水、污水）、通电、通燃气、通热]。成本中市政内容为项目红线范围内临时三通（通可供施工车辆通行的道路、通施工临时用水、通施工临时用电和场地自然平整，以上工作由西潞街道办事处负责于二级开工前完成。 </t>
  </si>
  <si>
    <t>一、经房山区政府审核，佳世苑三期国有土地收储项目土地开发成本为110,624.08万元，其中，前期费用3,030.32万元，土地收购补偿及评估费用99,975.63万元，拆迁补偿及相关费用3,689.22万元，其他费用812.55万元，审计费118.01万元，不可预见费2,998.35万元。
二、扣除已收回成本0万元，剩余地块土地开发成本110,624.08万元。 
三、本次提请会议审议的佳世苑三期国有土地收储项目土地开发总成本为110624.08万元，其中0008地块土地开发成本为71606.44万元， 0006地块土地开发成本为38426.07万元， 0009地块土地开发成本为203.76万元， 0004地块土地开发成本为387.80万元。
四、实物补偿（无)。</t>
  </si>
  <si>
    <t>项目不涉及征地，已完成拆迁。</t>
  </si>
  <si>
    <t>平谷区</t>
  </si>
  <si>
    <t>平谷区马昌营镇沥青厂地块企业利用自用地建设共有产权房项目</t>
  </si>
  <si>
    <t>本项目周边市政已达到六通[通路、通上水（自来水、中水）、通下水（雨水、污水）、通电、通燃气、通热力]。成本中市政建设内容为项目红线范围内临时三通（通施工临时用水、通施工临时用电、通可供施工车辆通行的道路）和场地自然平整，以上工作由北京市政路桥集团有限公司于项目入市前完成</t>
  </si>
  <si>
    <t>7155.5474</t>
  </si>
  <si>
    <t>一、经审核，平谷区马昌营镇沥青厂地块企业利用自用地建设共有产权房项目土地开发成本为7155.5474万元，全部为土地收购补偿费。
二、扣除已收回成本0万元，剩余地块土地开发成本7155.5474万元。 
三、本次审核地块的土地开发总成本为7155.5474万元。R2二类居住地块的土地开发总成本为7155.5474万元。
四、实物补偿（无)。</t>
  </si>
  <si>
    <t>项目不涉及征地，正在开展拆迁工作。</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</si>
  <si>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</si>
  <si>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</si>
  <si>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</si>
  <si>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海淀区建工四建企业利用自用地建设共有产权房项目</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</si>
  <si>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</si>
  <si>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</si>
  <si>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</si>
  <si>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</si>
  <si>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R2二类居住用地、防护绿地、城市道路用地。</t>
  </si>
  <si>
    <t>本项目周边市政将达到六通[通路、通上水（供水、中水）、通下水（雨水、污水）、通电、通燃气、通信]，由平谷区政府负责督促完成实施。成本中市政建设内容为项目红线范围内临时三通（通施工临时用水、通施工临时用电、通可供施工车辆通行的道路）和场地自然平整，由北京市政路桥集团有限公司负责于项目入市前完成。</t>
  </si>
  <si>
    <t>7374.28</t>
  </si>
  <si>
    <t>一、经审核，平谷区马昌营镇沥青厂地块企业利用自用地建设共有产权房项目土地开发总成本为7374.28万元，其中土地收购评估费7155.5474万元，评估服务费2.47万元，前期费用214.67万元，审计服务费0.59万元，竣工决算费1万元。
二、扣除已收回成本0万元，剩余地块土地开发成本7374.28万元。 
三、本次审核地块的土地开发总成本为7374.28万元。R2二类居住地块的土地开发总成本为7374.28万元。
四、实物补偿（无)。</t>
  </si>
  <si>
    <t>大兴区</t>
  </si>
  <si>
    <t>大兴区黄村镇DX00-0201-6001地块</t>
  </si>
  <si>
    <t>北京市土地整理储备中心大兴区分中心</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</si>
  <si>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</si>
  <si>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</si>
  <si>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</si>
  <si>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</si>
  <si>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</si>
  <si>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</si>
  <si>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</si>
  <si>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r>
      <rPr>
        <sz val="10"/>
        <rFont val="宋体"/>
        <family val="3"/>
        <charset val="134"/>
      </rPr>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t>
    </r>
    <r>
      <rPr>
        <sz val="10"/>
        <color rgb="FFFF0000"/>
        <rFont val="宋体"/>
        <family val="3"/>
        <charset val="134"/>
      </rPr>
      <t xml:space="preserve"> 
</t>
    </r>
    <r>
      <rPr>
        <sz val="10"/>
        <rFont val="宋体"/>
        <family val="3"/>
        <charset val="134"/>
      </rPr>
      <t>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r>
  </si>
  <si>
    <t>平谷区府前街旧城棚户区改造项目(二期）B、D地块国有土地收储项目</t>
  </si>
  <si>
    <t>北京市土地整理储备中心平谷区分中心</t>
  </si>
  <si>
    <t>R2二类居住用地、F3其他类多功能用地</t>
  </si>
  <si>
    <t>本项目周边市政将达到七通[通路，通上水（自来水、中水），通下水（雨水、污水），通电，通讯，通燃气和通热力]，由平谷区政府负责督促完成实施。成本中市政建设内容为项目红线范围内城市支路的四通[通上水（自来水、中水）、通下水（雨水、污水）、通路、通电（仅管沟）]和场地自然平整，以上工作由北京市土地整理储备中心平谷区分中心负责于二级竞得人竣工验收前完成。</t>
  </si>
  <si>
    <t>一、平谷区府前街旧城棚户区改造项目(二期）B、D地块国有土地收储项目总成本 57025.57 万元，其中，前期费用485.89万元，土地收购补偿款及评估费7424.78万元，市政基础设施建设费用2208.98万元，其他费用87.95万元，审计费20万元，不可预见费213.41万元，分摊府前街二期项目开发成本 46584.56 万元。 
二、扣除已收回成本0万元，剩余地块土地开发成本 57025.57 万元。
三、本次审核地块的土地开发总成本为57025.57万元。其中0065、0074地块分摊成本36392.37万元，0035-01西侧地块分摊成本3455.8万元，0035-01东侧地块分摊成本17177.4万元。
四、实物补偿：无。</t>
  </si>
  <si>
    <t>项目不涉及征地，未完成拆除，拆除工作由北京城谷恒泰房地产开发有限公司实施。</t>
  </si>
  <si>
    <t>石景山区1609街区新首钢核心区1609-014、018、019、032地块</t>
  </si>
  <si>
    <t>北京市土地储备中心</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</si>
  <si>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</si>
  <si>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</si>
  <si>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</si>
  <si>
    <t xml:space="preserve">本次提请研究地块不涉及征地；1609-014、018、019地块已完成拆除工作，032地块北侧原首钢烧结厂车间进入项目红线0.24平方米正在拆除，预计5月22日完成拆除工作。
</t>
  </si>
  <si>
    <t>延庆区</t>
  </si>
  <si>
    <t>延庆区张山营镇西大庄科村土地一级开发项目YQ06-0040-0016地块</t>
  </si>
  <si>
    <t>北京市土地整理储备中心延庆区分中心</t>
  </si>
  <si>
    <t>一级开发</t>
  </si>
  <si>
    <t>F3其他类多功能用地、街坊路</t>
  </si>
  <si>
    <t xml:space="preserve">
市政建设程度为项目红线范围内城市支路的临时三通（通施工临时用水、通施工临时用电、通可供施工车辆通行的道路）和场地自然平整。以上工作由北京市土地储备中心延庆区分中心负责于项目入市前完成。</t>
  </si>
  <si>
    <t xml:space="preserve"> 
一、经延庆区政府审核，延庆区张山营镇西大庄科村土地一级开发项目土地开发总成本为18955.35万元，其中，前期费用197.18万元，征地补偿及相关税费224.79万元，拆迁补偿及相关费用18178.64万元，市政基础设施建设费0万元，其他费用68.77万元，财务费用0万元，管理费230.81万元，两税两费17.75万元，审计费37.41万元。
二、扣除已收回成本0万元，剩余地块土地开发成本18955.35万元。
三、本次审核的YQ06-0040-0016地块土地开发成本为18955.35万元。</t>
  </si>
  <si>
    <t xml:space="preserve">本次审核地块征地结案未取得；
拆迁工作代拆范围内剩余宅基地1宗及非宅1户（龙腾山庄）。
</t>
  </si>
  <si>
    <t>平谷区二号地（二期、三期）土地一级开发项目PG00-0002-6006地块</t>
  </si>
  <si>
    <t xml:space="preserve">
市政建设程度为项目红线范围内城市支路的四通[通路、通上水（自来水、中水）、通下水（雨水、污水）、通电（仅管沟）]和场地自然平整，以上工作由北京市基础设施投资有限公司平谷投资管理分公司负责于二级竣工验收前完成。</t>
  </si>
  <si>
    <t xml:space="preserve"> 一、经平谷区政府审核，二号地（二、三期）土地一级开发项目土地开发成本为302638.84万元，其中，前期费用844.15万元，征地补偿及相关税费52888.88万元，拆迁补偿费及相关税费194108.48万元，市政基础设施建设费6949.00万元，其他费用2794.68万元，财务费用23654.08万元，管理费20606.82万元，审计费281.75万元，委托入市交易费（已发生）349.00万元，地价评估费162.00万元。
二、扣除已收回成本91505.42万元，剩余地块土地开发成本211133.42万元。
三、 本次提请审核地块二号地（三期）PG00-0002-6006地块土地开发成本111410万元。</t>
  </si>
  <si>
    <t>本次审核地块已取得征地批复、征地结案，拆迁工作全部完成。</t>
  </si>
  <si>
    <t>平谷区夏各庄镇中心区土地一级开发项目4号地PG11-0100-6067等地块</t>
  </si>
  <si>
    <t>北京市土地整理储备中心、北京市土地整理储备中心平谷区分中心</t>
  </si>
  <si>
    <t xml:space="preserve">R2二类居住用地、F3其他类多功能用地、A334基础教育用地
</t>
  </si>
  <si>
    <t>市政建设程度为项目红线范围内城市支路的四通[通路、通上水（自来水、中水）、通下水（雨水、污水）、通电（仅管沟）]和场地自然平整，以上工作夏各庄镇政府和绿都公司负责于二级竣工验收前完成。</t>
  </si>
  <si>
    <t>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4号地PG11-0100-6067、6076、6078、6079、6080、6083土地开发成本117450.07万元。其中PG11-0100-6067地块分摊成本为37637.62万元，PG11-0100-6076地块分摊成本为3690万元，PG11-0100-6074地块分摊成本为495万元，PG11-0100-6078地块分摊成本为172.10万元，PG11-0100-6079地块分摊成本为28956.89万元，PG11-0100-6080地块分摊成本为35863.46万元，PG11-0100-6083地块分摊成为10635万元。</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</si>
  <si>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</si>
  <si>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</si>
  <si>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</si>
  <si>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</si>
  <si>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</si>
  <si>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</si>
  <si>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</si>
  <si>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石景山区刘娘府综合改造项目1604-663等地块</t>
  </si>
  <si>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</si>
  <si>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</si>
  <si>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</si>
  <si>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</si>
  <si>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</si>
  <si>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通州区永顺镇李庄南区土地一级开发项目FZX-0602-6003等地块</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</si>
  <si>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</si>
  <si>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</si>
  <si>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</si>
  <si>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石景山区中关村科技园石景山园北Ⅱ区西井地块土地一级开发项目1606-605、1606-034地块</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</si>
  <si>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</si>
  <si>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</si>
  <si>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</si>
  <si>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</si>
  <si>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怀柔科学城核心区及周边土地一级开发项目城市客厅A地块</t>
  </si>
  <si>
    <t>北京怀柔科学城建设发展有限公司</t>
  </si>
  <si>
    <t>其他类多功能F3</t>
  </si>
  <si>
    <t>本项目周边市政将达到七通一平[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</si>
  <si>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万元，财务费用100,545.99万元，利润或管理费76,690.26万元，审计费763.28万元，两税两费23,009.47万元。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二、本次审核城市客厅A地块的土地开发总成本为73,839万元。</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</si>
  <si>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</si>
  <si>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</si>
  <si>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</si>
  <si>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</si>
  <si>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</si>
  <si>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</si>
  <si>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</si>
  <si>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</si>
  <si>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</si>
  <si>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</si>
  <si>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</si>
  <si>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</si>
  <si>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</si>
  <si>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</si>
  <si>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</si>
  <si>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</si>
  <si>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</si>
  <si>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</si>
  <si>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</si>
  <si>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</si>
  <si>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6.69_x000D_</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</si>
  <si>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</si>
  <si>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朝阳区</t>
  </si>
  <si>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</si>
  <si>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</si>
  <si>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</si>
  <si>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</si>
  <si>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0"/>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0"/>
        <rFont val="宋体"/>
        <family val="3"/>
        <charset val="134"/>
      </rPr>
      <t>1490076</t>
    </r>
    <r>
      <rPr>
        <sz val="10"/>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</si>
  <si>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</si>
  <si>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 xml:space="preserve">朝阳区豆各庄乡剩余土地储备项目1306-638等地块（DE、A及H地块） </t>
  </si>
  <si>
    <t>北京市土地整理储备中心朝阳分中心</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</si>
  <si>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</si>
  <si>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</si>
  <si>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</si>
  <si>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</si>
  <si>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东城区</t>
  </si>
  <si>
    <t>北京市广渠门外大街马圈土地一级开发项目</t>
  </si>
  <si>
    <t>北京万兆房地产开发有限公司</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</si>
  <si>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</si>
  <si>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</si>
  <si>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</si>
  <si>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</si>
  <si>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</si>
  <si>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怀柔科学城核心区及周边土地一级开发项目HR00-0211-6022、6025地块（城市客厅B地块）F3其他类多功能用地和HR00-0211-6027、6028、6029、6030地块（城市客厅C地块）F3其他类多功能用地</t>
  </si>
  <si>
    <t>本项目周边市政将达到七通[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</si>
  <si>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四、扣除已收回成本135,716.71万元，剩余地块土地开发成本1,205,164.62万元。
五、本次审核的土地开发总成本为136,682万元，其中城市客厅B地块的土地开发成本104,861万元，城市客厅C地块的土地开发成本为31,821万元。</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</si>
  <si>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</si>
  <si>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</si>
  <si>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</si>
  <si>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</si>
  <si>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</si>
  <si>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</si>
  <si>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</si>
  <si>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</si>
  <si>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</si>
  <si>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</si>
  <si>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</si>
  <si>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</si>
  <si>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</si>
  <si>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</si>
  <si>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</si>
  <si>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</si>
  <si>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</si>
  <si>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</si>
  <si>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</si>
  <si>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</si>
  <si>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</si>
  <si>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</si>
  <si>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</si>
  <si>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r>
      <rPr>
        <sz val="10"/>
        <rFont val="宋体"/>
        <family val="3"/>
        <charset val="134"/>
      </rP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</si>
  <si>
    <t>北京城市副中心1201街区FZX-1201-0016、0019、0020、0039、0040地块</t>
  </si>
  <si>
    <t xml:space="preserve">北京市土地整理储备中心、北京市土地整理储备中心通州区分中心 </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</si>
  <si>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</si>
  <si>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</si>
  <si>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</si>
  <si>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30000-43000</t>
  </si>
  <si>
    <t>11404、12153</t>
  </si>
  <si>
    <t>怀柔区怀北、雁栖镇HR00-0211-6031地块[城市客厅B地块（北侧地块）]</t>
  </si>
  <si>
    <t>F3其他类多功能</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</si>
  <si>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二、本次审核城市客厅B地块（北侧地块）的土地开发总成本为23,712万元。</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</si>
  <si>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</si>
  <si>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</si>
  <si>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</si>
  <si>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</si>
  <si>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</si>
  <si>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</si>
  <si>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</si>
  <si>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</si>
  <si>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</si>
  <si>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</si>
  <si>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</si>
  <si>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</si>
  <si>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</si>
  <si>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密云区</t>
  </si>
  <si>
    <t>密云区檀营乡6005地块R2二类居住用地</t>
  </si>
  <si>
    <t>北京市土地整理储备中心密云区分中心</t>
  </si>
  <si>
    <t>本项目周边市政将达到七通[通路、通上水（自来水、中水）、通下水（雨水、污水）、通电（仅管沟）、通讯（电信、有线电视）、通燃气、通热力]，由密云区政府负责督促完成实施。 成本中市政内容为项目红线范围内城市支路的六通[通路、通上水（自来水、中水）、通下水（雨水、污水）、通电（仅管沟）、通燃气、通热力]和场地自然平整，以上工作由北京京密投资有限公司负责于项目二级竣工验收完成。</t>
  </si>
  <si>
    <t xml:space="preserve"> 一、经密云区政府审核，檀营乡居住区储备开发项目土地开发成本为442094.24万元，其中，前期费用 608.80 万元，征地补偿及相关税费 5962.41 万元，拆迁补偿费及相关税费324905.02万元，市政基础设施建设费 5414.50万元，其他费用 2172.46 万元，财务费用 72842.30 万元，利润/管理费 24065.06 万元，两税两费5139.57万元，审计费、委托入市交易费 136.45 万元。
二、扣除已收回成本301299.92万元，剩余地块土地开发成本140794.32万元。
三、 本次审核的6005地块土地开发成本为127133.54万元。
四、实物补偿（无)。</t>
  </si>
  <si>
    <t>石景山首钢园区东南区土地一级开发项目
1612-763、1612-774等地块</t>
  </si>
  <si>
    <t>北京首钢建设投资有限公司</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</si>
  <si>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</si>
  <si>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</si>
  <si>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</si>
  <si>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</si>
  <si>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</si>
  <si>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</si>
  <si>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</si>
  <si>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</si>
  <si>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</si>
  <si>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</si>
  <si>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</si>
  <si>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</si>
  <si>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</si>
  <si>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</si>
  <si>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</si>
  <si>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</si>
  <si>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</si>
  <si>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</si>
  <si>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本次审核地块已取得征地结案，拆迁工作完成。</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</si>
  <si>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</si>
  <si>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</si>
  <si>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</si>
  <si>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</si>
  <si>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</si>
  <si>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</si>
  <si>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</si>
  <si>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</si>
  <si>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</si>
  <si>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</si>
  <si>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轨道交通房山线东羊庄站土地一级开发项目</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</si>
  <si>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</si>
  <si>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</si>
  <si>
    <t>本次拟上市地块已完成征地，FS00-0111-0019地块剩余蓄水池未拆迁。</t>
  </si>
  <si>
    <t>门头沟区S1线区域组团01-12地块土地一级开发项目01地块（剩余）、05（部分）、07（部分）地块</t>
  </si>
  <si>
    <t>市中心、门头沟分中心</t>
  </si>
  <si>
    <t>R2二类居住用地、F1住宅混合公建、F3多功能用地、B2商务用地、B4综合性商业金融服务用地、A5医疗卫生用地、A6社会福利用地、S4社会停车场用地</t>
  </si>
  <si>
    <t>市政建设程度为项目红线范围内城市支路的三通（通路、通上水（自来水）、通电力（仅管沟）和场地自然平整，以上工作由北京市土地整理储备中心门头沟分中心负责于二级竣工验收前完成。</t>
  </si>
  <si>
    <t xml:space="preserve">一、经门头沟区政府审核，门头沟区S1线区域组团01-12地块土地一级开发项目土地开发总成本为1,921,678.11万元。其中：前期费用17,742.96万元，征地补偿及相关税费253,932.03万元，拆迁补偿及相关费用1,121,048.82万元，市政基础设施建设费30,218.00万元，其他费用24,730.49万元，财务费用442,046.71万元，管理费28,953.45万元，审计费2,461.09万元，委托入市交易服务费481.44万元，地价评估费63.12万元。
二、为加快资金回笼，形成滚动开发，根据市场可接受程度，本次入市地块拟采用“先供先摊”方式分摊成本。本次提请会议审议的土地开发总成本为356888.4万元，其中MC00-0017-0031地块为66858万元，MC00-0605-0099地块为184.8万元，MC00-0017-0032地块为51612万元，MC00-0605-0103地块为12540万元，MC00-0017-0033地块为396万元，MC00-0605-0104地块为7656万元，MC00-0017-0043地块为59730万元，MC00-0605-0106地块为237.6万元，MC00-0017-0044地块为52602万元，MC00-0605-0110地块为36564万元，MC00-0605-0093地块为23364万元，MC00-0605-0112地块为23232万元，
MC00-0605-0098地块为21912万元。  
三、实物补偿：无。
</t>
  </si>
  <si>
    <t>本次审核地块已取得征地批复和征地结案，已完成拆迁工作。</t>
  </si>
  <si>
    <t>门头沟区潭柘寺中心区A-F土地一级开发项目E地块MTG-06-0209-024等地块</t>
  </si>
  <si>
    <t>北京市基础设施投资有限公司</t>
  </si>
  <si>
    <r>
      <rPr>
        <sz val="11"/>
        <rFont val="宋体"/>
        <family val="3"/>
        <charset val="134"/>
      </rPr>
      <t>本项目周边市政将达到七通[通路、通上水（自来水、中水）、通下水（雨水、污水）、通电（仅含管沟）、通讯</t>
    </r>
    <r>
      <rPr>
        <sz val="11"/>
        <rFont val="宋体"/>
        <family val="3"/>
        <charset val="134"/>
        <scheme val="minor"/>
      </rPr>
      <t>（电信、有线电视）、通燃气、通热力）]，由门头沟区政府负责督促完成实施。成本中市政建设内容为项目红线范围内四通[通路、通上水（自来水、中水）、通下水（雨水、污水）、通电（仅含管沟）]和场地自然平整，以上工作由北京市基础设施投资有限公司负责于二级竣工验收前完成。</t>
    </r>
  </si>
  <si>
    <r>
      <rPr>
        <sz val="10"/>
        <rFont val="宋体"/>
        <family val="3"/>
        <charset val="134"/>
      </rPr>
      <t>一、经门头沟区政府审核，潭柘寺镇中心区A-F地块总成本1110495.07万元。其中，潭柘寺镇中心区A-D地块土地一级开发项目土地开发成本为527523.92万元，其中，前期费用1954.76万元，征地补偿及相关税费65045.78万元，拆迁补偿费及相关税费315204.14万元，市政基础设施建设费19937.62万元，其他费用1403.53万元，财务费用66825.48万元，利润/管理费40659.94万元，两税两费15568.49万元，审计费716.23万元，委托入市交易费180.40万元，地价评估费27.55万元；潭柘寺镇中心区E、F地块土地一级开发项目土地开发成本</t>
    </r>
    <r>
      <rPr>
        <sz val="10"/>
        <rFont val="宋体"/>
        <family val="3"/>
        <charset val="134"/>
        <scheme val="minor"/>
      </rPr>
      <t>为582971.15万元，其中，前期费用8294.34万元，征地补偿及相关税费46870.28万元，拆迁补偿费及相关税费413692.04万元，市政基础设施建设费 21003.85万元，其他费用7703.72万元，财务费用49506.60万元，利润/管理费25079.89万元，两税两费10125.37万元，审计费695.06万元。
二、扣除已回笼成本605795.41万元（A-D地块先期回笼成本），剩余土地开发成本为504699.66万元。
三、为加快资金回笼，形成滚动开发，根据市场可接受程度，本次入市地块拟采用“先供先摊”方式分摊成本。本次提请会议审议的土地开发总成本为205425.00万元，其中：E3（MTG-06-0209-024）地块成本54572.50万元；E4（MTG-06-0209-028）地块成本为71172.50万元；E6（MTG-06-0209-036）地块成本35067.50万元；E7（MTG-06-0209-035）地块成本44612.50万元。
四、实物补偿：无。</t>
    </r>
  </si>
  <si>
    <t>本次审核地块已完成征地、拆迁工作。</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</si>
  <si>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</si>
  <si>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</si>
  <si>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</si>
  <si>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</si>
  <si>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平谷区大兴庄镇白各庄新村土地一级开发项目PG00-0001-6001、6002等地块</t>
  </si>
  <si>
    <t xml:space="preserve">
R2二类居住用地、B1商业用地、F3其他类多功能用地、S4社会停车场用地、A334托幼用地</t>
  </si>
  <si>
    <t>本项目周边市政将达到七通[通路、通上水（自来水、中水）、通下水（雨水、污水）、通电、通燃气、通讯、通热力]，由平谷区政府负责督促完成实施。成本中市政建设内容为项目红线范围内城市支路的四通[通路、通上水（自来水、中水）、通下水（雨水、污水）、通电（仅管沟）]和场地自然平整，以上工作由北京优达置业有限公司负责于二级竣工验收前完成。</t>
  </si>
  <si>
    <t>一、经平谷区政府审核，平谷区大兴庄镇白各庄新村土地一级开发项目土地开发总成本为220521.18万元。其中，前期费用913.62万元，征地补偿及相关税费18752.27万元，拆迁补偿费及相关税费  159839.43万元，市政基础设施建设费12264.48万元，其他费用1639.69万元，财务费用15701.85万元，利润/管理费8773.69万元，两税两费2481.61万元，审计费154.54万元。
二、扣除已收回成本71288万元，剩余地块土地开发成本149233.18万元。
三、本次审核的平谷区大兴庄镇白各庄新村土地一级开发项目PG00-0001-6001、6002等地块土地开发总成本为144528.73万元，其中PG00-0001-6001地块土地开发成本为53516.92万元，PG00-0001-6002地块土地开发成本为46559.69万元，PG00-0001-6003地块土地开发成本为7700万元，PG00-0001-6007地块土地开发成本为14100万元，PG00-0001-6008地块土地开发成本为18900万元，PG00-0001-6014地块土地开发成本为3450万元,PG00-0001-6004地块土地开发成本为302.12万元。</t>
  </si>
  <si>
    <t>本次审核地块征地已过五人小组会，尚未取得征地批复；拆迁工作全部完成。</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</si>
  <si>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</si>
  <si>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</si>
  <si>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</si>
  <si>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</si>
  <si>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</si>
  <si>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</si>
  <si>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</si>
  <si>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</si>
  <si>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</si>
  <si>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</si>
  <si>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</si>
  <si>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</si>
  <si>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招拍挂</t>
  </si>
  <si>
    <t>房山区长沟镇新型城镇化建设北部浅山区土地一级开发项目FS12-0100-6017地块</t>
  </si>
  <si>
    <t>北京城建长泰房地产开发有限责任公司</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</si>
  <si>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</si>
  <si>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</si>
  <si>
    <t>拟入市地块征地工作已全部完成，拆迁工作均已完成满足地块入市条件。</t>
  </si>
  <si>
    <t>通州区运河核心区3号地土地一级开发项目FZX-0101-0902地块</t>
  </si>
  <si>
    <t>北京市土地整理储备中心、北京市土地整理储备中心通州区分中心</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</si>
  <si>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</si>
  <si>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</si>
  <si>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</si>
  <si>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</si>
  <si>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</si>
  <si>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</si>
  <si>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</si>
  <si>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</si>
  <si>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</si>
  <si>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朝阳区王四营乡土地一级开发项目一期1304-L04地块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</si>
  <si>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</si>
  <si>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</si>
  <si>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</si>
  <si>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</si>
  <si>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</si>
  <si>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</si>
  <si>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 xml:space="preserve">丰台区城乡一体化周庄子村旧村改造项目二期（ZZZ-06等地块） </t>
  </si>
  <si>
    <t>北京市土地整理储备中心丰台区分中心</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</si>
  <si>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</si>
  <si>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</si>
  <si>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</si>
  <si>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</si>
  <si>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</si>
  <si>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</si>
  <si>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</si>
  <si>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</si>
  <si>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</si>
  <si>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通州区永顺镇临空新村土地一级开发项目FZX-0601-6019等地块</t>
  </si>
  <si>
    <t>北京五河房地产开发有限公司</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</si>
  <si>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</si>
  <si>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</si>
  <si>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</si>
  <si>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</si>
  <si>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</si>
  <si>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</si>
  <si>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</si>
  <si>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</si>
  <si>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</si>
  <si>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</si>
  <si>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密云区水源路南侧土地一级开发项目MY00-0104-6016等9个地块</t>
  </si>
  <si>
    <t>本项目周边市政已达到七通[通路、通上水（自来水、中水）、通下水（雨水、污水）、通电、通讯（电信、有线电视）、通燃气和通热力]。成本中市政建设内容为项目红线范围内城市支路的五通一平[通路、通上水（自来水、中水）、通下水（雨水、污水）、通电(仅管沟)、通燃气）]和场地自然平整，以上工作由北京市土地整理储备中心密云区分中心负责于二级竞得人竣工验收前完成。</t>
  </si>
  <si>
    <t>一、经密云区政府审核，密云区水源路南侧土地一级开发项目土地开发成本为274,776.80万元，其中，前期费用1,428.32万元，征地补偿及相关税费27,600.01万元，拆迁补偿费及相关税费171,864.54万元，市政基础设施建设费31,512.61万元，其他费用 4,129.65万元，财务费用19,773.40万元，利润及管理费 13,993.13万元，两税两费4,105.55万元，审计费、委托入市交易费、地价评估费369.59万元。
二、扣除已收回成本110,194.87万元，剩余地块土地开发成本164,581.93万元。
三、本次审核的C-1东地块土地开发成本为163739.17万元，其中：MY00-0104-6016地块土地开发成本为16722.30万元，MY00-0104-6024地块土地开发成本为15099.26万元，MY00-0104-6033地块土地开发成本为15999.64万元，MY00-0104-6012地块土地开发成本为21325.22万元，MY00-0104-6011地块土地开发成本为28464.42万元，MY00-0104-6017地块土地开发成本为21609.89万元，MY00-0104-6013地块土地开发成本为13215.22万元，MY00-0104-6018地块土地开发成本为14805.48万元，MY00-0104-6021地块土地开发成本为16497.74万元。项目B地块、C-1剩余地块不承担土地开发成本，纳入密云区战略储备库。
四、实物补偿：无。</t>
  </si>
  <si>
    <t>本次审核地块已取得征地批复、拆迁工作全部完成</t>
  </si>
  <si>
    <t>刘娘府综合改造项目1604-654-1、654-2、696、728-1地块</t>
  </si>
  <si>
    <t>R2二类居住用地、B4综合性商业金融服务业用地、A334基础教育用地</t>
  </si>
  <si>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</si>
  <si>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</si>
  <si>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本次审核地块已取得征地结案</t>
  </si>
  <si>
    <t>大兴区西红门镇镇东区B组团土地一级开发项目B2-08、DX04-0101-6004、6006、6008地块</t>
  </si>
  <si>
    <t xml:space="preserve">北京市土地整理储备中心大兴区分中心
</t>
  </si>
  <si>
    <t xml:space="preserve">一级开发
</t>
  </si>
  <si>
    <t xml:space="preserve">R2二类居住用地、F3其他类多功能用地、U17邮政设施用地
</t>
  </si>
  <si>
    <t xml:space="preserve">本项目周边市政将达到六通一平[通路、通上水（自来水、中水）、通下水（雨水、污水）、通电、通燃气、通讯（电信、有线电视）]，由大兴区政府负责督促完成实施。本次审核地块成本中市政建设内容为项目红线范围内城市支路的五通[通路、通上水（自来水、中水）、通下水（雨水、污水）、通电（仅管沟）、通燃气]和场地自然平整，以上工作由北京市大兴区西红门镇人民政府负责于二级竞得人竣工验收前完成。
</t>
  </si>
  <si>
    <t xml:space="preserve">一、经大兴区区政府审核，西红门镇镇东区B组团土地一级开发项目土地开发成本为1217613.33万元，其中，前期费用3069.82万元，征地补偿及相关税费299748.22万元，拆迁补偿费及相关税费503546.53 万元，市政基础设施建设费14162.50万元，其他费用10993.73万元，财务费用143460.06万元，利润/管理费50628.52万元，审计费785.99万元，两税两费5665.64万元，历史遗留问题185552.32万元。
二、扣除已收回成本428129.65万元，剩余地块土地开发成本789483.68万元。
三、本次审核B2-08、DX04-0101-6004、6006、6008地块土地开发总成本为238886.46万元。其中B2-08地块分摊土地开发成本为238542.41万元；DX04-0101-6004、6006地块分摊土地开发成本为0万元；DX04-0101-6008地块分摊土地开发成本为344.05万元。
四、实物补偿：依据《大兴区西红门镇1号地、镇东区B组团土地一级开发项目集体土地征收实物补偿方案》，本次提请审核的DX04-0101-6004、6006地块二级竞得人需向北京市大兴区西红门镇人民政府提供10.62万平方米（地上）商业用房，回购价格为4500元/平方米，大兴区政府将统一组织、协调回购上述商业用房。
</t>
  </si>
  <si>
    <t xml:space="preserve">大兴区黄村镇三合庄改造区土地一级开发项目DX00-0202-6002 、6007、6011 、6014地块
</t>
  </si>
  <si>
    <t xml:space="preserve">北京市土地整理储备中心大兴区分中心 </t>
  </si>
  <si>
    <t xml:space="preserve">
R2二类居住用地、A334托幼用地、F3其他类多功能用地
</t>
  </si>
  <si>
    <t>本项目周边市政将达到七通[通路、通上水（自来水、中水）、通下水（雨水、污水）、通电、通燃气、通热力、通讯（电信、有线电视）]，由大兴区政府负责督促完成实施。成本中市政建设内容为项目红线范围内城市支路的六通（通路、通上水（自来水、中水）、通下水（雨水、污水）、通电（仅管沟）、通燃气、通热力）和场地自然平整，本次审核地块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</si>
  <si>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三合庄改造区土地一级项目项目土地开发成本为336121.73万元，其中，前期费用6944.04万元，征地补偿及相关税费12991.30万元，拆迁补偿费及相关税费252993.14万元，市政基础设施建设费10982.88万元，其他费用1754.87万元，财务费用41751.42万元，管理费5713.32万元，两税两费2631.99万元，审计费358.77万元。
二、扣除已收回成本154412.69万元，剩余地块土地开发成本181709.04万元。
三、按照市政府在京兴政文〔2018〕18号文上的批示精神，经营性住宅地块成本拟按照13560.48元/平方米分摊新机场噪音区平衡资金，需分摊203136.04万元。本次提请会议审议的土地开发总成本为383827.98万元。其中DX00-0202-6002地块土地开发成本为530.19万元；DX00-0202-6007地块土地开发成本为100632.77万元，分摊机场噪音区平衡资金131265.47万元，分摊后该地块土地开发成本为231898.24万元；DX00-0202-6011地块土地开发成本为24430.47万元；DX00-0202-6014地块土地开发成本为55098.51万元，分摊机场噪音区平衡资金71870.57万元，分摊后该地块土地开发成本为126969.08万元。
四、实物补偿：无。</t>
  </si>
  <si>
    <t>大兴区地铁亦庄线旧宫东站土地一级开发项目JG01-06、JG01-07、JG01-15地块</t>
  </si>
  <si>
    <t>北京市土地整理储备中心、北京市土地整理储备中心大兴区分中心</t>
  </si>
  <si>
    <t>F3其他类多功能用地
、C2商业金融用地</t>
  </si>
  <si>
    <t xml:space="preserve">本项目周边市政已达到六通一平[通路、通上水（自来水、中水）、通下水（雨水、污水）、通电、通燃气、通讯（电信、有线电视）]。成本中市政建设内容为项目红线范围内城市支路的五通[通路、通上水（自来水、中水）、通下水（雨水、污水）、通电（仅管沟）、通燃气]和场地自然平整，以上工作由大兴区旧宫镇人民政府负责于二级竞得人竣工验收前完成。
</t>
  </si>
  <si>
    <t xml:space="preserve"> 一、大兴区地铁亦庄线旧宫东站土地一级开发项目总土地开发开发成本636140.15万元，其中，前期费用1507.92万元，征地补偿及相关税费46469.07万元，拆迁补偿费及相关税费462882.97万元，市政基础设施建设费13049.36万元，其他费用1409.6万元，财务费用99080.31万元，管理费10506.38万元，审计费964.16万元，委托入市交易费173.82万元，地价评估费96.56万元。
二、已收回成本636140.15万元，剩余地块土地开发成本0万元。
三、本次提请审核JG01-07、JG01-07、JG01-15地块土地开发成本0万元。根据市领导在《关于旧官镇南街村城乡结合部改造配套用地一级开发项目成本分摊事宜的意见》及《北京市大兴区人民政府关于旧宫镇南街村城乡结合部改造配套用地土地一级开发项目成本有关情况的报告》的批示精神，地铁亦庄线旧宫东站土地一级开发项目需分摊旧宫南街棚改项目成本8亿元。按旧宫东站一级开发项目剩余经营性建筑规模8.22万平方米平均分摊核算，JG01-07地块分摊成本约为44325.64万元、JG03-06地块分摊成本约为11373.03万元、JG01-15地块分摊成本约为24301.33万元。
四、实物补偿：无。</t>
  </si>
  <si>
    <t>怀柔雁栖小镇A区土地一级开发项目01-01、01-02、01-03、01-04地块</t>
  </si>
  <si>
    <t xml:space="preserve">北京北控国际会都房地产开发有限责任公司
</t>
  </si>
  <si>
    <t xml:space="preserve">F2公建混合住宅用地、F3其他类多功能用地
</t>
  </si>
  <si>
    <t>本项目周边市政将达到七通[通路、通上水（自来水、中水）、通下水（雨水、污水）、通电、通讯、通燃气、通热力]，由怀柔区政府负责督促完成实施。成本中市政建设内容为项目红线范围内城市支路的五通[通路、通上水（自来水、中水）、通下水（雨水、污水）、通电（仅管沟）、通热力]和场地自然平整，以上工作由北京北控国际会都房地产开发有限责任公司负责于二级竣工验收前完成。</t>
  </si>
  <si>
    <t xml:space="preserve"> 
    一、经怀柔区政府审核，怀柔区雁栖小镇土地一级开发项目审定成本金额为528475.56万元。其中：前期费用3051.33万元，征地补偿及相关税费148438.24 万元，拆迁补偿及相关费用259708.69万元，市政基础设施建设费27076.99万元，其他费用6254万元，财务费用67739.32万元，管理费4745.14万元，审计费455.03万元，两税两费11006.82万元。   
     二、扣除已收回成本0万元，剩余地块土地开发成本528475.56万元
     三、本次提请会议审议地块土地开发总成本为104825.23万元。其中，01-01地块分摊成本27997.51万元，01-02地块分摊成本25738.06万元，01-03地块分摊成本7374.25万元，01-04地块分摊成本43715.41万元。
  四、实物补偿：无
</t>
  </si>
  <si>
    <t>本次审核地块已取得征地批复、征地结案，已完成拆迁工作。</t>
  </si>
  <si>
    <t>石景山首钢园区东南区土地一级开发项目
1612-763、824、830、831地块</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</si>
  <si>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</si>
  <si>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</si>
  <si>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顺义区福环庄园住宅小区二期土地一级开发项目19-85、19-86地块</t>
  </si>
  <si>
    <t xml:space="preserve">北京市土地整理储备中心顺义区分中心
</t>
  </si>
  <si>
    <t>R2二类居住、A334托幼用地</t>
  </si>
  <si>
    <t xml:space="preserve">   本项目周边市政已达到七通[通路、通上水（自来水、中水）、通下水（雨水、污水）、通电、通讯（电信、有线电视）、通燃气、通热力]。成本中市政建设内容为临时三通[通施工临时用水、通施工临时用电、通可供施工车辆通行的道路]和场地自然平整，以上工作由北京市土地整理储备中心顺义区分中心负责于项目入市前完成。</t>
  </si>
  <si>
    <t xml:space="preserve">    一、经顺义区政府审核，顺义区福环庄园住宅小区二期项目土地开发成本为142921.26万元，其中，前期费用581.73万元，拆迁补偿费及相关税费141759.13
万元，市政基础设施建设费2.00万元，其他费用493.83万元，审计费44.98万元，委托入市交易服务费39.59万元。
    二、扣除已收回成本39851.93万元，剩余地块土地开发成本103069.33万元。
    三、本项目成本已经2021年第九期土地储备开发项目成本预审会审核通过，确定拟入市地块总成本103069.33万元，其中中19-85地块土地开发成本102841.58万元，19-86地块土地开发成本227.75万元；为加快推进温榆河公园建设，根据《关于温榆河二期工程（顺义段）资金方案的请示》（顺政文[2021]45号），本项目按照市场可接受程度先供先摊，拟提前分摊古城村拆迁成本200900万元，本次提请会议审议的土地开发总成本为303969.33万元，其中19-85地块土地开发成本为303741.58万元，19-86地块土地开发成本为227.75万。
      四、实物补偿：无</t>
  </si>
  <si>
    <t>本次审核地块已取得征地批复、征地结案，剩余1户宅基地未签约（房屋已自然灭失）。</t>
  </si>
  <si>
    <t>大兴区黄村镇四街、五街、六街村土地一级开发项目DX00-0208-6034等地块</t>
  </si>
  <si>
    <t>R2二类居住用地、A334托幼用地、S4社会停车场用地、A332小学用地</t>
  </si>
  <si>
    <t>本项目周边市政将达到六通[通路、通上水（自来水、中水）、通下水（雨水、污水）、通电、通燃气、通讯（电信、有线电视）]，由大兴区政府负责督促完成实施。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</si>
  <si>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黄村镇四街、五街、六街村土地一级开发项目土地开发成本为254964.57万元，其中，前期费用889.65万元，征地补偿及相关税费6023.34万元，拆迁补偿费及相关税费196875.94万元，市政基础设施建设费7875.79万元，其他费用1394.60万元，财务费用24979.57万元，利润或管理费13446.46万元，审计费220.00万元，两税两费3231.18万元，委托入市交易费98.04万元。
二、扣除已收回成本231025.65万元，剩余地块土地开发成23938.92万元。
三、根据《北京市大兴区人民政府关于北京新机场噪声区治理资金方案的请示》中相关指示精神，统筹利用大兴区土地资源，实现跨项目、跨区域成本分摊，解决200亿元噪声区治理资金，截止目前已经成本预审会审核分摊的噪声区资金约146.89亿元，剩余约53.11亿元。本次提请会议审议的项目土地开发成本为23938.92万元，分摊新机场噪声区14250万元，分摊后土地开发总成本为38188.92万元。其中DX00-0208-6034地块土地开发成本为22710.56万元,分摊机场噪音费14250万元后，该地块土地开发成本为36960.56万元；DX00-0208-6035地块土地开发成本为406.40万元；DX00-0208-6036地块土地开发成本为278.90万元；DX00-0208-0409地块土地开发成本为543.06万元。
四、实物补偿：无。</t>
  </si>
  <si>
    <t>大兴区旧宫镇绿化隔离地区建设旧村改造二期土地一级开发项目A2-2地块</t>
  </si>
  <si>
    <t xml:space="preserve">本项目周边市政已达到六通[通路、通上水（自来水、中水）、通下水（雨水、污水）、通电、通燃气、通讯（电信、有线电视）]。成本中市政建设内容为项目红线范围内临时三通( 通施工临时用水、通施工临时用电、通可供施工车辆通行的道路)和场地自然平整，以上工作由大兴区旧宫镇人民政府负责于项目入市前完成。                </t>
  </si>
  <si>
    <t>一、经大兴区政府审核，大兴区旧宫镇绿化隔离地区建设旧村改造二期土地一级开发项目土地开发总成本为536312.92万元，其中，前期费用679.93万元，征地补偿及相关税费18427.17万元，拆迁补偿及相关费用431228.66万元，市政基础设施建设费94.66万元，其他费用918.40万元，财务费用43564.79万元，利润或管理费36107.90万元，审计费505.41万元、委托入市交易费204.01万元、两税两费4581.99万元。
二、扣除已收回成本379921万元，剩余地块土地开发成本156391.92万元。
三、根据《北京市大兴区人民政府关于北京新机场噪声区治理资金方案的请示》中相关指示精神，统筹利用大兴区土地资源，实现跨项目、跨区域成本分摊，解决200亿元噪声区治理资金，截止目前已通过成本预审会解决噪声区资金约146.89亿元，剩余约53.11亿元。本次提请会议审议的A2-2地块土地开发成本为156391.92万元，分摊新机场噪声区29399.75万元，分摊后该地块土地开发总成本为185791.67万元。
四、实物补偿：无。</t>
  </si>
  <si>
    <t>经开区</t>
  </si>
  <si>
    <t>亦庄新城0510街区入市地块（YZ00-0510-0017等四个地块）</t>
  </si>
  <si>
    <t>北京住总置地有限公司</t>
  </si>
  <si>
    <t xml:space="preserve">
R2二类居住用地、F3其他类多功能用地
</t>
  </si>
  <si>
    <t>本项目周边市政将达到六通 [通路、通上水（自来水、中水）、通下水（雨水、污水）、通电、通燃气、通讯（电信、有线电视）]，由北京经济技术开发区管委会负责督促完成实施。成本中市政建设内容为项目红线范围内城市支路的五通[通路、通上水（自来水、中水）、通下水（雨水、污水）、通电（仅管沟）、通燃气]和场地自然平整，以上工作由北京住总置地有限公司负责于二级竞得人竣工验收前完成。</t>
  </si>
  <si>
    <r>
      <rPr>
        <sz val="10"/>
        <color rgb="FF000000"/>
        <rFont val="宋体"/>
        <family val="3"/>
        <charset val="134"/>
      </rPr>
      <t xml:space="preserve">
</t>
    </r>
    <r>
      <rPr>
        <sz val="10"/>
        <rFont val="宋体"/>
        <family val="3"/>
        <charset val="134"/>
      </rPr>
      <t>一、经北京市经济技术开发区管委会审核，轻轨L2线通州段次渠站、垡渠南站、亦庄火车站土地一级开发项目土地开发成本为6307040.36万元，其中，前期费用58681.74万元，征地补偿及相关税费909373.45万元，拆迁补偿费及相关税费789836.00万元，市政基础设施建设费303345.14万元，其他费用30219.76万元，财务费用671488.44万元，管理费5,756.45万元，企业开发利润189,546.42万元，审计费1425.56万元，委托入市交易服务费及地价评估费51.40万元，两税两费88080.23万元,原主体已发生投资3259235.77万元。</t>
    </r>
    <r>
      <rPr>
        <sz val="10"/>
        <color rgb="FF000000"/>
        <rFont val="宋体"/>
        <family val="3"/>
        <charset val="134"/>
      </rPr>
      <t xml:space="preserve">
二</t>
    </r>
    <r>
      <rPr>
        <sz val="10"/>
        <rFont val="宋体"/>
        <family val="3"/>
        <charset val="134"/>
      </rPr>
      <t>、扣除已收回成本1618683.18万元，剩余地块土地开发成本4688357.18万元。</t>
    </r>
    <r>
      <rPr>
        <sz val="10"/>
        <color rgb="FF000000"/>
        <rFont val="宋体"/>
        <family val="3"/>
        <charset val="134"/>
      </rPr>
      <t xml:space="preserve">
三、本次入市地块采用“先供先摊”方式分摊成本，“先供先摊”后本次审核YZ00-0510-0017等地块的土地开发总成本为597600万元，其中，YZ00-0510-0017地块土地开发成本为141440万元、YZ00-0510-0032地块土地开发成本为277760万元、YZ00-0510-0033地块土地开发成本为138240万元、YZ00-0510-0035地块土地开发成本为40160万元。</t>
    </r>
  </si>
  <si>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</si>
  <si>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</si>
  <si>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</si>
  <si>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</si>
  <si>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</si>
  <si>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</si>
  <si>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</si>
  <si>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</si>
  <si>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</si>
  <si>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</si>
  <si>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</si>
  <si>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</si>
  <si>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丰台区亚林西居住区土地一级开发项目</t>
  </si>
  <si>
    <t>本项目周边市政将达到六通[通路、通上水（自来水、中水）、通下水（雨水、污水）、通电、通讯（电信、有线电视）、通燃气]，由顺义区政府负责督促完成实施。成本中市政建设内容为临时三通[通施工临时用水、通施工临时用电、通可供施工车辆通行的道路]和场地自然平整，以上工作由北京市顺义区规划和自然资源综合事务中心负责负责于二级竣工验收前完成。</t>
  </si>
  <si>
    <t xml:space="preserve">  一、经顺义区政府审核，顺义区福环庄园住宅小区二期项目土地开发成本为135016.47万元，其中，前期费用581.73万元，拆迁补偿及相关费用57425.25万元，市政基础设施建设费2.00万元，其他费用493.83万元，审计费37.08万元，委托入市交易服务费39.59万元,清算费用76436.99万元。
   二、扣除已收回成本39851.93万元，剩余地块土地开发成本95164.54万元。    
   三、本次提请会议研究的19-85、19-86地块自身土地开发补偿费为90700.76万元。按照市领导在《关于顺义区土地开发类项目资金平衡整体统筹方案的请示》（顺政文〔2022〕8号）上的批示精神，本次入市地块分摊古城村拆迁腾退资金347880.20万元，分摊后，提请会议研究的土地开发补偿费为438580.96万元，其中，19-85地块土地开发补偿费为438329.97万元，19-86地块土地开发补偿费为250.99万元。
四、实物补偿：无。
</t>
  </si>
  <si>
    <t>顺义区福环庄园住宅小区二期土地一级开发项目</t>
  </si>
  <si>
    <t>顺义区薛大人庄村剩余1、2号地块土地一级开发项目SY00-0025-6001、6003地块</t>
  </si>
  <si>
    <t>北京市天竺房地产开发公司</t>
  </si>
  <si>
    <t xml:space="preserve">   本项目周边市政将达到七通[通路、通上水（自来水、中水）、通下水（雨水、污水）、通电、通讯、通燃气、通热力]，由顺义区政府负责督促完成实施。成本中市政建设内容为项目红线范围内城市支路的四通[通路、通上水（自来水、中水）、通下水（雨水、污水）、通电（仅管沟）]和场地自然平整，以上工作由北京市天竺房地产开发公司负责于二级竣工验收前完成。</t>
  </si>
  <si>
    <t xml:space="preserve">   一、经顺义区政府审核，顺义区薛大人庄村剩余1、2号地块项目土地开发总成本为29,665.84万元，其中，前期费用430.48万元，征地补偿费3,879.87万元，拆迁补偿费及相关税费20,568.54万元，市政基础设施建设费1,001.38万元，其他费用902.96万元，财务费用365.92万元，利润/管理费2,142.66万元，审计费37.28万元，两税两费336.74万元，委托入市交易服务费及地价评估费0.00万元，清算费用0.00万元。
  二、扣除已收回成本0.00万元，剩余地块土地开发成本29,665.84万元。
  三、本次提请会议研究的项目自身土地开发补偿费为28209.46万元。按照市领导在《关于顺义区土地开发类项目资金平衡整体统筹方案的请示》（顺政文〔2022〕8号）上的批示精神，本次入市地块分摊薛大人庄村历史遗留问题资金108332.16万元，分摊后，提请会议研究的土地开发补偿费为136541.62万元，其中，SY00-0025-6001地块土地开发补偿费为136258.04万元，SY00-0025-6003地块土地开发补偿费为283.58万元。
四、实物补偿：无。</t>
  </si>
  <si>
    <t>本次审核地块已取得征地批复，已完成拆迁工作。</t>
  </si>
  <si>
    <t>顺义区薛大人庄村剩余1、2号地块土地一级开发项目</t>
  </si>
  <si>
    <t>昌平区北七家镇平西府土地一级开发项目B-02（CP-121101044009-012）、B-04地块</t>
  </si>
  <si>
    <r>
      <rPr>
        <sz val="12"/>
        <color rgb="FF000000"/>
        <rFont val="宋体"/>
        <family val="3"/>
        <charset val="134"/>
      </rPr>
      <t>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t>
    </r>
    <r>
      <rPr>
        <sz val="12"/>
        <rFont val="宋体"/>
        <family val="3"/>
        <charset val="134"/>
      </rPr>
      <t>北京市昌平区规划和自然资源综合事务中心</t>
    </r>
    <r>
      <rPr>
        <sz val="12"/>
        <color rgb="FF000000"/>
        <rFont val="宋体"/>
        <family val="3"/>
        <charset val="134"/>
      </rPr>
      <t xml:space="preserve">负责于二级竣工验收前完成。
</t>
    </r>
  </si>
  <si>
    <t>一、经昌平区政府审核，平西府土地一级开发项目土地开发补偿费为180470.73万元，其中，前期费用333.24万元，征地补偿费用  0 万元，拆迁补偿费及相关税费352.36万元，市政基础设施建设费11876.22万元，其他费用1345.94万元，财务费用102.16万元，利润/管理费296.57万元，审计费18万元，两税两费2770.25万元，委托入市交易服务费及地价评估费0万元，清算费用163375.99万元。 
二、扣除已收回土地开发补偿费122966.31万元，剩余地块土地开发补偿费为57504.42万元。
三、本次提请会议研究的B-02（CP-121101044009-012）、B-04地块自身土地开发补偿费为57504.42万元。按照市领导在《关于加快推进未来科学城土地资源整理有关工作的请示》（京规自文[2021]38号）上的批示和《关于研究昌平区规划建设领域有关工作的会议纪要（北京市人民政府会议纪要第46号）》精神，为加快推进未来科学城区域土地资源整理工作，本次入市地块分摊未来科学城区域规划实施整理单元实施成本255453.96万元，分摊后，提请会议研究的土地开发补偿费为312958.38万元，其中，B-02（CP-121101044009-012）地块土地开发补偿费为312958.38万元，B-04地块土地开发补偿费为0万元，作为储备地纳入昌平区储备库。
四、实物补偿：无。</t>
  </si>
  <si>
    <r>
      <rPr>
        <sz val="12"/>
        <color indexed="8"/>
        <rFont val="宋体"/>
        <family val="3"/>
        <charset val="134"/>
      </rPr>
      <t>昌平区北七家镇平西府土地</t>
    </r>
    <r>
      <rPr>
        <sz val="12"/>
        <color indexed="8"/>
        <rFont val="Arial"/>
        <family val="2"/>
      </rPr>
      <t>_</t>
    </r>
    <r>
      <rPr>
        <sz val="12"/>
        <color indexed="8"/>
        <rFont val="宋体"/>
        <family val="3"/>
        <charset val="134"/>
      </rPr>
      <t>x005f_x000B_一级开发项目</t>
    </r>
  </si>
  <si>
    <t>昌平区北七家镇平坊村土地一级开发项目PF-10地块</t>
  </si>
  <si>
    <t xml:space="preserve">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北京未来科学城发展集团有限公司负责于二级竣工验收前完成。
</t>
  </si>
  <si>
    <t>一、经2021年第三期成本预审会审议，平坊村土地一级开发项目土地开发补偿费为168848.31万元，其中，前期费用903.59万元，征地补偿费用18576.79万元，拆迁补偿费及相关税费117144.37万元，市政基础设施建设费2990.51万元，其他费用1188.60万元，财务费用18959.71万元，利润/管理费5491.37万元，审计费98.87万元，两税两费3494.50万元，委托入市交易服务费及地价评估费0万元，清算费用0万元。 
二、扣除已收回土地开发补偿费167699.51万元，剩余地块土地开发补偿费为1148.8万元。
三、本次提请会议研究的PF-10地块自身土地开发补偿费为0万元。按照《关于研究昌平区规划建设领域有关工作的会议纪要（北京市人民政府会议纪要第46号）》精神，结合未来科学城规划实施统筹研究北七家工业园区资金平衡问题，PF-10地块分摊北七家工业园区资金180226.76万元，提请会议研究的PF-10地块土地开发补偿费为180226.76万元。
四、实物补偿：无。</t>
  </si>
  <si>
    <t>昌平区北七家镇平坊村土地一级开发项目</t>
  </si>
  <si>
    <t>房山区良乡大学城主园区FS00-0120-0023地块</t>
  </si>
  <si>
    <t>房山区分中心</t>
  </si>
  <si>
    <t>本项目周边市政将达到六通[通路、通上水（自来水、中水），通下水（雨水、污水），通电（管沟、电缆），通讯，通燃气]。成本中市政建设程度为项目红线范围内城市支路的六通[通路、通上水（自来水、中水），通下水（雨水、污水），通电（管沟、电缆），通讯（电信，有线电视），通燃气]和场地自然平整，以上工作由房山区分中心负责于二级竣工验收前完成。</t>
  </si>
  <si>
    <t>一、经土地储备开发项目成本预审会（2016年第五期）审议，良乡大学城主园区FS00-0120-0023地块R2二类居住用地一级开发项目（原高教园区9号地）成本由房山区高教园区10号地（南侧）土地一级开发项目17-02-09、10、12地块以“先供先摊”原则分摊。2018年高教园区10号地（南侧）土地一级开发项目入市，已收回全部土地开发成本。
二、本次提请会议研究的FS00-0120-0023地块自身土地开发补偿费为0万元。按照市政府在《关于房山区利用良乡高教园区17-01-08地块（高教园区9号地）分摊轨道交通房山线北广阳城站4-6号地土地一级开发项目部分成本的意见》上的批示精神，并根据市场可接受水平测算，分摊轨道交通房山线北广阳城站4-6号地土地一级开发项目成本160000万元，分摊后，提请会议研究的FS00-0120-0023地块土地开发补偿费为160000万元。
四、实物补偿：无。</t>
  </si>
  <si>
    <t>北京良乡高教园区中央设施区中区土地一级开发项目</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</si>
  <si>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</si>
  <si>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</si>
  <si>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</si>
  <si>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</si>
  <si>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</si>
  <si>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苹果园综合交通枢纽土地一级开发项目</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</si>
  <si>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</si>
  <si>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</si>
  <si>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</si>
  <si>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</si>
  <si>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</si>
  <si>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</si>
  <si>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丰台区城乡一体化小瓦窑村旧村项目</t>
  </si>
  <si>
    <t>朝阳区十八里店朝阳港一期土地一级开发项目1303-685、1303-694地块</t>
  </si>
  <si>
    <t>北京市土地整理储备中心朝阳分中心（现已并入北京市朝阳区规划和自然资源综合事务中心）</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</si>
  <si>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</si>
  <si>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</si>
  <si>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朝阳区十八里店朝阳港一期项目</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</si>
  <si>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</si>
  <si>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</si>
  <si>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</si>
  <si>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</si>
  <si>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朝阳区太阳宫新区D区土地一级开发项目</t>
  </si>
  <si>
    <t>北京朝阳站交通枢纽南侧建设用地一体化项目</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</si>
  <si>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</si>
  <si>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</si>
  <si>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</si>
  <si>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北京朝阳站交通枢纽南侧建设用地项目</t>
  </si>
  <si>
    <t>石景山区五里坨建设组团土地一级开发项目03A、04C地块</t>
  </si>
  <si>
    <t>北京市土地储备中心及北京市土地整理储备中心石景山区分中心</t>
  </si>
  <si>
    <t xml:space="preserve">R2二类居住用地、F3多功能用地
</t>
  </si>
  <si>
    <r>
      <rPr>
        <sz val="12"/>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2"/>
        <color theme="1"/>
        <rFont val="宋体"/>
        <family val="3"/>
        <charset val="134"/>
      </rPr>
      <t>通电（管沟）</t>
    </r>
    <r>
      <rPr>
        <sz val="12"/>
        <color rgb="FF000000"/>
        <rFont val="宋体"/>
        <family val="3"/>
        <charset val="134"/>
      </rPr>
      <t>，通燃气，通热力]和场地自然平整，以上工作由区土地储备分中心负责于二级竣工验收前完成。</t>
    </r>
  </si>
  <si>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</si>
  <si>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本次提请研究地块已取得征地批复及征地结案，拆迁工作全部完成。</t>
  </si>
  <si>
    <t>石景山区中关村科技园石景山园北Ⅱ区西井地块土地一级开发项目1606-605地块</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</si>
  <si>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</si>
  <si>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</si>
  <si>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</si>
  <si>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顺义区M15号线顺西路-府前街站土地一级开发项目SY00-0001-0320地块</t>
  </si>
  <si>
    <t>北京市土地整理储备中心、北京市土地整理储备中心顺义分中心（现已并入北京市顺义规划和自然资源综合事务中心）</t>
  </si>
  <si>
    <t>R2二类居住</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</si>
  <si>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</si>
  <si>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M15号线顺西路-府前街站土地一级开发项目土地开发成本为1295156.31万元，其中，前期费用4567.35万元，征地补偿及相关税费78200.91万元，拆迁补偿费及相关税费971721.13万元，市政基础设施建设费5309.73万元，其他费用1991.62万元，财务费用207515.89万元，管理费20998.44万元，审计费657.79万元，两税两费0.00万元，委托入市交易服务费及地价评估费50.19万元，清算费用4143.26万元。
二、扣除已收回成本158059.89万元，剩余地块土地开发成本1137096.42万元。
三、区政府提请会议研究的顺义区M15号线顺西路-府前街站土地一级开发项目SY00-0001-0320地块土地开发补偿费为187064.68万元。  
四、实物补偿：无。</t>
  </si>
  <si>
    <r>
      <rPr>
        <sz val="12"/>
        <rFont val="宋体"/>
        <family val="3"/>
        <charset val="134"/>
      </rPr>
      <t xml:space="preserve">
房山区黄辛庄小区三期土地一级开发项目</t>
    </r>
    <r>
      <rPr>
        <sz val="12"/>
        <color rgb="FF000000"/>
        <rFont val="宋体"/>
        <family val="3"/>
        <charset val="134"/>
      </rPr>
      <t>FS00-LX04-0001地块（南侧）、FS00-LX04-0002地块</t>
    </r>
  </si>
  <si>
    <t>北京安顺园房地产开发有限公司</t>
  </si>
  <si>
    <t>R2二类居住用地、A33基础教育用地</t>
  </si>
  <si>
    <t>本项目周边市政将达到七通[通路、通上水（自来水、中水）、通下水（雨水、污水）、通电、通讯（电信、有线电视）、通燃气、通热力]，由房山区政府负责督促完成实施。本项目的市政建设内容为项目红线范围内城市支路的临时三通一平（除最终可保留及涉及二级开发单位继续使用的地上物外，地上无其它施工障碍物的场地自然平整；通施工临时用水、通施工临时用电、通可供施工车辆通行的道路），以上工作由北京安顺园房地产开发有限公司负责于入市前完成。</t>
  </si>
  <si>
    <t>一、经房山区政府审核，房山区黄辛庄小区三期土地一级开发项目土地开发成本为36675.27万元，其中，前期费用85.36万元，征地补偿及相关税费6843.48万元，拆迁补偿费及相关税费27826.93万元，市政基础设施建设费86.55万元，其他费用35.96万元，财务费用0万元，利润1714.83万元，审计费45.38万元，两税两费36.78万元。
二、扣除已收回成本0万元，剩余地块土地开发成本36675.27万元。
三、区政府提请会议研究的FS00-LX04-0001地块（南侧）、FS00-LX04-0002等地块土地开发补偿费为36675.27万元。  
四、实物补偿：无。</t>
  </si>
  <si>
    <t>S1线区域组团01-12地块土地一级开发项目MC00-0605-0006、0107等地块</t>
  </si>
  <si>
    <t>北京市土地整理储备中心门头沟分中心（现已并入北京市门头沟区规划和自然资源综合事务中心）</t>
  </si>
  <si>
    <t>R2二类居住用地、F3其他类多功能用地、B4综合性商业金融服务业用地、S4社会停车场用地、S5加油加气站用地</t>
  </si>
  <si>
    <t>本项目周边市政将达到七通[通路、通上水（自来水、中水）、通下水（雨水、污水）、通电、通讯（电信、有线电视）、通燃气、通热力]，由门头沟区政府负责督促完成实施。本项目的市政建设内容为项目红线范围内城市支路的三通（通路、通上水（自来水）、通电力（仅管沟））和场地自然平整，以上工作由北京市门头沟区规划和自然资源综合事务中心负责于二级竣工验收前完成。</t>
  </si>
  <si>
    <t>一、经门头沟区政府审核，S1线区域组团01-12地块土地一级开发项目土地开发成本为1792471.44万元。其中：前期费用17742.96万元，征地补偿及相关税费247885.38万元，拆迁补偿及相关费用1000,548.82万元，市政基础设施建设费30218.00万元，其他费用24730.49万元，财务费用442046.71万元，利润或管理费26422.51万元，审计费2332.01万元，委托入市交易服务费481.44万元，地价评估费63.12万元。
二、扣除已收回成本811278.10万元，剩余地块土地开发成本为981193.34万元。 
三、区政府提请会议研究的MC00-0605-0006、0107等地块土地开发补偿费为499779.96万元，具体地块土地开发补偿费如下：MC00-0605-0006地块73080万元，MC00-0605-0107地块2800万元，MC00-0605-0114地块150300万元，MC00-0605-0116地块50568万元，MC00-0605-0125地块42140万元，MC00-0605-0126地块45325万元，MC00-0605-0117地块41790万元，MC00-0605-0119地块31675万元，MC00-0605-0127地块36505万元，MC00-0605-0128地块25480万元，MC00-0605-0113地块116.96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</si>
  <si>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</si>
  <si>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</si>
  <si>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</si>
  <si>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</si>
  <si>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</si>
  <si>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</si>
  <si>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</si>
  <si>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</si>
  <si>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</si>
  <si>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</si>
  <si>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顺义区仁和镇平各庄村B地块土地一级开发项目SY00-0005-6021、6024、6033、6035、6040、6034地块</t>
  </si>
  <si>
    <t>北京市土地整理储备中心顺义区分中心
（现已并入北京市顺义区规划和自然资源综合事务中心）</t>
  </si>
  <si>
    <t>R2二类居住、B4综合性商业金融服务业用地、A334托幼用地</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</si>
  <si>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</si>
  <si>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仁和镇平各庄村B地块土地一级开发项目土地开发成本为132237.01万元，其中，前期费用930.34万元，征地补偿及相关税费41086.40万元，拆迁补偿费及相关税费47612.92万元，市政基础设施建设费12472.47万元，其他费用1657.71万元，财务费用17233.58万元，利润9256.55万元，审计费114.26万元，两税两费1872.77万元。   
二、扣除已回收成本0万元，剩余地块土地开发成本132237.01元。
三、区政府提请会议研究的顺义区仁和镇平各庄村B地块土地一级开发项目SY00-0005-6021等地块土地开发补偿费为130163.56万元，具体地块开发补偿费如下：SY00-0005-6021地块为35242.66万元、SY00-0005-6024地块为25940.37万元、SY00-0005-6033地块为35965.94万元、SY00-0005-6035地块为18890.57万元、SY00-0005-6040地块为13690.71万元、SY00-0005-6034地块为433.31万元，05-07-14局部地块不承担土地成本，纳入顺义区储备库。
四、实物补偿：1.依据与平各庄村集体签订的《征地补偿安置协议书》及征地结案，经顺义区政府研究明确，SY00-0005-6040地块内，2.13万平方米产业用房由二级竞得人代建，平各庄村集体经济组织按8500元/平方米回购。
2.依据顺义区政府《关于顺义区仁和镇平各庄村B地块土地一级开发项目范围调整有关事宜的函》（顺政函〔2016〕189号）和市领导在《关于顺义区平各庄村B地块土地一级开发项目范围调整有关问题的请示》（市规划国土文〔2016〕224号）上批示精神、《关于顺义新城第5街区6016-6040地块项目供地项目“多规合一”协同平台审核意见的函》（京规自（顺）供审函〔2021〕0011号），本次审核的SY00-0005-6033地块作为平各庄村安置用房选址用地，建筑规模42312.87平方米（需配置建筑规模不少于1000平方米的社区服务中心），建成后由仁和镇政府组织优先安排未选房平各庄村民进行回购用于回迁安置，其中28440平方米按照2100元/平方米回购、5688平方米按照3980元/平方米回购，超出上述面积部分按照8000元/平方米回购。以上全部用于平各庄村回迁安置后，剩余房源按照2100元/平方米由仁和镇政府组织纳入区保障房体系。</t>
  </si>
  <si>
    <t xml:space="preserve">大兴区西红门镇1号地土地一级开发项目 DX04-0102-6013、6029、6030、6031、6035地块 </t>
  </si>
  <si>
    <t>北京市土地整理储备中心大兴分中心（现已并入北京市大兴规划和自然资源综合事务中心）</t>
  </si>
  <si>
    <t>R2二类居住用地、A334托幼用地
、U17邮政设施用地</t>
  </si>
  <si>
    <t>本项目周边市政将达到六通[通路，通上水（自来水、中水）、通下水（雨水、污水）、通电（仅管沟）、通燃气、通讯]和场地自然平整，由大兴区人民政府负责督促完成实施。本项目的市政建设内容为项目红线范围内城市支路的四通[通路、通上水（自来水、中水）、通下水（雨水、污水）、通电]和场地自然平整，以上工作由北京市大兴区规划和自然资源综合事务中心负责于二级竣工验收前完成。</t>
  </si>
  <si>
    <t>一、经大兴区政府审核，西红门镇1号地土地一级开发项目土地开发成本为1871123.64万元，其中，前期费用5327.42万元，征地补偿及相关税费158634.53万元，拆迁补偿费及相关税费1330987.81万元，市政基础设施建设费31078.59万元，其他费用20912.03万元，财务费用241704.3万元，利润77640.95万元，审计费989.99万元，两税两费3848.02万元。
二、扣除已收回成本379720.23万元，剩余地块土地开发成本1491403.41万元。
三、区政府提请会议研究的DX04-0102-6013、6029、6030、6031、6035地块
等地块土地开发补偿费为736021.97万元，其中，经区政府审定，根据《北京市人民政府办文第00880号批办单》及《关于大兴区西红门镇征地转非安置及历史遗留费用纳入土地储备开发项目成本有关问题的请示》（京规自文[2019]164号），分摊西红门镇西区已批未转人员安置补助费、剩余拟整转人口安置补助费及西红门镇历史遗留费用143792.57万元,按照市领导在《北京市大兴区人民政府关于北京新机场噪声区治理资金方案的请示》以及《关于旧宫南街村城乡结合部改造配套用地土地一级开发项目成本分摊事宜的请示》中的批示精神，分摊噪声区治理费成本74640万元，具体地块土地开发补偿费如下：DX04-0102-6013地块为205487.87万元，DX04-0102-6029地块为1403.54万元，DX04-0102-6030地块为181312.82万元，DX04-0102-6031地块为1112.24万元，DX04-0102-6035地块为346705.50万元。 
四、实物补偿：无。</t>
  </si>
  <si>
    <t>本次提请研究地块已取得征地批复及结案，拆迁工作全部完成。</t>
  </si>
  <si>
    <t>亦庄新城0510街区YZ00-0510-0032、0033地块</t>
  </si>
  <si>
    <t>本项目周边市政将达到六通[通路，通上水（自来水、中水）、通下水（雨水、污水）、通电（仅管沟）、通燃气、通讯和场地自然平整]，由经开区管委会负责督促完成实施。本项目的市政建设内容为项目红线范围内城市支路的五通[（通路，通电（仅管沟），通上水（自来水、中水）、通下水（雨水、污水）、通燃气]和场地自然平整，以上工作由北京住总置地有限公司负责于二级竣工验收前完成。</t>
  </si>
  <si>
    <t>一、根据经开区管委会审核，两站一街项目土地开发成本为6307040.36万元，其中：前期费用58681.74万元，征地补偿及相关税费909373.45万元，拆迁补偿费及相关税费789836.00万元，市政基础设施建设费303345.14万元，其他费用30219.76万元，财务费用671488.44万元，委托管理费5756.45万元，企业开发利润189546.42万元，审计费1425.56万元，委托入市交易费51.40万元，两税两费88080.23万元，清算费用3259235.77万元。
二、扣除已收回成本1740896.18万元，剩余地块土地开发成本4566144.17万元。
三、管委会提请会议研究的YZ00-0501-0032、YZ00-0501-0033地块土地开发补偿费为360888.75万元,其中YZ00-0501-0032地块土地开发补偿费为240870.00万元，YZ00-0501-0033地块土地开发补偿费为120018.75万元。
四、实物补偿：无</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</si>
  <si>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</si>
  <si>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</si>
  <si>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</si>
  <si>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</si>
  <si>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</si>
  <si>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石景山区苹果园交通枢纽商务区土地一级开发项目1604-631-2、634地块</t>
  </si>
  <si>
    <t>北京燕金源置业有限公司</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</si>
  <si>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</si>
  <si>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</si>
  <si>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</si>
  <si>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</si>
  <si>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</si>
  <si>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</si>
  <si>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</si>
  <si>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</si>
  <si>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</si>
  <si>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</si>
  <si>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</si>
  <si>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昌平新城东区三期土地一级开发项目CP00-1002-0001地块</t>
  </si>
  <si>
    <t>北京市昌平区规划和自然资源综合事务中心</t>
  </si>
  <si>
    <t>本项目周边市政将达到七通[通路、通上水（自来水、中水）、通下水（雨水、污水）、通电（管沟、电缆）、通讯（电信、有线电视）、通燃气、通热力]，由昌平区区政府负责督促完成实施。本项目的市政建设内容为项目红线范围内城市支路的六通[通路、通上水（自来水、中水）、通下水（雨水、污水）、通电（仅管沟）、通燃气、通热力]和场地自然平整，以上工作由北京市昌平区规划和自然资源综合事务中心负责于二级竣工验收前完成。</t>
  </si>
  <si>
    <t>一、经昌平区政府审核，昌平新城东区一至十期土地一级开发项目土地开发成本为2016915.31万元，其中，前期费用19565.26万元，征地补偿及相关税费246376.40万元，拆迁补偿费及相关税费1344327.01万元，市政基础设施建设费126903.64万元，其他费用29059.57万元，财务费用205949.75万元，利润35324.64万元，审计费2241.77万元，两税两费7167.27万元。
二、扣除已收回成本269982.13万元，剩余地块土地开发成本1746933.18万元。
三、区政府提请会议研究的昌平新城东区三期土地一级开发项目CP00-1002-0001地块土地开发补偿费为216480万元。 
四、实物补偿：无。</t>
  </si>
  <si>
    <t>昌平区朱辛庄新区二期土地一级开发项目CP01-0801-0028地块</t>
  </si>
  <si>
    <t>本项目周边市政将达到六通[通路、通上水（自来水、中水）、通下水（雨水、污水）、通电、通讯（电信、有线电视）、通燃气]，由昌平区区政府负责督促完成实施。本项目的市政建设内容为项目红线范围内城市支路的五通[通路、通上水（自来水、中水）、通下水（雨水、污水）、通电（仅管沟）、通燃气]和场地自然平整，以上工作由北京未来科学城置汇建设有限公司负责于二级竣工验收前完成。</t>
  </si>
  <si>
    <t>一、经昌平区政府审核，朱辛庄新区二期土地一级开发项目土地开发成本为241185.26万元，其中，前期费用988.39万元，征地补偿及相关税费0万元，拆迁补偿费及相关税费5539.21万元，市政基础设施建设费15,134.92万元，其他费用2056.00万元，财务费用8372.32万元，利润1897.48万元，审计费34.22万元，两税两费18421.04万元。
二、扣除已收回成本136950万元，剩余地块土地开发成本104235.26万元。
三、区政府提请会议研究的CP01-0801-0028地块土地开发补偿费为91579.81万元。
四、实物补偿：无。</t>
  </si>
  <si>
    <t>北京市房山区规划和自然资源综合事务中心</t>
  </si>
  <si>
    <t>本项目周边市政将达到七通[通路、通上水（自来水、中水）、通下水（雨水、污水）、通电（管沟、电缆）、通讯（电信、有线电视）、通燃气、通热力]，由房山区政府负责督促完成实施。本项目的市政建设内容为项目红线范围内城市支路的六通[通路、通上水（自来水、中水）、通下水（雨水、污水）、通电、通讯（电信、有线电视）、通燃气]和场地自然平整，以上工作由北京市房山区规划和自然资源综合事务中心负责于二级竣工验收前完成。</t>
  </si>
  <si>
    <t>一、经房山区政府审核，高教园区土地一级开发项目土地开发成本为539895.51万元，其中，前期费用23093.83万元，征地补偿及相关税费191909.86万元，拆迁补偿费及相关税费204137.8万元，市政基础设施建设费52985.1万元，其他费用 900万元，财务费用58167.27万元，利润8383.45万元，两税两费0万元，审计费、委托入市交易费、地价评估费318.2万元。
二、扣除已收回成本527888.91万元，剩余地块土地开发成本12006.6万元。
三、本次审核地块，按照市政府对北京市规划和自然资源委员会《关于房山区利用良乡高教园区17-01-08地块（高教园区9号地）分摊轨道交通房山线北广阳城站4-6号地土地一级开发项目部分成本的意见》的批示，并经房山区政府根据市场可接受原则进行测算，明确分摊轨道交通房山线北广阳城站4-6号地土地一级开发项目成本140600万元。
四、实物补偿（无)。</t>
  </si>
  <si>
    <t>朝阳区小红门乡剩余土地一级开发项目11号地</t>
  </si>
  <si>
    <t>北京市朝阳区规划和自然资源综合事务中心</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</si>
  <si>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</si>
  <si>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</si>
  <si>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丰台区丽泽金融商务区南区土地一级开发项目FT00-0612-0016等地块</t>
  </si>
  <si>
    <t>北京丽泽开发建设有限公司</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</si>
  <si>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</si>
  <si>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</si>
  <si>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顺义区M15号线后沙峪站土地一级开发项目0020-6001地块</t>
  </si>
  <si>
    <t>北京市土地储备中心、北京市顺义区规划和自然资源综合事务中心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</si>
  <si>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燃气]和场地自然平整，以上工作由北京市顺义区规划和自然资源综合事务中心负责于二级竣工验收前完成。</t>
    </r>
  </si>
  <si>
    <r>
      <rPr>
        <sz val="12"/>
        <color theme="1"/>
        <rFont val="宋体"/>
        <family val="3"/>
        <charset val="134"/>
      </rPr>
      <t xml:space="preserve">1.增加电力费用前：
68862.16；
2.增加电力费用后：
69544.16。
</t>
    </r>
    <r>
      <rPr>
        <sz val="12"/>
        <color rgb="FFFF0000"/>
        <rFont val="宋体"/>
        <family val="3"/>
        <charset val="134"/>
      </rPr>
      <t>会后调为74952.86。</t>
    </r>
  </si>
  <si>
    <t>一、经顺义区政府审核，顺义区M15号线后沙峪站土地一级开发项目土地开发成本为176047.21万元，其中，前期费用1374.74万元，征地补偿及相关税费36436.78万元，拆迁补偿费及相关税费98258.50万元，市政基础设施建设费2818.18万元，其他费用2460.94万元，财务费用31702.43万元，利润2693.91万元，审计费131.32万元，两委托入市交易服务费170.42万元。
二、扣除已收回成本106908.89万元，剩余地块土地开发成本69138.32万元。
三、为加快资金回笼，根据市场可接受程度，本次入市6001地块拟按市场可接受原则确定土地开发补偿费，区政府提请会议研究的6001地块土地开发补偿费为68862.16万元。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682万元暂纳入土地开发补偿费，若定额标准未获得市政府批复，转为政府收益，上述地块土地开发补偿费为69544.16万元。</t>
  </si>
  <si>
    <t>顺义区后沙峪村A地块土地一级开发项目19-069地块</t>
  </si>
  <si>
    <t>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</si>
  <si>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热力]和场地自然平整，以上工作由北京市顺义区规划和自然资源综合事务中心负责于二级竣工验收前完成。</t>
    </r>
  </si>
  <si>
    <r>
      <rPr>
        <sz val="12"/>
        <color theme="1"/>
        <rFont val="宋体"/>
        <family val="3"/>
        <charset val="134"/>
      </rPr>
      <t xml:space="preserve">1.增加电力费用前：
94087.37；
2.增加电力费用后：
94719.37。
</t>
    </r>
    <r>
      <rPr>
        <sz val="12"/>
        <color rgb="FFFF0000"/>
        <rFont val="宋体"/>
        <family val="3"/>
        <charset val="134"/>
      </rPr>
      <t>会后调为95286.97</t>
    </r>
    <r>
      <rPr>
        <sz val="12"/>
        <color theme="1"/>
        <rFont val="宋体"/>
        <family val="3"/>
        <charset val="134"/>
      </rPr>
      <t>。</t>
    </r>
  </si>
  <si>
    <t>一、经顺义区政府审核，顺义区后沙峪镇后沙峪村A地块土地一级开发项目土地开发成本为278591.85万元，其中，前期费用537.79万元，征地补偿及相关税费12773.36万元，拆迁补偿费及相关税费207435.60万元，市政基础设施建设费3667.74万元，其他费用977.41万元，财务费用48575.18万元，利润或管理费4404.18万元，审计费141.56万元，两税两费0.00万元，委托入市交易服务费及地价评估费79.03万元。
二、扣除已收回成本182371.28万元，剩余地块土地开发成本96220.57万元。
三、为加快资金回笼，根据市场可接受程度，本次入市19-069地块拟按市场可接受原则确定土地开发补偿费，区政府提请会议研究的19-069地块土地开发补偿费为94087.37万元。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632万元暂纳入土地开发补偿费，若定额标准未获得市政府批复，转为政府收益，上述地块土地开发补偿费为94719.37万元。</t>
  </si>
  <si>
    <t>大兴区西红门镇1号地土地一级开发项目DX04-0102-6004、6005、6006、6007地块</t>
  </si>
  <si>
    <t>北京市大兴规划和自然资源综合事务中心</t>
  </si>
  <si>
    <t>本项目周边市政将达到六通[通路、通上水（自来水、中水）、通下水（雨水、污水）、通电、通讯（电信、有线电视）、通燃气]，由大兴区区政府负责督促完成实施。本项目的市政建设内容为项目红线范围内城市支路的四通[通路、通上水（自来水、中水）、通下水（雨水、污水）、通电（仅管沟）]和场地自然平整，以上工作由北京市大兴区规划和自然资源综合事务中心负责于二级竣工验收前完成。</t>
  </si>
  <si>
    <t>1.增加电力费用前：
650327.72；
2.增加电力费用后：
652433.52。</t>
  </si>
  <si>
    <t xml:space="preserve">一、经大兴区政府审核，西红门镇1号地土地一级开发项目土地开发成本为2388109.29万元，其中，前期费用5327.42万元，征地补偿及相关税费158634.53万元，拆迁补偿费及相关税费1330987.81万元，市政基础设施建设费31078.59万元，其他费用20912.03万元，财务费用241704.3万元，利润77640.95万元，审计费989.99万元，两税两费3848.02万元，历史遗留费用516985.65万元。
二、扣除已收回成本666953.61万元，剩余地块土地开发成本1721155.68万元。
三、根据《关于大兴区西红门镇征地转非安置及历史遗留费用纳入土地储备开发项目成本有关问题的请示》（京规自文[2019]164号）及市领导批示精神，大兴区西红门镇1号地土地一级开发项目分摊西红门镇西区已批未转人员安置补助费、剩余拟整转人口安置补助费及西红门镇历史遗留费用共计约516985.65万元，本次入市地块分摊约126789.60万元。为加快资金回笼，根据市场可接受程度，本次入市地块拟按市场可接受原则确定土地开发补偿费，区政府提请会议研究的土地开发补偿费共计650327.72万元，具体地块土地开发补偿费如下：DX04-0102-6004地块为1401.36万元，DX04-0102-6005地块为264025万元，DX04-0102-6006地块为383500万元，DX04-0102-6007地块为1401.36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2105.8万元暂纳入土地开发补偿费，若定额标准未获得市政府批复，转为政府收益，上述地块土地开发补偿费共计652433.52万元，具体地块土地开发补偿费如下：DX04-0102-6004地块为1576.26万元，DX04-0102-6005地块为264741万元，DX04-0102-6006地块为384540万元，DX04-0102-6007地块为1576.26万元。 </t>
  </si>
  <si>
    <t>1.增加电力费用前：87758.33；
2.增加电力费用后：
89422.94。</t>
  </si>
  <si>
    <t>昌平区北七家镇东二旗村土地一级开发项目CP01-1503-0001等地块</t>
  </si>
  <si>
    <t>北京金厦园房地产开发有限公司</t>
  </si>
  <si>
    <t>本项目周边市政已达到七通[通路、通上水（自来水、中水）、通下水（雨水、污水）、通电、通讯（电信、有线电视）、通燃气、通热力]。本项目的市政建设内容为项目红线范围内城市支路的五通[通路、通上水（自来水、中水）、通下水（雨水、污水）、通电（仅管沟）、通燃气]和场地自然平整，根据《昌平区土地供应工作第十二次调度会议纪要》（第73期），以上工作由北京未来科学城置地有限公司负责于二级竣工验收前完成。</t>
  </si>
  <si>
    <t>1.增加电力费用前：186607.9；
2.增加电力费用后：
189183.7。</t>
  </si>
  <si>
    <t xml:space="preserve">一、经昌平区政府审核，昌平区北七家镇东二旗村土地一级开发项目土地开发成本为274036.34万元，其中，前期费用2084.16万元，征地补偿及相关税费81388.17万元，拆迁补偿费及相关税费119479.47万元，市政基础设施建设费13573.01万元，其他费用3313.83万元，财务费用36017.19万元，利润或管理费12411.68万元，审计费268.2万元，两税两费5440.52万元，委托入市交易服务费及地价评估费60.11万元。
二、扣除已收回成本42534万元，剩余地块土地开发成本231502.34万元。
三、为加快资金回笼，根据市场可接受程度，本次入市地块拟按市场可接受原则确定土地开发补偿费，区政府提请会议研究的CP01-1503-0001等地块土地开发补偿费为186607.9万元，具体地块土地开发补偿费如下：CP01-1503-0001地块为352.49万元，CP01-1503-0003地块为119408.91万元，CP01-1503-0011地块为53346.5万元，CP01-1503-0012地块为13500万元。  
四、实物补偿：无。
五、按照《北京市电力接入工程费用纳入土地开发支出定额标准（试行）&gt;》，本次拟入市地块的电力工程费用2575.8万元纳入土地开发补偿费。上述地块土地开发补偿费共计189183.7万元，具体地块土地开发补偿费如下：CP01-1503-0001地块为553.79万元，CP01-1503-0003地块为120536.91万元，CP01-1503-0011地块为53850.5万元，CP01-1503-0012地块为14242.5万元。  </t>
  </si>
  <si>
    <t>昌平区沙河高教园区四期土地一级开发项目CP01-0302-0002等地块</t>
  </si>
  <si>
    <t>R2二类居住用地、A33基础教育用地
、A8社会综合服务设施用地</t>
  </si>
  <si>
    <t>本项目周边市政将达到六通[通路、通上水（自来水、中水）、通下水（雨水、污水）、通电、通讯（电信、有线电视）、通燃气]，由昌平区政府负责督促完成实施。本项目的市政建设内容为项目红线范围内城市支路的五通[通路、通上水（自来水、中水）、通下水（雨水、污水）、通电（仅管沟）、通燃气]和场地自然平整，以上工作由北京市昌平规划和自然资源综合事务中心负责于二级竣工验收前完成。</t>
  </si>
  <si>
    <t>1.增加电力费用前：
207290.07；
2.增加电力费用后：
208672.97。</t>
  </si>
  <si>
    <t xml:space="preserve">一、经昌平区政府审核，沙河高教园四期土地一级开发项目土地开发成本为233101.91万元，其中，前期费用4344.77万元，征地补偿及相关税费121311.47万元，拆迁补偿费及相关税费41181.89万元，市政基础设施建设费46336.85万元，其他费用4584.48万元，财务费用5171.92万元，利润或管理费8710.38万元，审计费243.36万元，两税两费1216.79万元。农机试验站地块成本134946万元。
二、扣除已收回成本0万元，剩余地块土地开发成本368047.91万元。
三、为加快资金回笼，形成滚动开发，根据市场可接受程度，本次入市地块拟按市场可接受原则确定土地开发补偿费，区政府提请会议研究的CP01-0302-0002等地块土地开发补偿费为207290.07万元，其中按照市政府关于《沙河高教园区建设发展理事会第三次会议纪要》，经昌平区政府与农机试验站初步商定价格，预估农机试验站开发资金约13.4946亿元暂纳入该项目土地成本，最终以审计结果为准。具体地块土地开发补偿费如下：CP01-0302-0002地块土地开发补偿费为40500万元，CP01-0302-0003地块土地开发补偿费为35190万元，CP01-0302-0004地块土地开发补偿费为33750万元，CP01-0302-0009地块土地开发补偿费为29520万元，CP01-0302-0010地块土地开发补偿费为31536万元，CP01-0302-0012地块土地开发补偿费为36000万元，CP01-0302-0008地块土地开发补偿费为410.36万元，CP01-0302-0013地块土地开发补偿费为383.71万元。 
四、实物补偿：无。
五、按照《北京市电力接入工程费用纳入土地开发支出定额标准（试行）&gt;》，本次拟入市地块的电力工程费用1382.9万元纳入土地开发补偿费。上述地块土地开发补偿费共计208672.97万元，具体地块土地开发补偿费如下：CP01-0302-0002地块土地开发补偿费为40680万元，CP01-0302-0003地块土地开发补偿费为35360万元，CP01-0302-0004地块土地开发补偿费为33900万元，CP01-0302-0009地块土地开发补偿费为29684万元，CP01-0302-0010地块土地开发补偿费为31682万元，CP01-0302-0012地块土地开发补偿费为36200万元，CP01-0302-0008地块土地开发补偿费为664.46万元，CP01-0302-0013地块土地开发补偿费为502.51万元。 </t>
  </si>
  <si>
    <t>本次提请研究地块征地已报市政府待批复，拆迁工作全部完成。</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</si>
</sst>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 numFmtId="198" formatCode="0.00_);\(0.00\)"/>
  </numFmts>
  <fonts count="31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Arial"/>
      <family val="3"/>
      <charset val="134"/>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sz val="11"/>
      <color rgb="FF000000"/>
      <name val="宋体"/>
      <family val="3"/>
      <charset val="134"/>
    </font>
    <font>
      <sz val="12"/>
      <color indexed="8"/>
      <name val="宋体"/>
      <family val="3"/>
      <charset val="134"/>
    </font>
    <font>
      <sz val="12"/>
      <color theme="1"/>
      <name val="宋体"/>
      <family val="3"/>
      <charset val="134"/>
    </font>
    <font>
      <sz val="12"/>
      <color rgb="FF000000"/>
      <name val="宋体"/>
      <family val="3"/>
      <charset val="134"/>
    </font>
    <font>
      <sz val="11"/>
      <name val="Times New Roman"/>
      <family val="1"/>
    </font>
    <font>
      <sz val="11"/>
      <color indexed="8"/>
      <name val="宋体"/>
      <family val="3"/>
      <charset val="134"/>
      <scheme val="minor"/>
    </font>
    <font>
      <sz val="11"/>
      <color rgb="FF000000"/>
      <name val="宋体"/>
      <family val="3"/>
      <charset val="134"/>
      <scheme val="minor"/>
    </font>
    <font>
      <sz val="11"/>
      <color rgb="FF000000"/>
      <name val="Times New Roman"/>
      <family val="1"/>
    </font>
    <font>
      <sz val="8"/>
      <color indexed="8"/>
      <name val="宋体"/>
      <family val="3"/>
      <charset val="134"/>
    </font>
    <font>
      <sz val="14"/>
      <color indexed="8"/>
      <name val="宋体"/>
      <family val="3"/>
      <charset val="134"/>
    </font>
    <font>
      <sz val="16"/>
      <color indexed="8"/>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4" fillId="0" borderId="0"/>
    <xf numFmtId="0" fontId="143" fillId="0" borderId="0">
      <alignment vertical="center"/>
    </xf>
    <xf numFmtId="0" fontId="143" fillId="0" borderId="0"/>
    <xf numFmtId="0" fontId="143" fillId="0" borderId="0">
      <alignment vertical="center"/>
    </xf>
    <xf numFmtId="0" fontId="4" fillId="0" borderId="0">
      <alignment vertical="center"/>
    </xf>
    <xf numFmtId="9" fontId="34" fillId="0" borderId="0" applyFont="0" applyFill="0" applyBorder="0" applyAlignment="0" applyProtection="0">
      <alignment vertical="center"/>
    </xf>
    <xf numFmtId="0" fontId="143" fillId="0" borderId="0">
      <alignment vertical="center"/>
    </xf>
    <xf numFmtId="0" fontId="3" fillId="0" borderId="0">
      <alignment vertical="center"/>
    </xf>
    <xf numFmtId="0" fontId="252" fillId="0" borderId="0"/>
    <xf numFmtId="0" fontId="3" fillId="0" borderId="0">
      <alignment vertical="center"/>
    </xf>
    <xf numFmtId="9" fontId="281" fillId="0" borderId="0" applyFont="0" applyFill="0" applyBorder="0" applyAlignment="0" applyProtection="0">
      <alignment vertical="center"/>
    </xf>
    <xf numFmtId="195" fontId="143" fillId="0" borderId="0">
      <alignment vertical="center"/>
    </xf>
    <xf numFmtId="0" fontId="2" fillId="0" borderId="0"/>
    <xf numFmtId="0" fontId="79" fillId="0" borderId="0">
      <alignment vertical="center"/>
    </xf>
    <xf numFmtId="0" fontId="79" fillId="0" borderId="0">
      <alignment vertical="center"/>
    </xf>
    <xf numFmtId="0" fontId="143" fillId="0" borderId="0">
      <alignment vertical="center"/>
    </xf>
    <xf numFmtId="43" fontId="143" fillId="0" borderId="0" applyFont="0" applyFill="0" applyBorder="0" applyAlignment="0" applyProtection="0">
      <alignment vertical="center"/>
    </xf>
  </cellStyleXfs>
  <cellXfs count="4236">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0"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8" fontId="73" fillId="5" borderId="2" xfId="2" applyNumberFormat="1" applyFont="1" applyFill="1" applyBorder="1" applyAlignment="1" applyProtection="1">
      <alignment horizontal="center"/>
    </xf>
    <xf numFmtId="0" fontId="73" fillId="5" borderId="2" xfId="2" applyFont="1" applyFill="1" applyBorder="1" applyAlignment="1" applyProtection="1"/>
    <xf numFmtId="178"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0"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44" fillId="5" borderId="31" xfId="3" applyFont="1" applyFill="1" applyBorder="1" applyProtection="1">
      <alignment vertical="center"/>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65" fillId="5" borderId="0" xfId="3" applyFont="1" applyFill="1" applyBorder="1" applyProtection="1">
      <alignment vertical="center"/>
    </xf>
    <xf numFmtId="0" fontId="166" fillId="5" borderId="0" xfId="3" applyFont="1" applyFill="1" applyProtection="1">
      <alignment vertical="center"/>
    </xf>
    <xf numFmtId="0" fontId="165" fillId="5" borderId="0" xfId="3" applyFont="1" applyFill="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62" fillId="5" borderId="1"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93" fillId="5" borderId="2" xfId="2" applyFont="1" applyFill="1" applyBorder="1" applyAlignment="1" applyProtection="1">
      <alignment horizontal="left"/>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163" fillId="5" borderId="21" xfId="3" applyFont="1" applyFill="1" applyBorder="1" applyAlignment="1" applyProtection="1">
      <alignment horizontal="left" vertical="center" wrapText="1"/>
    </xf>
    <xf numFmtId="0" fontId="41" fillId="5" borderId="0" xfId="3" applyFont="1" applyFill="1" applyBorder="1" applyAlignment="1" applyProtection="1">
      <alignment vertical="center" wrapText="1"/>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0" fontId="76" fillId="5" borderId="2" xfId="0"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3"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3" fillId="5" borderId="2" xfId="0" applyFont="1" applyFill="1" applyBorder="1" applyAlignment="1" applyProtection="1">
      <alignment horizontal="center" vertical="center" wrapText="1"/>
    </xf>
    <xf numFmtId="0" fontId="163" fillId="5" borderId="10" xfId="0" applyFont="1" applyFill="1" applyBorder="1" applyAlignment="1" applyProtection="1">
      <alignment horizontal="center" vertical="center" wrapText="1"/>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41"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69"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3"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pplyProtection="1">
      <alignment vertical="center"/>
    </xf>
    <xf numFmtId="0" fontId="13"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20"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2"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56"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104" fillId="16" borderId="83" xfId="0" applyFont="1" applyFill="1" applyBorder="1" applyAlignment="1" applyProtection="1">
      <alignment horizontal="center" vertical="center"/>
    </xf>
    <xf numFmtId="0" fontId="165"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pplyProtection="1">
      <alignment horizontal="left" vertical="center" wrapText="1"/>
    </xf>
    <xf numFmtId="0" fontId="234" fillId="12"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9"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pplyProtection="1">
      <alignment horizontal="left" vertical="center"/>
    </xf>
    <xf numFmtId="0" fontId="19" fillId="15" borderId="0" xfId="1" applyFont="1" applyFill="1" applyAlignment="1" applyProtection="1">
      <alignment horizontal="left" vertical="center"/>
    </xf>
    <xf numFmtId="0" fontId="155" fillId="15" borderId="122" xfId="10" applyFont="1" applyFill="1" applyBorder="1" applyAlignment="1">
      <alignment horizontal="left" vertical="center"/>
    </xf>
    <xf numFmtId="0" fontId="155" fillId="15" borderId="0" xfId="10" applyFont="1" applyFill="1" applyBorder="1" applyAlignment="1">
      <alignment horizontal="left" vertical="center"/>
    </xf>
    <xf numFmtId="0" fontId="236" fillId="15" borderId="0" xfId="13" applyFont="1" applyFill="1" applyBorder="1" applyAlignment="1" applyProtection="1">
      <alignment horizontal="left" vertical="center"/>
      <protection locked="0"/>
    </xf>
    <xf numFmtId="0" fontId="155" fillId="15" borderId="0" xfId="10" applyFont="1" applyFill="1" applyAlignment="1">
      <alignment horizontal="left" vertical="center"/>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9"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pplyProtection="1">
      <alignment horizontal="left" vertical="center" wrapText="1"/>
    </xf>
    <xf numFmtId="0" fontId="234" fillId="11" borderId="120" xfId="10" applyFont="1" applyFill="1" applyBorder="1" applyAlignment="1" applyProtection="1">
      <alignment horizontal="left" vertical="center" wrapText="1"/>
    </xf>
    <xf numFmtId="0"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pplyProtection="1">
      <alignment horizontal="left" vertical="center" wrapText="1"/>
    </xf>
    <xf numFmtId="0"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pplyProtection="1">
      <alignment horizontal="left" vertical="center" wrapText="1"/>
    </xf>
    <xf numFmtId="0" fontId="234" fillId="11"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pplyProtection="1">
      <alignment horizontal="left" vertical="center" wrapText="1"/>
    </xf>
    <xf numFmtId="0"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1" borderId="130" xfId="10" applyFont="1" applyFill="1" applyBorder="1" applyAlignment="1" applyProtection="1">
      <alignment horizontal="left" vertical="center" wrapText="1"/>
    </xf>
    <xf numFmtId="0"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pplyProtection="1">
      <alignment horizontal="left" vertical="center" wrapText="1"/>
    </xf>
    <xf numFmtId="0" fontId="234" fillId="12"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pplyProtection="1">
      <alignment horizontal="left" vertical="center" wrapText="1"/>
    </xf>
    <xf numFmtId="0"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pplyProtection="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2" borderId="120"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1" borderId="124"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234" fillId="11" borderId="130" xfId="10"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6" borderId="0" xfId="0" applyFont="1" applyFill="1" applyAlignment="1" applyProtection="1">
      <alignment horizontal="left" vertical="center"/>
    </xf>
    <xf numFmtId="0"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0" fontId="80" fillId="16" borderId="0" xfId="0" applyFont="1" applyFill="1" applyProtection="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pplyProtection="1">
      <alignment horizontal="right" vertical="center"/>
    </xf>
    <xf numFmtId="0"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0"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0" fontId="74" fillId="16"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178"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Alignment="1" applyProtection="1">
      <alignment vertical="center"/>
      <protection locked="0"/>
    </xf>
    <xf numFmtId="0" fontId="19" fillId="12" borderId="0" xfId="0" applyFont="1" applyFill="1" applyAlignment="1" applyProtection="1">
      <alignment horizontal="center" vertical="center"/>
      <protection locked="0"/>
    </xf>
    <xf numFmtId="180" fontId="19"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pplyAlignment="1" applyProtection="1">
      <alignment vertical="center"/>
    </xf>
    <xf numFmtId="0" fontId="199" fillId="12" borderId="0" xfId="0" applyFont="1" applyFill="1" applyAlignment="1" applyProtection="1">
      <alignment horizontal="left" vertical="center"/>
    </xf>
    <xf numFmtId="0" fontId="200" fillId="12" borderId="0" xfId="0" applyFont="1" applyFill="1" applyAlignment="1" applyProtection="1">
      <alignment horizontal="left" vertical="center"/>
    </xf>
    <xf numFmtId="0"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0" fontId="151" fillId="12" borderId="0" xfId="0" applyFont="1" applyFill="1" applyAlignment="1" applyProtection="1">
      <alignment horizontal="left" vertical="center"/>
    </xf>
    <xf numFmtId="0" fontId="256" fillId="12" borderId="0" xfId="0" applyFont="1" applyFill="1" applyAlignment="1" applyProtection="1">
      <alignment vertical="center"/>
    </xf>
    <xf numFmtId="0" fontId="126" fillId="0" borderId="100" xfId="0" applyFont="1" applyBorder="1" applyAlignment="1" applyProtection="1">
      <alignment horizontal="left" vertical="center" wrapText="1"/>
      <protection locked="0"/>
    </xf>
    <xf numFmtId="0" fontId="126" fillId="0" borderId="100" xfId="0" applyNumberFormat="1" applyFont="1" applyFill="1" applyBorder="1" applyAlignment="1" applyProtection="1">
      <alignment horizontal="left" vertical="center" wrapText="1"/>
      <protection locked="0"/>
    </xf>
    <xf numFmtId="0" fontId="126" fillId="0" borderId="100" xfId="0" applyFont="1" applyFill="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03"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50" fillId="5" borderId="46"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6"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6"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6" fillId="5" borderId="0" xfId="3" applyFont="1" applyFill="1" applyAlignment="1" applyProtection="1">
      <alignment vertical="center" wrapText="1"/>
      <protection locked="0"/>
    </xf>
    <xf numFmtId="0" fontId="82"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2"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5" fillId="12" borderId="0" xfId="2"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2" applyNumberFormat="1" applyFont="1" applyFill="1" applyBorder="1" applyAlignment="1" applyProtection="1">
      <alignment horizontal="center" vertical="center"/>
      <protection locked="0"/>
    </xf>
    <xf numFmtId="0" fontId="84" fillId="0" borderId="2" xfId="2" applyFont="1" applyFill="1" applyBorder="1" applyAlignment="1" applyProtection="1">
      <alignment horizontal="center" vertical="center"/>
      <protection locked="0"/>
    </xf>
    <xf numFmtId="178" fontId="111" fillId="0" borderId="2" xfId="2"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9"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applyProtection="1"/>
    <xf numFmtId="0"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0"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0" fontId="73" fillId="5" borderId="14" xfId="0" applyFont="1" applyFill="1" applyBorder="1" applyAlignment="1" applyProtection="1"/>
    <xf numFmtId="0"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0" fontId="73" fillId="5" borderId="37" xfId="0" applyFont="1" applyFill="1" applyBorder="1" applyAlignment="1" applyProtection="1"/>
    <xf numFmtId="0" fontId="73" fillId="5" borderId="38" xfId="0" applyFont="1" applyFill="1" applyBorder="1" applyAlignment="1" applyProtection="1"/>
    <xf numFmtId="10" fontId="73" fillId="5" borderId="83" xfId="0" applyNumberFormat="1" applyFont="1" applyFill="1" applyBorder="1" applyAlignment="1" applyProtection="1">
      <alignment horizontal="center"/>
    </xf>
    <xf numFmtId="0"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0" fontId="73" fillId="5" borderId="61" xfId="0" applyFont="1" applyFill="1" applyBorder="1" applyAlignment="1" applyProtection="1"/>
    <xf numFmtId="0" fontId="47" fillId="5" borderId="68" xfId="0" applyFont="1" applyFill="1" applyBorder="1" applyAlignment="1" applyProtection="1"/>
    <xf numFmtId="0" fontId="73" fillId="5" borderId="66" xfId="0" applyFont="1" applyFill="1" applyBorder="1" applyAlignment="1" applyProtection="1"/>
    <xf numFmtId="0" fontId="154" fillId="5" borderId="83" xfId="0" applyFont="1" applyFill="1" applyBorder="1" applyAlignment="1" applyProtection="1">
      <alignment horizontal="center" vertical="center" wrapText="1"/>
    </xf>
    <xf numFmtId="0"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0" fontId="154" fillId="5" borderId="37" xfId="0" applyFont="1" applyFill="1" applyBorder="1" applyAlignment="1" applyProtection="1">
      <alignment vertical="center" wrapText="1"/>
    </xf>
    <xf numFmtId="0" fontId="98" fillId="5" borderId="37" xfId="0" applyFont="1" applyFill="1" applyBorder="1" applyAlignment="1" applyProtection="1">
      <alignment vertical="center" wrapText="1"/>
    </xf>
    <xf numFmtId="0"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0"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0" fontId="104" fillId="5" borderId="0" xfId="6" applyNumberFormat="1" applyFont="1" applyFill="1" applyBorder="1" applyAlignment="1" applyProtection="1">
      <alignment horizontal="center"/>
    </xf>
    <xf numFmtId="0" fontId="104" fillId="0" borderId="0" xfId="6" applyNumberFormat="1" applyFont="1" applyFill="1" applyBorder="1" applyAlignment="1" applyProtection="1">
      <alignment horizontal="center"/>
      <protection locked="0"/>
    </xf>
    <xf numFmtId="0" fontId="5" fillId="0" borderId="0" xfId="6" applyFont="1" applyAlignment="1" applyProtection="1">
      <alignment horizontal="left"/>
      <protection locked="0"/>
    </xf>
    <xf numFmtId="0" fontId="278"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5" fillId="0" borderId="0" xfId="6" applyFont="1" applyAlignment="1">
      <alignment horizontal="left"/>
    </xf>
    <xf numFmtId="0"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0"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Fill="1" applyBorder="1" applyAlignment="1" applyProtection="1">
      <alignment horizontal="left" vertical="center"/>
      <protection locked="0"/>
    </xf>
    <xf numFmtId="0" fontId="93" fillId="0" borderId="12" xfId="6" applyFont="1" applyFill="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pplyAlignment="1" applyProtection="1">
      <alignment vertical="center"/>
    </xf>
    <xf numFmtId="0"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pplyProtection="1">
      <alignment vertical="center"/>
    </xf>
    <xf numFmtId="0" fontId="84" fillId="0" borderId="2" xfId="6" applyFont="1" applyFill="1" applyBorder="1" applyAlignment="1" applyProtection="1">
      <alignment horizontal="left" vertical="center"/>
      <protection locked="0"/>
    </xf>
    <xf numFmtId="0" fontId="84" fillId="0" borderId="10" xfId="6" applyFont="1" applyFill="1" applyBorder="1" applyAlignment="1" applyProtection="1">
      <alignment horizontal="left" vertical="center"/>
      <protection locked="0"/>
    </xf>
    <xf numFmtId="0" fontId="84" fillId="0" borderId="25" xfId="6" applyFont="1" applyFill="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pplyBorder="1" applyAlignment="1" applyProtection="1">
      <alignment vertical="center"/>
    </xf>
    <xf numFmtId="0" fontId="74" fillId="0" borderId="44" xfId="6" applyFont="1" applyFill="1" applyBorder="1" applyAlignment="1" applyProtection="1">
      <alignment horizontal="left" vertical="center"/>
      <protection locked="0"/>
    </xf>
    <xf numFmtId="0" fontId="125" fillId="5" borderId="13" xfId="6" applyFont="1" applyFill="1" applyBorder="1" applyAlignment="1" applyProtection="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Fill="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Fill="1" applyBorder="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0" fontId="84" fillId="0" borderId="5" xfId="6" applyFont="1" applyFill="1" applyBorder="1" applyAlignment="1" applyProtection="1">
      <alignment vertical="center"/>
      <protection locked="0"/>
    </xf>
    <xf numFmtId="0"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0" fontId="84" fillId="0" borderId="12" xfId="6" applyFont="1" applyFill="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Fill="1" applyBorder="1" applyAlignment="1" applyProtection="1">
      <alignment horizontal="left" vertical="center" wrapText="1"/>
      <protection locked="0"/>
    </xf>
    <xf numFmtId="0" fontId="84" fillId="0" borderId="0" xfId="6" applyFont="1" applyFill="1" applyAlignment="1" applyProtection="1">
      <alignment horizontal="left" vertical="center"/>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4" fillId="0" borderId="0" xfId="6" applyFont="1" applyFill="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Fill="1" applyBorder="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0"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0"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0" borderId="0" xfId="6" applyFont="1" applyFill="1" applyBorder="1" applyAlignment="1" applyProtection="1">
      <alignment horizontal="left"/>
      <protection locked="0"/>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125" fillId="0" borderId="0" xfId="6" applyFont="1" applyFill="1" applyAlignment="1" applyProtection="1">
      <alignment horizontal="left"/>
      <protection locked="0"/>
    </xf>
    <xf numFmtId="0" fontId="5"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9" fillId="5" borderId="55" xfId="6" applyFont="1" applyFill="1" applyBorder="1" applyAlignment="1" applyProtection="1">
      <alignment vertical="center"/>
      <protection locked="0"/>
    </xf>
    <xf numFmtId="0" fontId="162"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3" fillId="5" borderId="11" xfId="0" applyFont="1" applyFill="1" applyBorder="1" applyAlignment="1" applyProtection="1">
      <alignment horizontal="left" vertical="center"/>
    </xf>
    <xf numFmtId="0"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2" fillId="5" borderId="6" xfId="0" applyFont="1" applyFill="1" applyBorder="1" applyAlignment="1" applyProtection="1">
      <alignment horizontal="left" vertical="center" wrapText="1"/>
    </xf>
    <xf numFmtId="0" fontId="162" fillId="5" borderId="7" xfId="0" applyFont="1" applyFill="1" applyBorder="1" applyAlignment="1" applyProtection="1">
      <alignment horizontal="left" vertical="center" wrapText="1"/>
    </xf>
    <xf numFmtId="0" fontId="162" fillId="5" borderId="2" xfId="0" applyFont="1" applyFill="1" applyBorder="1" applyAlignment="1" applyProtection="1">
      <alignment horizontal="left" vertical="center" wrapText="1"/>
    </xf>
    <xf numFmtId="0" fontId="162" fillId="5" borderId="12"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wrapText="1"/>
    </xf>
    <xf numFmtId="0" fontId="162" fillId="5" borderId="25" xfId="0" applyFont="1" applyFill="1" applyBorder="1" applyAlignment="1" applyProtection="1">
      <alignment horizontal="left" vertical="center" wrapText="1"/>
    </xf>
    <xf numFmtId="0" fontId="162" fillId="5" borderId="4" xfId="0" applyFont="1" applyFill="1" applyBorder="1" applyAlignment="1" applyProtection="1">
      <alignment horizontal="left" vertical="center" wrapText="1"/>
    </xf>
    <xf numFmtId="0" fontId="162" fillId="5" borderId="5" xfId="0" applyFont="1" applyFill="1" applyBorder="1" applyAlignment="1" applyProtection="1">
      <alignment horizontal="left" vertical="center" wrapText="1"/>
    </xf>
    <xf numFmtId="0" fontId="162" fillId="5" borderId="9" xfId="0" applyFont="1" applyFill="1" applyBorder="1" applyAlignment="1" applyProtection="1">
      <alignment horizontal="left" vertical="center" wrapText="1"/>
    </xf>
    <xf numFmtId="0" fontId="162" fillId="5" borderId="29" xfId="0" applyFont="1" applyFill="1" applyBorder="1" applyAlignment="1" applyProtection="1">
      <alignment horizontal="left" vertical="center"/>
    </xf>
    <xf numFmtId="0" fontId="162" fillId="5" borderId="42" xfId="0" applyFont="1" applyFill="1" applyBorder="1" applyAlignment="1" applyProtection="1">
      <alignment horizontal="left" vertical="center"/>
    </xf>
    <xf numFmtId="0" fontId="162" fillId="5" borderId="7" xfId="0" applyFont="1" applyFill="1" applyBorder="1" applyAlignment="1" applyProtection="1">
      <alignment horizontal="left" vertical="center"/>
    </xf>
    <xf numFmtId="0" fontId="162" fillId="5" borderId="0" xfId="0" applyFont="1" applyFill="1" applyBorder="1" applyAlignment="1" applyProtection="1">
      <alignment horizontal="left" vertical="center"/>
    </xf>
    <xf numFmtId="0" fontId="162" fillId="5" borderId="5" xfId="0" applyFont="1" applyFill="1" applyBorder="1" applyAlignment="1" applyProtection="1">
      <alignment horizontal="left" vertical="center"/>
    </xf>
    <xf numFmtId="0" fontId="162" fillId="5" borderId="9" xfId="0" applyFont="1" applyFill="1" applyBorder="1" applyAlignment="1" applyProtection="1">
      <alignment horizontal="left" vertical="center"/>
    </xf>
    <xf numFmtId="0" fontId="162" fillId="5" borderId="12" xfId="0" applyFont="1" applyFill="1" applyBorder="1" applyAlignment="1" applyProtection="1">
      <alignment horizontal="left" vertical="center"/>
    </xf>
    <xf numFmtId="0" fontId="162" fillId="5" borderId="45" xfId="0" applyFont="1" applyFill="1" applyBorder="1" applyAlignment="1" applyProtection="1">
      <alignment horizontal="left" vertical="center"/>
    </xf>
    <xf numFmtId="0" fontId="162" fillId="5" borderId="47" xfId="0" applyFont="1" applyFill="1" applyBorder="1" applyAlignment="1" applyProtection="1">
      <alignment horizontal="left" vertical="center"/>
    </xf>
    <xf numFmtId="0" fontId="162" fillId="5" borderId="46" xfId="0" applyFont="1" applyFill="1" applyBorder="1" applyAlignment="1" applyProtection="1">
      <alignment horizontal="left" vertical="center"/>
    </xf>
    <xf numFmtId="0" fontId="162" fillId="5" borderId="33" xfId="0" applyFont="1" applyFill="1" applyBorder="1" applyAlignment="1" applyProtection="1">
      <alignment horizontal="left" vertical="center"/>
    </xf>
    <xf numFmtId="0" fontId="162" fillId="5" borderId="83" xfId="0" applyFont="1" applyFill="1" applyBorder="1" applyAlignment="1" applyProtection="1">
      <alignment horizontal="left" vertical="center"/>
    </xf>
    <xf numFmtId="0" fontId="162" fillId="5" borderId="49" xfId="0" applyFont="1" applyFill="1" applyBorder="1" applyAlignment="1" applyProtection="1">
      <alignment horizontal="left" vertical="center"/>
    </xf>
    <xf numFmtId="0" fontId="162" fillId="5" borderId="62" xfId="0" applyFont="1" applyFill="1" applyBorder="1" applyAlignment="1" applyProtection="1">
      <alignment horizontal="left" vertical="center"/>
    </xf>
    <xf numFmtId="0" fontId="162" fillId="5" borderId="34" xfId="0" applyFont="1" applyFill="1" applyBorder="1" applyAlignment="1" applyProtection="1">
      <alignment horizontal="left" vertical="center"/>
    </xf>
    <xf numFmtId="0"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0" fontId="198" fillId="5" borderId="22" xfId="0" applyFont="1" applyFill="1" applyBorder="1" applyAlignment="1" applyProtection="1">
      <alignment vertical="center"/>
    </xf>
    <xf numFmtId="0" fontId="198" fillId="5" borderId="24" xfId="0" applyFont="1" applyFill="1" applyBorder="1" applyAlignment="1" applyProtection="1">
      <alignment vertical="center"/>
    </xf>
    <xf numFmtId="0" fontId="150" fillId="5" borderId="22" xfId="0" applyFont="1" applyFill="1" applyBorder="1" applyAlignment="1" applyProtection="1">
      <alignment vertical="center"/>
    </xf>
    <xf numFmtId="0" fontId="150" fillId="5" borderId="24" xfId="0" applyFont="1" applyFill="1" applyBorder="1" applyAlignment="1" applyProtection="1">
      <alignment vertical="center"/>
    </xf>
    <xf numFmtId="0"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0" fontId="201"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1"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2" fillId="5" borderId="11" xfId="0" applyFont="1" applyFill="1" applyBorder="1" applyAlignment="1" applyProtection="1">
      <alignment horizontal="left" vertical="center"/>
    </xf>
    <xf numFmtId="0" fontId="282" fillId="5" borderId="2" xfId="0" applyFont="1" applyFill="1" applyBorder="1" applyAlignment="1" applyProtection="1">
      <alignment horizontal="left" vertical="center"/>
    </xf>
    <xf numFmtId="0" fontId="282" fillId="5" borderId="12" xfId="0" applyFont="1" applyFill="1" applyBorder="1" applyAlignment="1" applyProtection="1">
      <alignment horizontal="left" vertical="center"/>
    </xf>
    <xf numFmtId="0"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0" fontId="282" fillId="5" borderId="11"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protection locked="0"/>
    </xf>
    <xf numFmtId="0" fontId="282" fillId="5" borderId="0" xfId="0" applyFont="1" applyFill="1" applyBorder="1" applyAlignment="1" applyProtection="1">
      <alignment horizontal="left" vertical="center"/>
      <protection locked="0"/>
    </xf>
    <xf numFmtId="0" fontId="282" fillId="5" borderId="65"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xf>
    <xf numFmtId="0" fontId="282" fillId="5" borderId="0" xfId="0" applyFont="1" applyFill="1" applyBorder="1" applyAlignment="1" applyProtection="1">
      <alignment horizontal="left" vertical="center"/>
    </xf>
    <xf numFmtId="0" fontId="282" fillId="5" borderId="65" xfId="0" applyFont="1" applyFill="1" applyBorder="1" applyAlignment="1" applyProtection="1">
      <alignment horizontal="left" vertical="center"/>
    </xf>
    <xf numFmtId="0" fontId="282" fillId="5" borderId="31" xfId="0" applyFont="1" applyFill="1" applyBorder="1" applyAlignment="1" applyProtection="1">
      <alignment horizontal="left"/>
    </xf>
    <xf numFmtId="0" fontId="282" fillId="5" borderId="0" xfId="0" applyFont="1" applyFill="1" applyBorder="1" applyAlignment="1" applyProtection="1">
      <alignment horizontal="left"/>
    </xf>
    <xf numFmtId="0" fontId="282" fillId="5" borderId="65" xfId="0" applyFont="1" applyFill="1" applyBorder="1" applyAlignment="1" applyProtection="1">
      <alignment horizontal="left"/>
    </xf>
    <xf numFmtId="0" fontId="282" fillId="5" borderId="11" xfId="0" applyFont="1" applyFill="1" applyBorder="1" applyAlignment="1" applyProtection="1">
      <alignment horizontal="left"/>
    </xf>
    <xf numFmtId="0" fontId="282" fillId="21" borderId="2" xfId="0" applyFont="1" applyFill="1" applyBorder="1" applyAlignment="1" applyProtection="1">
      <alignment horizontal="left"/>
    </xf>
    <xf numFmtId="0" fontId="282" fillId="5" borderId="2" xfId="0" applyFont="1" applyFill="1" applyBorder="1" applyAlignment="1" applyProtection="1">
      <alignment horizontal="left"/>
    </xf>
    <xf numFmtId="0" fontId="282" fillId="5" borderId="5" xfId="0" applyFont="1" applyFill="1" applyBorder="1" applyAlignment="1" applyProtection="1">
      <alignment horizontal="left"/>
    </xf>
    <xf numFmtId="0" fontId="282" fillId="5" borderId="8" xfId="0" applyFont="1" applyFill="1" applyBorder="1" applyAlignment="1" applyProtection="1">
      <alignment horizontal="left"/>
    </xf>
    <xf numFmtId="0" fontId="282" fillId="5" borderId="16" xfId="0" applyFont="1" applyFill="1" applyBorder="1" applyAlignment="1" applyProtection="1">
      <alignment horizontal="left"/>
    </xf>
    <xf numFmtId="9" fontId="282" fillId="5" borderId="2" xfId="0" applyNumberFormat="1" applyFont="1" applyFill="1" applyBorder="1" applyAlignment="1" applyProtection="1">
      <alignment horizontal="left"/>
    </xf>
    <xf numFmtId="0" fontId="282" fillId="5" borderId="43" xfId="0" applyFont="1" applyFill="1" applyBorder="1" applyAlignment="1" applyProtection="1">
      <alignment horizontal="left"/>
    </xf>
    <xf numFmtId="0" fontId="282" fillId="21" borderId="44" xfId="0" applyFont="1" applyFill="1" applyBorder="1" applyAlignment="1" applyProtection="1">
      <alignment horizontal="left"/>
    </xf>
    <xf numFmtId="0" fontId="282" fillId="5" borderId="44" xfId="0" applyFont="1" applyFill="1" applyBorder="1" applyAlignment="1" applyProtection="1">
      <alignment horizontal="left"/>
    </xf>
    <xf numFmtId="0" fontId="282" fillId="5" borderId="61" xfId="0" applyFont="1" applyFill="1" applyBorder="1" applyAlignment="1" applyProtection="1">
      <alignment horizontal="left"/>
    </xf>
    <xf numFmtId="0" fontId="282"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0" fontId="76" fillId="6" borderId="10" xfId="0" applyFont="1" applyFill="1" applyBorder="1" applyAlignment="1" applyProtection="1">
      <alignment horizontal="left" vertical="center" wrapText="1"/>
      <protection locked="0"/>
    </xf>
    <xf numFmtId="0" fontId="165" fillId="5" borderId="0" xfId="0" applyFont="1" applyFill="1" applyAlignment="1" applyProtection="1">
      <alignment horizontal="center" vertical="center"/>
    </xf>
    <xf numFmtId="178" fontId="79" fillId="0" borderId="2" xfId="2" applyNumberFormat="1" applyFont="1" applyFill="1" applyBorder="1" applyAlignment="1" applyProtection="1">
      <alignment vertical="center"/>
      <protection locked="0"/>
    </xf>
    <xf numFmtId="0" fontId="167" fillId="5" borderId="0" xfId="3" applyFont="1" applyFill="1" applyAlignment="1" applyProtection="1">
      <alignment vertical="center"/>
    </xf>
    <xf numFmtId="177" fontId="284" fillId="0" borderId="0" xfId="5" applyNumberFormat="1" applyFont="1" applyBorder="1" applyAlignment="1" applyProtection="1">
      <alignment horizontal="left" vertical="center"/>
    </xf>
    <xf numFmtId="0" fontId="155" fillId="0" borderId="148" xfId="13" applyNumberFormat="1" applyFont="1" applyBorder="1" applyAlignment="1" applyProtection="1">
      <alignment horizontal="left" vertical="center"/>
    </xf>
    <xf numFmtId="0" fontId="285" fillId="15" borderId="0" xfId="13" applyNumberFormat="1" applyFont="1" applyFill="1" applyAlignment="1" applyProtection="1">
      <alignment horizontal="left" vertical="center"/>
    </xf>
    <xf numFmtId="0" fontId="155" fillId="0" borderId="0" xfId="13" applyNumberFormat="1" applyFont="1" applyFill="1" applyAlignment="1" applyProtection="1">
      <alignment horizontal="left" vertical="center"/>
    </xf>
    <xf numFmtId="0" fontId="84" fillId="5" borderId="2" xfId="13" applyNumberFormat="1" applyFont="1" applyFill="1" applyBorder="1" applyAlignment="1" applyProtection="1">
      <alignment horizontal="left" vertical="center" wrapText="1"/>
    </xf>
    <xf numFmtId="0" fontId="93" fillId="22" borderId="2" xfId="13" applyNumberFormat="1" applyFont="1" applyFill="1" applyBorder="1" applyAlignment="1" applyProtection="1">
      <alignment horizontal="left" vertical="center" wrapText="1"/>
    </xf>
    <xf numFmtId="0" fontId="84" fillId="16" borderId="159" xfId="13" applyNumberFormat="1" applyFont="1" applyFill="1" applyBorder="1" applyAlignment="1" applyProtection="1">
      <alignment horizontal="left" vertical="center" wrapText="1"/>
    </xf>
    <xf numFmtId="0" fontId="155" fillId="0" borderId="0" xfId="13" applyNumberFormat="1" applyFont="1" applyAlignment="1" applyProtection="1">
      <alignment horizontal="left" vertical="center"/>
    </xf>
    <xf numFmtId="0" fontId="232" fillId="0" borderId="0" xfId="13" applyNumberFormat="1" applyFont="1" applyAlignment="1" applyProtection="1">
      <alignment vertical="center"/>
    </xf>
    <xf numFmtId="0" fontId="155" fillId="0" borderId="0" xfId="13" applyNumberFormat="1" applyFont="1" applyAlignment="1" applyProtection="1">
      <alignment vertical="center"/>
    </xf>
    <xf numFmtId="0" fontId="155" fillId="23" borderId="0" xfId="13" applyNumberFormat="1" applyFont="1" applyFill="1" applyAlignment="1" applyProtection="1">
      <alignment horizontal="left" vertical="center"/>
    </xf>
    <xf numFmtId="0" fontId="155" fillId="5" borderId="149" xfId="13" applyNumberFormat="1" applyFont="1" applyFill="1" applyBorder="1" applyAlignment="1" applyProtection="1">
      <alignment horizontal="left" vertical="center"/>
    </xf>
    <xf numFmtId="0" fontId="155" fillId="5" borderId="148" xfId="13" applyNumberFormat="1" applyFont="1" applyFill="1" applyBorder="1" applyAlignment="1" applyProtection="1">
      <alignment horizontal="left" vertical="center"/>
    </xf>
    <xf numFmtId="0" fontId="157" fillId="5" borderId="148" xfId="1" applyNumberFormat="1" applyFont="1" applyFill="1" applyBorder="1" applyAlignment="1" applyProtection="1">
      <alignment horizontal="left" vertical="center"/>
    </xf>
    <xf numFmtId="0" fontId="19" fillId="5" borderId="148" xfId="1" applyNumberFormat="1" applyFont="1" applyFill="1" applyBorder="1" applyAlignment="1" applyProtection="1">
      <alignment horizontal="left" vertical="center"/>
    </xf>
    <xf numFmtId="0" fontId="155" fillId="23" borderId="148" xfId="13" applyNumberFormat="1" applyFont="1" applyFill="1" applyBorder="1" applyAlignment="1" applyProtection="1">
      <alignment horizontal="left" vertical="center"/>
    </xf>
    <xf numFmtId="0" fontId="279" fillId="15" borderId="122" xfId="13" applyNumberFormat="1" applyFont="1" applyFill="1" applyBorder="1" applyAlignment="1" applyProtection="1">
      <alignment horizontal="left" vertical="center"/>
    </xf>
    <xf numFmtId="0" fontId="279" fillId="15" borderId="0" xfId="13" applyNumberFormat="1" applyFont="1" applyFill="1" applyBorder="1" applyAlignment="1" applyProtection="1">
      <alignment horizontal="left" vertical="center"/>
    </xf>
    <xf numFmtId="0" fontId="279" fillId="23" borderId="0" xfId="13" applyNumberFormat="1" applyFont="1" applyFill="1" applyAlignment="1" applyProtection="1">
      <alignment horizontal="left" vertical="center"/>
    </xf>
    <xf numFmtId="10" fontId="279" fillId="15" borderId="122" xfId="13" applyNumberFormat="1" applyFont="1" applyFill="1" applyBorder="1" applyAlignment="1" applyProtection="1">
      <alignment horizontal="left" vertical="center"/>
    </xf>
    <xf numFmtId="10" fontId="279" fillId="15" borderId="0" xfId="13" applyNumberFormat="1" applyFont="1" applyFill="1" applyAlignment="1" applyProtection="1">
      <alignment horizontal="left" vertical="center"/>
    </xf>
    <xf numFmtId="0" fontId="155" fillId="0" borderId="122" xfId="13" applyNumberFormat="1" applyFont="1" applyFill="1" applyBorder="1" applyAlignment="1" applyProtection="1">
      <alignment horizontal="left" vertical="center"/>
    </xf>
    <xf numFmtId="0"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0"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0"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0"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0" fontId="143" fillId="0" borderId="0" xfId="0" applyNumberFormat="1" applyFont="1">
      <alignment vertical="center"/>
    </xf>
    <xf numFmtId="0" fontId="259" fillId="15" borderId="0" xfId="13" applyNumberFormat="1" applyFont="1" applyFill="1" applyAlignment="1" applyProtection="1">
      <alignment horizontal="left" vertical="center"/>
    </xf>
    <xf numFmtId="0" fontId="259" fillId="15" borderId="166" xfId="13" applyNumberFormat="1" applyFont="1" applyFill="1" applyBorder="1" applyAlignment="1" applyProtection="1">
      <alignment horizontal="left" vertical="center"/>
    </xf>
    <xf numFmtId="0" fontId="150" fillId="0" borderId="0" xfId="13" applyNumberFormat="1" applyFont="1" applyAlignment="1" applyProtection="1">
      <alignment horizontal="left" vertical="center"/>
    </xf>
    <xf numFmtId="0" fontId="150" fillId="0" borderId="166" xfId="13" applyNumberFormat="1" applyFont="1" applyBorder="1" applyAlignment="1" applyProtection="1">
      <alignment horizontal="left" vertical="center"/>
    </xf>
    <xf numFmtId="0" fontId="150" fillId="0" borderId="167" xfId="13" applyNumberFormat="1" applyFont="1" applyBorder="1" applyAlignment="1" applyProtection="1">
      <alignment horizontal="left" vertical="center"/>
    </xf>
    <xf numFmtId="0" fontId="150" fillId="0" borderId="168" xfId="13" applyNumberFormat="1" applyFont="1" applyBorder="1" applyAlignment="1" applyProtection="1">
      <alignment horizontal="left" vertical="center"/>
    </xf>
    <xf numFmtId="0" fontId="150" fillId="0" borderId="0" xfId="13" applyNumberFormat="1" applyFont="1" applyFill="1" applyAlignment="1" applyProtection="1">
      <alignment horizontal="left" vertical="center"/>
    </xf>
    <xf numFmtId="0"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5" fillId="0" borderId="122" xfId="13" applyNumberFormat="1" applyFont="1" applyFill="1" applyBorder="1" applyAlignment="1" applyProtection="1">
      <alignment horizontal="left" vertical="center"/>
      <protection locked="0"/>
    </xf>
    <xf numFmtId="0" fontId="155" fillId="0" borderId="0" xfId="13" applyNumberFormat="1" applyFont="1" applyFill="1" applyBorder="1" applyAlignment="1" applyProtection="1">
      <alignment horizontal="left" vertical="center"/>
      <protection locked="0"/>
    </xf>
    <xf numFmtId="0" fontId="234" fillId="11" borderId="123" xfId="13" applyNumberFormat="1" applyFont="1" applyFill="1" applyBorder="1" applyAlignment="1" applyProtection="1">
      <alignment horizontal="left" vertical="center" wrapText="1"/>
      <protection locked="0"/>
    </xf>
    <xf numFmtId="0" fontId="234" fillId="12" borderId="124" xfId="13" applyNumberFormat="1" applyFont="1" applyFill="1" applyBorder="1" applyAlignment="1" applyProtection="1">
      <alignment horizontal="left" vertical="center" wrapText="1"/>
      <protection locked="0"/>
    </xf>
    <xf numFmtId="0" fontId="234" fillId="12" borderId="128" xfId="13" applyNumberFormat="1" applyFont="1" applyFill="1" applyBorder="1" applyAlignment="1" applyProtection="1">
      <alignment horizontal="left" vertical="center" wrapText="1"/>
      <protection locked="0"/>
    </xf>
    <xf numFmtId="0" fontId="286" fillId="22" borderId="123" xfId="13" applyNumberFormat="1" applyFont="1" applyFill="1" applyBorder="1" applyAlignment="1" applyProtection="1">
      <alignment horizontal="left" vertical="center" wrapText="1"/>
      <protection locked="0"/>
    </xf>
    <xf numFmtId="0" fontId="286" fillId="22" borderId="124" xfId="13" applyNumberFormat="1" applyFont="1" applyFill="1" applyBorder="1" applyAlignment="1" applyProtection="1">
      <alignment horizontal="left" vertical="center" wrapText="1"/>
      <protection locked="0"/>
    </xf>
    <xf numFmtId="0" fontId="286" fillId="22" borderId="133" xfId="13" applyNumberFormat="1" applyFont="1" applyFill="1" applyBorder="1" applyAlignment="1" applyProtection="1">
      <alignment horizontal="left" vertical="center" wrapText="1"/>
      <protection locked="0"/>
    </xf>
    <xf numFmtId="0" fontId="286" fillId="22" borderId="128" xfId="13" applyNumberFormat="1" applyFont="1" applyFill="1" applyBorder="1" applyAlignment="1" applyProtection="1">
      <alignment horizontal="left" vertical="center" wrapText="1"/>
      <protection locked="0"/>
    </xf>
    <xf numFmtId="0" fontId="234" fillId="12" borderId="133" xfId="13" applyNumberFormat="1" applyFont="1" applyFill="1" applyBorder="1" applyAlignment="1" applyProtection="1">
      <alignment horizontal="left" vertical="center" wrapText="1"/>
      <protection locked="0"/>
    </xf>
    <xf numFmtId="0" fontId="234" fillId="16" borderId="160" xfId="13" applyNumberFormat="1" applyFont="1" applyFill="1" applyBorder="1" applyAlignment="1" applyProtection="1">
      <alignment horizontal="left" vertical="center" wrapText="1"/>
      <protection locked="0"/>
    </xf>
    <xf numFmtId="0" fontId="234" fillId="16" borderId="161" xfId="13" applyNumberFormat="1" applyFont="1" applyFill="1" applyBorder="1" applyAlignment="1" applyProtection="1">
      <alignment horizontal="left" vertical="center" wrapText="1"/>
      <protection locked="0"/>
    </xf>
    <xf numFmtId="0" fontId="234" fillId="16" borderId="162" xfId="13" applyNumberFormat="1" applyFont="1" applyFill="1" applyBorder="1" applyAlignment="1" applyProtection="1">
      <alignment horizontal="left" vertical="center" wrapText="1"/>
      <protection locked="0"/>
    </xf>
    <xf numFmtId="0" fontId="234" fillId="16" borderId="163" xfId="13" applyNumberFormat="1" applyFont="1" applyFill="1" applyBorder="1" applyAlignment="1" applyProtection="1">
      <alignment horizontal="left" vertical="center" wrapText="1"/>
      <protection locked="0"/>
    </xf>
    <xf numFmtId="0" fontId="288" fillId="5" borderId="66" xfId="0" applyNumberFormat="1" applyFont="1" applyFill="1" applyBorder="1" applyAlignment="1" applyProtection="1">
      <alignment horizontal="right" vertical="center"/>
    </xf>
    <xf numFmtId="0" fontId="289" fillId="5" borderId="28" xfId="0" applyNumberFormat="1" applyFont="1" applyFill="1" applyBorder="1" applyAlignment="1" applyProtection="1">
      <alignment horizontal="left" vertical="center"/>
    </xf>
    <xf numFmtId="0" fontId="287" fillId="5" borderId="29" xfId="0" applyNumberFormat="1" applyFont="1" applyFill="1" applyBorder="1" applyAlignment="1" applyProtection="1">
      <alignment horizontal="left" vertical="center"/>
    </xf>
    <xf numFmtId="0" fontId="287" fillId="5" borderId="44" xfId="0" applyNumberFormat="1" applyFont="1" applyFill="1" applyBorder="1" applyAlignment="1" applyProtection="1">
      <alignment horizontal="left" vertical="center"/>
    </xf>
    <xf numFmtId="0" fontId="287" fillId="5" borderId="45" xfId="0" applyNumberFormat="1" applyFont="1" applyFill="1" applyBorder="1" applyAlignment="1" applyProtection="1">
      <alignment horizontal="left" vertical="center"/>
    </xf>
    <xf numFmtId="0" fontId="288" fillId="5" borderId="61" xfId="0" applyNumberFormat="1" applyFont="1" applyFill="1" applyBorder="1" applyAlignment="1" applyProtection="1">
      <alignment horizontal="left" vertical="center"/>
    </xf>
    <xf numFmtId="0" fontId="163" fillId="5" borderId="53" xfId="3" applyFont="1" applyFill="1" applyBorder="1" applyAlignment="1" applyProtection="1">
      <alignment horizontal="left" vertical="center" wrapText="1"/>
    </xf>
    <xf numFmtId="0" fontId="163" fillId="5" borderId="6" xfId="3" applyFont="1" applyFill="1" applyBorder="1" applyAlignment="1" applyProtection="1">
      <alignment horizontal="left" vertical="center" wrapText="1"/>
    </xf>
    <xf numFmtId="0" fontId="163" fillId="5" borderId="29" xfId="3" applyFont="1" applyFill="1" applyBorder="1" applyAlignment="1" applyProtection="1">
      <alignment horizontal="left" vertical="center" wrapText="1"/>
    </xf>
    <xf numFmtId="0" fontId="163" fillId="5" borderId="2" xfId="3" applyFont="1" applyFill="1" applyBorder="1" applyAlignment="1" applyProtection="1">
      <alignment horizontal="left" vertical="center" wrapText="1"/>
    </xf>
    <xf numFmtId="0" fontId="163" fillId="5" borderId="17" xfId="3" applyFont="1" applyFill="1" applyBorder="1" applyAlignment="1" applyProtection="1">
      <alignment horizontal="left" vertical="center" wrapText="1"/>
    </xf>
    <xf numFmtId="0" fontId="163" fillId="5" borderId="55" xfId="3" applyFont="1" applyFill="1" applyBorder="1" applyAlignment="1" applyProtection="1">
      <alignment horizontal="left" vertical="center" wrapText="1"/>
    </xf>
    <xf numFmtId="0" fontId="163" fillId="5" borderId="44" xfId="3" applyFont="1" applyFill="1" applyBorder="1" applyAlignment="1" applyProtection="1">
      <alignment horizontal="left" vertical="center" wrapText="1"/>
    </xf>
    <xf numFmtId="0" fontId="163" fillId="5" borderId="45" xfId="3" applyFont="1" applyFill="1" applyBorder="1" applyAlignment="1" applyProtection="1">
      <alignment horizontal="left" vertical="center" wrapText="1"/>
    </xf>
    <xf numFmtId="0" fontId="158" fillId="5" borderId="45" xfId="3" applyFont="1" applyFill="1" applyBorder="1" applyAlignment="1" applyProtection="1">
      <alignment horizontal="left" vertical="center"/>
    </xf>
    <xf numFmtId="0" fontId="163" fillId="5" borderId="5" xfId="3" applyFont="1" applyFill="1" applyBorder="1" applyAlignment="1" applyProtection="1">
      <alignment horizontal="left" vertical="center" wrapText="1"/>
    </xf>
    <xf numFmtId="0" fontId="158" fillId="5" borderId="5" xfId="3" applyFont="1" applyFill="1" applyBorder="1" applyAlignment="1" applyProtection="1">
      <alignment horizontal="left" vertical="center"/>
    </xf>
    <xf numFmtId="0" fontId="143" fillId="5" borderId="5" xfId="3" applyFill="1" applyBorder="1" applyAlignment="1" applyProtection="1">
      <alignment horizontal="left" vertical="center"/>
    </xf>
    <xf numFmtId="0" fontId="143" fillId="5" borderId="2" xfId="3" applyFill="1" applyBorder="1" applyAlignment="1" applyProtection="1">
      <alignment horizontal="left" vertical="center"/>
    </xf>
    <xf numFmtId="0" fontId="143" fillId="5" borderId="0" xfId="3" applyFill="1" applyAlignment="1" applyProtection="1">
      <alignment horizontal="left" vertical="center"/>
    </xf>
    <xf numFmtId="0" fontId="163" fillId="5" borderId="4" xfId="3" applyFont="1" applyFill="1" applyBorder="1" applyAlignment="1" applyProtection="1">
      <alignment horizontal="left" vertical="center" wrapText="1"/>
    </xf>
    <xf numFmtId="0" fontId="158" fillId="5" borderId="4" xfId="3" applyFont="1" applyFill="1" applyBorder="1" applyAlignment="1" applyProtection="1">
      <alignment horizontal="left" vertical="center"/>
    </xf>
    <xf numFmtId="0" fontId="163" fillId="5" borderId="12" xfId="3" applyFont="1" applyFill="1" applyBorder="1" applyAlignment="1" applyProtection="1">
      <alignment horizontal="left" vertical="center" wrapText="1"/>
    </xf>
    <xf numFmtId="0" fontId="163" fillId="5" borderId="24" xfId="3" applyFont="1" applyFill="1" applyBorder="1" applyAlignment="1" applyProtection="1">
      <alignment horizontal="left" vertical="center" wrapText="1"/>
    </xf>
    <xf numFmtId="0" fontId="163" fillId="5" borderId="43" xfId="3" applyFont="1" applyFill="1" applyBorder="1" applyAlignment="1" applyProtection="1">
      <alignment horizontal="left" vertical="center" wrapText="1"/>
    </xf>
    <xf numFmtId="0" fontId="163" fillId="5" borderId="46" xfId="3" applyFont="1" applyFill="1" applyBorder="1" applyAlignment="1" applyProtection="1">
      <alignment horizontal="left" vertical="center" wrapText="1"/>
    </xf>
    <xf numFmtId="0" fontId="143" fillId="5" borderId="17" xfId="3" applyFill="1" applyBorder="1" applyAlignment="1" applyProtection="1">
      <alignment horizontal="left" vertical="center"/>
    </xf>
    <xf numFmtId="0" fontId="143" fillId="5" borderId="4" xfId="3" applyFill="1" applyBorder="1" applyAlignment="1" applyProtection="1">
      <alignment horizontal="left" vertical="center"/>
    </xf>
    <xf numFmtId="0" fontId="143" fillId="5" borderId="46" xfId="3" applyFill="1" applyBorder="1" applyAlignment="1" applyProtection="1">
      <alignment horizontal="left" vertical="center"/>
    </xf>
    <xf numFmtId="0" fontId="163" fillId="5" borderId="11" xfId="3" applyFont="1" applyFill="1" applyBorder="1" applyAlignment="1" applyProtection="1">
      <alignment horizontal="left" vertical="center" wrapText="1"/>
    </xf>
    <xf numFmtId="0" fontId="143" fillId="5" borderId="12" xfId="3" applyFill="1" applyBorder="1" applyAlignment="1" applyProtection="1">
      <alignment horizontal="left" vertical="center"/>
    </xf>
    <xf numFmtId="0" fontId="143" fillId="5" borderId="0" xfId="3" applyFill="1" applyBorder="1" applyProtection="1">
      <alignment vertical="center"/>
    </xf>
    <xf numFmtId="0" fontId="163" fillId="5" borderId="13" xfId="3" applyFont="1" applyFill="1" applyBorder="1" applyAlignment="1" applyProtection="1">
      <alignment horizontal="left" vertical="center" wrapText="1"/>
    </xf>
    <xf numFmtId="0" fontId="143" fillId="5" borderId="44" xfId="3" applyFill="1" applyBorder="1" applyAlignment="1" applyProtection="1">
      <alignment horizontal="left" vertical="center"/>
    </xf>
    <xf numFmtId="0" fontId="143" fillId="5" borderId="10" xfId="3" applyFill="1" applyBorder="1" applyAlignment="1" applyProtection="1">
      <alignment horizontal="left" vertical="center"/>
    </xf>
    <xf numFmtId="0" fontId="143" fillId="5" borderId="1" xfId="3" applyFill="1" applyBorder="1" applyAlignment="1" applyProtection="1">
      <alignment horizontal="left" vertical="center"/>
    </xf>
    <xf numFmtId="0" fontId="143" fillId="5" borderId="6" xfId="3" applyFill="1" applyBorder="1" applyAlignment="1" applyProtection="1">
      <alignment horizontal="left" vertical="center"/>
    </xf>
    <xf numFmtId="0" fontId="143" fillId="5" borderId="7" xfId="3" applyFill="1" applyBorder="1" applyAlignment="1" applyProtection="1">
      <alignment horizontal="left" vertical="center"/>
    </xf>
    <xf numFmtId="0" fontId="143" fillId="5" borderId="11" xfId="3" applyFill="1" applyBorder="1" applyAlignment="1" applyProtection="1">
      <alignment horizontal="left" vertical="center"/>
    </xf>
    <xf numFmtId="0" fontId="143" fillId="5" borderId="43" xfId="3" applyFill="1" applyBorder="1" applyAlignment="1" applyProtection="1">
      <alignment horizontal="left" vertical="center"/>
    </xf>
    <xf numFmtId="0" fontId="143" fillId="5" borderId="22" xfId="3" applyFill="1" applyBorder="1" applyAlignment="1" applyProtection="1">
      <alignment horizontal="left" vertical="center"/>
    </xf>
    <xf numFmtId="0" fontId="143" fillId="5" borderId="25" xfId="3" applyFill="1" applyBorder="1" applyAlignment="1" applyProtection="1">
      <alignment horizontal="left" vertical="center"/>
    </xf>
    <xf numFmtId="0" fontId="143" fillId="5" borderId="53" xfId="3" applyFill="1" applyBorder="1" applyAlignment="1" applyProtection="1">
      <alignment horizontal="left" vertical="center"/>
    </xf>
    <xf numFmtId="0" fontId="143" fillId="5" borderId="27" xfId="3" applyFill="1" applyBorder="1" applyAlignment="1" applyProtection="1">
      <alignment horizontal="left" vertical="center"/>
    </xf>
    <xf numFmtId="0" fontId="143" fillId="5" borderId="41" xfId="3" applyFill="1" applyBorder="1" applyAlignment="1" applyProtection="1">
      <alignment horizontal="left" vertical="center"/>
    </xf>
    <xf numFmtId="0" fontId="143" fillId="5" borderId="31" xfId="3" applyFill="1" applyBorder="1" applyAlignment="1" applyProtection="1">
      <alignment horizontal="left" vertical="center"/>
    </xf>
    <xf numFmtId="0" fontId="163" fillId="5" borderId="9" xfId="3" applyFont="1" applyFill="1" applyBorder="1" applyAlignment="1" applyProtection="1">
      <alignment horizontal="left" vertical="center" wrapText="1"/>
    </xf>
    <xf numFmtId="0" fontId="163" fillId="5" borderId="20" xfId="3" applyFont="1" applyFill="1" applyBorder="1" applyAlignment="1" applyProtection="1">
      <alignment horizontal="left" vertical="center" wrapText="1"/>
    </xf>
    <xf numFmtId="0" fontId="208"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7" fillId="5" borderId="0" xfId="0" applyFont="1" applyFill="1" applyAlignment="1" applyProtection="1">
      <alignment horizontal="left" vertical="center"/>
    </xf>
    <xf numFmtId="0" fontId="164" fillId="5" borderId="40" xfId="0" applyFont="1" applyFill="1" applyBorder="1" applyAlignment="1" applyProtection="1">
      <alignment horizontal="left" vertical="center"/>
    </xf>
    <xf numFmtId="0" fontId="164" fillId="5" borderId="53" xfId="0" applyFont="1" applyFill="1" applyBorder="1" applyAlignment="1" applyProtection="1">
      <alignment horizontal="left" vertical="center" wrapText="1"/>
    </xf>
    <xf numFmtId="0" fontId="164" fillId="5" borderId="10" xfId="0" applyFont="1" applyFill="1" applyBorder="1" applyAlignment="1" applyProtection="1">
      <alignment horizontal="left" vertical="center"/>
    </xf>
    <xf numFmtId="0" fontId="163" fillId="5" borderId="1" xfId="0" applyFont="1" applyFill="1" applyBorder="1" applyAlignment="1" applyProtection="1">
      <alignment horizontal="left" vertical="center" wrapText="1"/>
    </xf>
    <xf numFmtId="0" fontId="290" fillId="5" borderId="6" xfId="0" applyFont="1" applyFill="1" applyBorder="1" applyAlignment="1" applyProtection="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0" fontId="163" fillId="5" borderId="11" xfId="0" applyFont="1" applyFill="1" applyBorder="1" applyAlignment="1" applyProtection="1">
      <alignment horizontal="left" vertical="center" wrapText="1"/>
    </xf>
    <xf numFmtId="0" fontId="290" fillId="5" borderId="2" xfId="0" applyFont="1" applyFill="1" applyBorder="1" applyAlignment="1" applyProtection="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0" fontId="163" fillId="5" borderId="22" xfId="0" applyFont="1" applyFill="1" applyBorder="1" applyAlignment="1" applyProtection="1">
      <alignment horizontal="left" vertical="center" wrapText="1"/>
    </xf>
    <xf numFmtId="0" fontId="290" fillId="5" borderId="10" xfId="0" applyFont="1" applyFill="1" applyBorder="1" applyAlignment="1" applyProtection="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0" fontId="292" fillId="5" borderId="2" xfId="0" applyFont="1" applyFill="1" applyBorder="1" applyAlignment="1">
      <alignment horizontal="left" vertical="center" wrapText="1"/>
    </xf>
    <xf numFmtId="0" fontId="292" fillId="5" borderId="10" xfId="0" applyFont="1" applyFill="1" applyBorder="1" applyAlignment="1">
      <alignment horizontal="left" vertical="center" wrapText="1"/>
    </xf>
    <xf numFmtId="0" fontId="290" fillId="5" borderId="1" xfId="0" applyFont="1" applyFill="1" applyBorder="1" applyAlignment="1" applyProtection="1">
      <alignment horizontal="left" vertical="center" wrapText="1"/>
    </xf>
    <xf numFmtId="0" fontId="290"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90"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5" fontId="290" fillId="5" borderId="2" xfId="17" applyFont="1" applyFill="1" applyBorder="1" applyAlignment="1" applyProtection="1">
      <alignment horizontal="left" vertical="center" wrapText="1"/>
    </xf>
    <xf numFmtId="0" fontId="290" fillId="5" borderId="43" xfId="0" applyFont="1" applyFill="1" applyBorder="1" applyAlignment="1" applyProtection="1">
      <alignment horizontal="left" vertical="center" wrapText="1"/>
    </xf>
    <xf numFmtId="0" fontId="290" fillId="5" borderId="44" xfId="0" applyFont="1" applyFill="1" applyBorder="1" applyAlignment="1" applyProtection="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3" fillId="0" borderId="0" xfId="0" applyNumberFormat="1" applyFont="1" applyFill="1" applyAlignment="1">
      <alignment horizontal="right" vertical="center"/>
    </xf>
    <xf numFmtId="0" fontId="294"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295" fillId="0" borderId="2" xfId="0" applyNumberFormat="1" applyFont="1" applyFill="1" applyBorder="1" applyAlignment="1">
      <alignment horizontal="left" vertical="center"/>
    </xf>
    <xf numFmtId="0" fontId="296" fillId="0" borderId="2" xfId="0" applyNumberFormat="1" applyFont="1" applyFill="1" applyBorder="1" applyAlignment="1">
      <alignment horizontal="left" vertical="center" wrapText="1"/>
    </xf>
    <xf numFmtId="0" fontId="93" fillId="5" borderId="83" xfId="0" applyNumberFormat="1" applyFont="1" applyFill="1" applyBorder="1" applyAlignment="1" applyProtection="1">
      <alignment horizontal="left" vertical="center" wrapText="1"/>
    </xf>
    <xf numFmtId="0" fontId="84" fillId="5" borderId="49" xfId="0" applyNumberFormat="1" applyFont="1" applyFill="1" applyBorder="1" applyAlignment="1" applyProtection="1">
      <alignment horizontal="left" vertical="center" wrapText="1"/>
    </xf>
    <xf numFmtId="0" fontId="125" fillId="5" borderId="49"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wrapText="1"/>
      <protection locked="0"/>
    </xf>
    <xf numFmtId="0" fontId="84" fillId="5" borderId="38" xfId="0" applyNumberFormat="1" applyFont="1" applyFill="1" applyBorder="1" applyAlignment="1" applyProtection="1">
      <alignment horizontal="left" vertical="center" wrapText="1"/>
      <protection locked="0"/>
    </xf>
    <xf numFmtId="0" fontId="84" fillId="0" borderId="49" xfId="0" applyNumberFormat="1" applyFont="1" applyFill="1" applyBorder="1" applyAlignment="1" applyProtection="1">
      <alignment horizontal="left" vertical="center" wrapText="1"/>
      <protection locked="0"/>
    </xf>
    <xf numFmtId="0" fontId="84" fillId="0" borderId="10" xfId="0" applyNumberFormat="1" applyFont="1" applyFill="1" applyBorder="1" applyAlignment="1" applyProtection="1">
      <alignment horizontal="left" vertical="center" wrapText="1"/>
      <protection locked="0"/>
    </xf>
    <xf numFmtId="0" fontId="84" fillId="0" borderId="25" xfId="0" applyNumberFormat="1" applyFont="1" applyFill="1" applyBorder="1" applyAlignment="1" applyProtection="1">
      <alignment horizontal="left" vertical="center" wrapText="1"/>
      <protection locked="0"/>
    </xf>
    <xf numFmtId="0" fontId="77" fillId="5" borderId="17" xfId="0" applyNumberFormat="1" applyFont="1" applyFill="1" applyBorder="1" applyAlignment="1" applyProtection="1">
      <alignment horizontal="left" vertical="center"/>
    </xf>
    <xf numFmtId="0" fontId="82" fillId="5" borderId="0" xfId="0" applyNumberFormat="1" applyFont="1" applyFill="1" applyAlignment="1" applyProtection="1">
      <alignment horizontal="left" vertical="center" wrapText="1"/>
    </xf>
    <xf numFmtId="0" fontId="84" fillId="5" borderId="0" xfId="0" applyNumberFormat="1" applyFont="1" applyFill="1" applyBorder="1" applyAlignment="1" applyProtection="1">
      <alignment horizontal="left" vertical="center" wrapText="1"/>
    </xf>
    <xf numFmtId="0" fontId="156" fillId="5" borderId="19" xfId="0" applyNumberFormat="1" applyFont="1" applyFill="1" applyBorder="1" applyAlignment="1" applyProtection="1">
      <alignment horizontal="left" vertical="center"/>
    </xf>
    <xf numFmtId="0" fontId="156" fillId="5" borderId="63" xfId="0" applyNumberFormat="1" applyFont="1" applyFill="1" applyBorder="1" applyAlignment="1" applyProtection="1">
      <alignment horizontal="left" vertical="center"/>
    </xf>
    <xf numFmtId="49" fontId="134" fillId="5" borderId="33" xfId="0" applyNumberFormat="1" applyFont="1" applyFill="1" applyBorder="1" applyAlignment="1" applyProtection="1">
      <alignment horizontal="left" vertical="center" wrapText="1"/>
    </xf>
    <xf numFmtId="0" fontId="93" fillId="5" borderId="49" xfId="3" applyFont="1" applyFill="1" applyBorder="1" applyAlignment="1" applyProtection="1">
      <alignment horizontal="left" vertical="center"/>
    </xf>
    <xf numFmtId="0" fontId="182" fillId="5" borderId="49" xfId="3" applyFont="1" applyFill="1" applyBorder="1" applyAlignment="1" applyProtection="1">
      <alignment horizontal="left" vertical="center"/>
    </xf>
    <xf numFmtId="0" fontId="41" fillId="5" borderId="37" xfId="3" applyFont="1" applyFill="1" applyBorder="1" applyAlignment="1" applyProtection="1">
      <alignment horizontal="left" vertical="center" wrapText="1"/>
    </xf>
    <xf numFmtId="0" fontId="41" fillId="5" borderId="38" xfId="3" applyFont="1" applyFill="1" applyBorder="1" applyAlignment="1" applyProtection="1">
      <alignment horizontal="left" vertical="center" wrapText="1"/>
    </xf>
    <xf numFmtId="49" fontId="219" fillId="5" borderId="33" xfId="0" applyNumberFormat="1" applyFont="1" applyFill="1" applyBorder="1" applyAlignment="1" applyProtection="1">
      <alignment horizontal="left" vertical="center" wrapText="1"/>
    </xf>
    <xf numFmtId="0" fontId="93" fillId="5" borderId="29" xfId="3" applyNumberFormat="1"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84" fillId="0" borderId="6" xfId="3" applyFont="1" applyFill="1" applyBorder="1" applyAlignment="1" applyProtection="1">
      <alignment horizontal="left" vertical="center" wrapText="1"/>
      <protection locked="0"/>
    </xf>
    <xf numFmtId="0" fontId="41" fillId="5" borderId="28" xfId="3" applyFont="1" applyFill="1" applyBorder="1" applyAlignment="1" applyProtection="1">
      <alignment horizontal="left" vertical="center" wrapText="1"/>
    </xf>
    <xf numFmtId="0" fontId="41" fillId="5" borderId="39" xfId="3" applyFont="1" applyFill="1" applyBorder="1" applyAlignment="1" applyProtection="1">
      <alignment horizontal="left" vertical="center" wrapText="1"/>
    </xf>
    <xf numFmtId="49" fontId="124" fillId="5" borderId="24" xfId="0" applyNumberFormat="1" applyFont="1" applyFill="1" applyBorder="1" applyAlignment="1" applyProtection="1">
      <alignment horizontal="left" vertical="center" wrapText="1"/>
    </xf>
    <xf numFmtId="0" fontId="84" fillId="6" borderId="2" xfId="3" applyFont="1" applyFill="1" applyBorder="1" applyAlignment="1" applyProtection="1">
      <alignment horizontal="left" vertical="center" wrapText="1"/>
      <protection locked="0"/>
    </xf>
    <xf numFmtId="0" fontId="84" fillId="5" borderId="21" xfId="3" applyFont="1" applyFill="1" applyBorder="1" applyAlignment="1" applyProtection="1">
      <alignment horizontal="left" vertical="center" wrapText="1"/>
    </xf>
    <xf numFmtId="0" fontId="84" fillId="5" borderId="17" xfId="3" applyFont="1" applyFill="1" applyBorder="1" applyAlignment="1" applyProtection="1">
      <alignment horizontal="left" vertical="center" wrapText="1"/>
    </xf>
    <xf numFmtId="0" fontId="41" fillId="5" borderId="5" xfId="3" applyFont="1" applyFill="1" applyBorder="1" applyAlignment="1" applyProtection="1">
      <alignment horizontal="left" vertical="center"/>
    </xf>
    <xf numFmtId="0" fontId="41" fillId="5" borderId="8" xfId="3" applyFont="1" applyFill="1" applyBorder="1" applyAlignment="1" applyProtection="1">
      <alignment horizontal="left" vertical="center" wrapText="1"/>
    </xf>
    <xf numFmtId="0" fontId="41" fillId="5" borderId="16" xfId="3" applyFont="1" applyFill="1" applyBorder="1" applyAlignment="1" applyProtection="1">
      <alignment horizontal="left" vertical="center" wrapText="1"/>
    </xf>
    <xf numFmtId="9" fontId="84" fillId="5" borderId="2" xfId="3" applyNumberFormat="1" applyFont="1" applyFill="1" applyBorder="1" applyAlignment="1" applyProtection="1">
      <alignment horizontal="left" vertical="center" wrapText="1"/>
    </xf>
    <xf numFmtId="0" fontId="84" fillId="5" borderId="2" xfId="3" applyFont="1" applyFill="1" applyBorder="1" applyAlignment="1" applyProtection="1">
      <alignment horizontal="left" vertical="center" wrapText="1"/>
    </xf>
    <xf numFmtId="0" fontId="84" fillId="5" borderId="10" xfId="3" applyFont="1" applyFill="1" applyBorder="1" applyAlignment="1" applyProtection="1">
      <alignment horizontal="left" vertical="center" wrapText="1"/>
    </xf>
    <xf numFmtId="0" fontId="41" fillId="5" borderId="4" xfId="3" applyFont="1" applyFill="1" applyBorder="1" applyAlignment="1" applyProtection="1">
      <alignment horizontal="left" vertical="center"/>
    </xf>
    <xf numFmtId="0" fontId="41" fillId="5" borderId="14" xfId="3" applyFont="1" applyFill="1" applyBorder="1" applyAlignment="1" applyProtection="1">
      <alignment horizontal="left" vertical="center" wrapText="1"/>
    </xf>
    <xf numFmtId="0" fontId="41" fillId="5" borderId="15" xfId="3" applyFont="1" applyFill="1" applyBorder="1" applyAlignment="1" applyProtection="1">
      <alignment horizontal="left" vertical="center" wrapText="1"/>
    </xf>
    <xf numFmtId="0" fontId="84" fillId="5" borderId="29" xfId="0" applyFont="1" applyFill="1" applyBorder="1" applyAlignment="1" applyProtection="1">
      <alignment horizontal="left" vertical="center"/>
    </xf>
    <xf numFmtId="0" fontId="41" fillId="5" borderId="30" xfId="3" applyFont="1" applyFill="1" applyBorder="1" applyAlignment="1" applyProtection="1">
      <alignment horizontal="left" vertical="center" wrapText="1"/>
    </xf>
    <xf numFmtId="0" fontId="41" fillId="5" borderId="57" xfId="3" applyFont="1" applyFill="1" applyBorder="1" applyAlignment="1" applyProtection="1">
      <alignment horizontal="left" vertical="center" wrapText="1"/>
    </xf>
    <xf numFmtId="49" fontId="157" fillId="5" borderId="24" xfId="0" applyNumberFormat="1" applyFont="1" applyFill="1" applyBorder="1" applyAlignment="1" applyProtection="1">
      <alignment horizontal="left" vertical="center" wrapText="1"/>
    </xf>
    <xf numFmtId="0" fontId="41" fillId="0" borderId="2" xfId="3" applyFont="1" applyFill="1" applyBorder="1" applyAlignment="1" applyProtection="1">
      <alignment horizontal="left" vertical="center"/>
      <protection locked="0"/>
    </xf>
    <xf numFmtId="0" fontId="41" fillId="0" borderId="2" xfId="3" applyFont="1" applyBorder="1" applyAlignment="1" applyProtection="1">
      <alignment horizontal="left" vertical="center" wrapText="1"/>
      <protection locked="0"/>
    </xf>
    <xf numFmtId="0" fontId="41" fillId="0" borderId="2" xfId="3" applyFont="1" applyFill="1" applyBorder="1" applyAlignment="1" applyProtection="1">
      <alignment horizontal="left" vertical="center" wrapText="1"/>
      <protection locked="0"/>
    </xf>
    <xf numFmtId="0" fontId="163" fillId="6" borderId="9" xfId="3" applyFont="1" applyFill="1" applyBorder="1" applyAlignment="1" applyProtection="1">
      <alignment horizontal="left" vertical="center" wrapText="1"/>
      <protection locked="0"/>
    </xf>
    <xf numFmtId="0" fontId="163" fillId="6" borderId="2" xfId="3" applyFont="1" applyFill="1" applyBorder="1" applyAlignment="1" applyProtection="1">
      <alignment horizontal="left" vertical="center" wrapText="1"/>
      <protection locked="0"/>
    </xf>
    <xf numFmtId="0"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pplyProtection="1">
      <alignment horizontal="left" vertical="center" wrapText="1"/>
    </xf>
    <xf numFmtId="49" fontId="219" fillId="5" borderId="1" xfId="0" applyNumberFormat="1" applyFont="1" applyFill="1" applyBorder="1" applyAlignment="1" applyProtection="1">
      <alignment horizontal="center" vertical="center" wrapText="1"/>
    </xf>
    <xf numFmtId="0" fontId="219" fillId="5" borderId="6" xfId="0" applyNumberFormat="1" applyFont="1" applyFill="1" applyBorder="1" applyAlignment="1" applyProtection="1">
      <alignment horizontal="left" vertical="center" wrapText="1"/>
    </xf>
    <xf numFmtId="0" fontId="125" fillId="5" borderId="6"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wrapText="1"/>
    </xf>
    <xf numFmtId="0" fontId="125" fillId="5" borderId="44" xfId="0" applyNumberFormat="1" applyFont="1" applyFill="1" applyBorder="1" applyAlignment="1" applyProtection="1">
      <alignment horizontal="left" vertical="center" wrapText="1"/>
      <protection locked="0"/>
    </xf>
    <xf numFmtId="0" fontId="84" fillId="5" borderId="2" xfId="0" applyNumberFormat="1" applyFont="1" applyFill="1" applyBorder="1" applyAlignment="1" applyProtection="1">
      <alignment horizontal="left"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6" xfId="0" applyNumberFormat="1" applyFont="1" applyFill="1" applyBorder="1" applyAlignment="1" applyProtection="1">
      <alignment horizontal="left" vertical="center" wrapText="1"/>
      <protection locked="0"/>
    </xf>
    <xf numFmtId="0" fontId="84" fillId="0" borderId="44" xfId="0" applyNumberFormat="1" applyFont="1" applyFill="1" applyBorder="1" applyAlignment="1" applyProtection="1">
      <alignment horizontal="left" vertical="center" wrapText="1"/>
      <protection locked="0"/>
    </xf>
    <xf numFmtId="0" fontId="82" fillId="6" borderId="38" xfId="3" applyFont="1" applyFill="1" applyBorder="1" applyAlignment="1" applyProtection="1">
      <alignment vertical="center" wrapText="1"/>
      <protection locked="0"/>
    </xf>
    <xf numFmtId="0" fontId="82" fillId="5" borderId="2" xfId="0" applyNumberFormat="1" applyFont="1" applyFill="1" applyBorder="1" applyAlignment="1" applyProtection="1">
      <alignment horizontal="left" vertical="center" wrapText="1"/>
    </xf>
    <xf numFmtId="0" fontId="80" fillId="5" borderId="5" xfId="0" applyFont="1" applyFill="1" applyBorder="1" applyAlignment="1" applyProtection="1">
      <alignment vertical="center"/>
    </xf>
    <xf numFmtId="0" fontId="84" fillId="5" borderId="44" xfId="0" applyFont="1" applyFill="1" applyBorder="1" applyAlignment="1" applyProtection="1">
      <alignment vertical="center"/>
    </xf>
    <xf numFmtId="0" fontId="150" fillId="5" borderId="9" xfId="0" applyFont="1" applyFill="1" applyBorder="1" applyAlignment="1" applyProtection="1">
      <alignment horizontal="center" vertical="center" wrapText="1"/>
    </xf>
    <xf numFmtId="0" fontId="198" fillId="5" borderId="11" xfId="0" applyNumberFormat="1" applyFont="1" applyFill="1" applyBorder="1" applyAlignment="1" applyProtection="1">
      <alignment horizontal="left" vertical="center" wrapText="1"/>
    </xf>
    <xf numFmtId="0" fontId="202" fillId="5" borderId="59" xfId="0" applyNumberFormat="1" applyFont="1" applyFill="1" applyBorder="1" applyAlignment="1" applyProtection="1">
      <alignment horizontal="left" vertical="center"/>
    </xf>
    <xf numFmtId="0" fontId="150" fillId="5" borderId="2" xfId="0" applyNumberFormat="1" applyFont="1" applyFill="1" applyBorder="1" applyAlignment="1" applyProtection="1">
      <alignment horizontal="left" vertical="center" wrapText="1"/>
    </xf>
    <xf numFmtId="0" fontId="156" fillId="5" borderId="2" xfId="0" applyNumberFormat="1" applyFont="1" applyFill="1" applyBorder="1" applyAlignment="1" applyProtection="1">
      <alignment horizontal="left" vertical="center" wrapText="1"/>
    </xf>
    <xf numFmtId="0"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0"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0" fontId="201" fillId="5" borderId="0" xfId="3" applyFont="1" applyFill="1" applyAlignment="1" applyProtection="1">
      <alignment horizontal="left" vertical="center"/>
    </xf>
    <xf numFmtId="0" fontId="143" fillId="5" borderId="0" xfId="3" applyNumberFormat="1" applyFill="1" applyAlignment="1" applyProtection="1">
      <alignment horizontal="left" vertical="center" wrapText="1"/>
    </xf>
    <xf numFmtId="0" fontId="157" fillId="5" borderId="0" xfId="3" applyFont="1" applyFill="1" applyAlignment="1" applyProtection="1">
      <alignment horizontal="left" vertical="center"/>
    </xf>
    <xf numFmtId="0" fontId="147" fillId="5" borderId="0" xfId="3" applyFont="1" applyFill="1" applyAlignment="1" applyProtection="1">
      <alignment horizontal="left" vertical="center"/>
    </xf>
    <xf numFmtId="0" fontId="41" fillId="8" borderId="0" xfId="3" applyFont="1" applyFill="1" applyAlignment="1" applyProtection="1">
      <alignment horizontal="left" vertical="center" wrapText="1"/>
    </xf>
    <xf numFmtId="0" fontId="201" fillId="5" borderId="59" xfId="3" applyFont="1" applyFill="1" applyBorder="1" applyAlignment="1" applyProtection="1">
      <alignment horizontal="left" vertical="center"/>
    </xf>
    <xf numFmtId="0" fontId="157" fillId="5" borderId="28" xfId="3" applyFont="1" applyFill="1" applyBorder="1" applyAlignment="1" applyProtection="1">
      <alignment horizontal="left" vertical="center"/>
    </xf>
    <xf numFmtId="0" fontId="202" fillId="5" borderId="30" xfId="3" applyFont="1" applyFill="1" applyBorder="1" applyAlignment="1" applyProtection="1">
      <alignment horizontal="left" vertical="center"/>
    </xf>
    <xf numFmtId="0" fontId="202" fillId="5" borderId="57" xfId="3" applyFont="1" applyFill="1" applyBorder="1" applyAlignment="1" applyProtection="1">
      <alignment horizontal="left" vertical="center"/>
    </xf>
    <xf numFmtId="0" fontId="201" fillId="5" borderId="0" xfId="3" applyFont="1"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62" fillId="5" borderId="2" xfId="3" applyNumberFormat="1"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50" fillId="5" borderId="2" xfId="3" applyFont="1" applyFill="1" applyBorder="1" applyAlignment="1" applyProtection="1">
      <alignment horizontal="left" vertical="center" wrapText="1"/>
    </xf>
    <xf numFmtId="0" fontId="84" fillId="5" borderId="12" xfId="3" applyFont="1" applyFill="1" applyBorder="1" applyAlignment="1" applyProtection="1">
      <alignment horizontal="left" vertical="center" wrapText="1"/>
    </xf>
    <xf numFmtId="0" fontId="208" fillId="5" borderId="2" xfId="0" applyFont="1" applyFill="1" applyBorder="1" applyAlignment="1" applyProtection="1">
      <alignment horizontal="left" vertical="center" wrapText="1"/>
    </xf>
    <xf numFmtId="0"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0"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0" fontId="263" fillId="0" borderId="2" xfId="0" applyNumberFormat="1" applyFont="1" applyFill="1" applyBorder="1" applyAlignment="1" applyProtection="1">
      <alignment horizontal="left" vertical="center" wrapText="1"/>
      <protection locked="0"/>
    </xf>
    <xf numFmtId="0" fontId="263" fillId="0" borderId="10" xfId="0" applyNumberFormat="1" applyFont="1" applyFill="1" applyBorder="1" applyAlignment="1" applyProtection="1">
      <alignment horizontal="left" vertical="center" wrapText="1"/>
      <protection locked="0"/>
    </xf>
    <xf numFmtId="0" fontId="162" fillId="5" borderId="64" xfId="3" applyFont="1" applyFill="1" applyBorder="1" applyAlignment="1" applyProtection="1">
      <alignment horizontal="left" vertical="center" wrapText="1"/>
    </xf>
    <xf numFmtId="0" fontId="162" fillId="5" borderId="10" xfId="3" applyNumberFormat="1"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0"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0"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0" fontId="41" fillId="0" borderId="0" xfId="3" applyFont="1" applyAlignment="1" applyProtection="1">
      <alignment horizontal="left" vertical="center" wrapText="1"/>
      <protection locked="0"/>
    </xf>
    <xf numFmtId="0" fontId="162" fillId="0" borderId="44" xfId="3" applyNumberFormat="1" applyFont="1" applyFill="1" applyBorder="1" applyAlignment="1" applyProtection="1">
      <alignment horizontal="left" vertical="center" wrapText="1"/>
      <protection locked="0"/>
    </xf>
    <xf numFmtId="0" fontId="162" fillId="5" borderId="44" xfId="3" applyNumberFormat="1" applyFont="1" applyFill="1" applyBorder="1" applyAlignment="1" applyProtection="1">
      <alignment horizontal="left" vertical="center" wrapText="1"/>
    </xf>
    <xf numFmtId="0"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0" fontId="198" fillId="5" borderId="2" xfId="0" applyNumberFormat="1" applyFont="1" applyFill="1" applyBorder="1" applyAlignment="1" applyProtection="1">
      <alignment horizontal="left" vertical="center" wrapText="1"/>
    </xf>
    <xf numFmtId="0" fontId="208" fillId="5" borderId="0"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84" fillId="5" borderId="43" xfId="0" applyNumberFormat="1" applyFont="1" applyFill="1" applyBorder="1" applyAlignment="1" applyProtection="1">
      <alignment horizontal="left" vertical="center" wrapText="1"/>
    </xf>
    <xf numFmtId="0" fontId="125" fillId="0" borderId="0" xfId="0" applyNumberFormat="1" applyFont="1" applyAlignment="1" applyProtection="1">
      <alignment horizontal="left" vertical="center" wrapText="1"/>
    </xf>
    <xf numFmtId="0" fontId="156" fillId="5" borderId="12" xfId="0" applyNumberFormat="1" applyFont="1" applyFill="1" applyBorder="1" applyAlignment="1" applyProtection="1">
      <alignment horizontal="left" vertical="center" wrapText="1"/>
    </xf>
    <xf numFmtId="0" fontId="156" fillId="5" borderId="44" xfId="0" applyNumberFormat="1" applyFont="1" applyFill="1" applyBorder="1" applyAlignment="1" applyProtection="1">
      <alignment horizontal="left" vertical="center" wrapText="1"/>
    </xf>
    <xf numFmtId="0" fontId="156" fillId="5" borderId="46" xfId="0" applyNumberFormat="1" applyFont="1" applyFill="1" applyBorder="1" applyAlignment="1" applyProtection="1">
      <alignment horizontal="left" vertical="center" wrapText="1"/>
    </xf>
    <xf numFmtId="0" fontId="125"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protection locked="0"/>
    </xf>
    <xf numFmtId="0" fontId="125" fillId="8" borderId="0" xfId="0" applyNumberFormat="1"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xf>
    <xf numFmtId="0" fontId="84" fillId="5" borderId="7" xfId="0" applyNumberFormat="1" applyFont="1" applyFill="1" applyBorder="1" applyAlignment="1" applyProtection="1">
      <alignment horizontal="left" vertical="center" wrapText="1"/>
      <protection locked="0"/>
    </xf>
    <xf numFmtId="0" fontId="84" fillId="5" borderId="12"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left" vertical="center" wrapText="1"/>
      <protection locked="0"/>
    </xf>
    <xf numFmtId="186" fontId="144" fillId="5" borderId="28" xfId="3" applyNumberFormat="1" applyFont="1" applyFill="1" applyBorder="1" applyAlignment="1" applyProtection="1">
      <alignment horizontal="left" vertical="center" wrapText="1"/>
    </xf>
    <xf numFmtId="0" fontId="150" fillId="5" borderId="0" xfId="0" applyNumberFormat="1" applyFont="1" applyFill="1" applyBorder="1" applyAlignment="1" applyProtection="1">
      <alignment horizontal="left" vertical="center" wrapText="1"/>
    </xf>
    <xf numFmtId="0"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0" fontId="83" fillId="5" borderId="83" xfId="0" applyFont="1" applyFill="1" applyBorder="1" applyAlignment="1" applyProtection="1">
      <alignment vertical="center" wrapText="1"/>
    </xf>
    <xf numFmtId="0" fontId="69" fillId="5" borderId="37" xfId="0" applyFont="1" applyFill="1" applyBorder="1" applyAlignment="1" applyProtection="1">
      <alignment horizontal="center"/>
    </xf>
    <xf numFmtId="0" fontId="69" fillId="12" borderId="37" xfId="0" applyFont="1" applyFill="1" applyBorder="1" applyAlignment="1" applyProtection="1">
      <protection locked="0"/>
    </xf>
    <xf numFmtId="0"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0" fontId="299"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2" fillId="0" borderId="0" xfId="18"/>
    <xf numFmtId="0" fontId="143" fillId="0" borderId="2" xfId="18" applyFont="1" applyBorder="1" applyAlignment="1">
      <alignment horizontal="center" vertical="center" wrapText="1"/>
    </xf>
    <xf numFmtId="0" fontId="2" fillId="0" borderId="2" xfId="18" applyBorder="1" applyAlignment="1">
      <alignment horizontal="center"/>
    </xf>
    <xf numFmtId="14" fontId="2" fillId="0" borderId="2" xfId="18" applyNumberFormat="1" applyBorder="1" applyAlignment="1">
      <alignment horizontal="center"/>
    </xf>
    <xf numFmtId="0" fontId="2" fillId="0" borderId="0" xfId="18" applyAlignment="1">
      <alignment horizontal="center"/>
    </xf>
    <xf numFmtId="0" fontId="2" fillId="0" borderId="0" xfId="18" applyAlignment="1">
      <alignment vertical="center"/>
    </xf>
    <xf numFmtId="0" fontId="84" fillId="8" borderId="2" xfId="13" applyFont="1" applyFill="1" applyBorder="1" applyAlignment="1">
      <alignment horizontal="left" vertical="center" wrapText="1"/>
    </xf>
    <xf numFmtId="0" fontId="234" fillId="8" borderId="124" xfId="13" applyFont="1" applyFill="1" applyBorder="1" applyAlignment="1" applyProtection="1">
      <alignment horizontal="left" vertical="center" wrapText="1"/>
      <protection locked="0"/>
    </xf>
    <xf numFmtId="0" fontId="93" fillId="8" borderId="2" xfId="13" applyFont="1" applyFill="1" applyBorder="1" applyAlignment="1">
      <alignment horizontal="left" vertical="center" wrapText="1"/>
    </xf>
    <xf numFmtId="0" fontId="286" fillId="8" borderId="133" xfId="13" applyFont="1" applyFill="1" applyBorder="1" applyAlignment="1" applyProtection="1">
      <alignment horizontal="left" vertical="center" wrapText="1"/>
      <protection locked="0"/>
    </xf>
    <xf numFmtId="0" fontId="234" fillId="8" borderId="133" xfId="13" applyFont="1" applyFill="1" applyBorder="1" applyAlignment="1" applyProtection="1">
      <alignment horizontal="left" vertical="center" wrapText="1"/>
      <protection locked="0"/>
    </xf>
    <xf numFmtId="0" fontId="84" fillId="8" borderId="159" xfId="13" applyFont="1" applyFill="1" applyBorder="1" applyAlignment="1">
      <alignment horizontal="left" vertical="center" wrapText="1"/>
    </xf>
    <xf numFmtId="0" fontId="234" fillId="8" borderId="162" xfId="13" applyFont="1" applyFill="1" applyBorder="1" applyAlignment="1" applyProtection="1">
      <alignment horizontal="left" vertical="center" wrapText="1"/>
      <protection locked="0"/>
    </xf>
    <xf numFmtId="49" fontId="84" fillId="8" borderId="2" xfId="13" applyNumberFormat="1" applyFont="1" applyFill="1" applyBorder="1" applyAlignment="1">
      <alignment horizontal="left" vertical="center" wrapText="1"/>
    </xf>
    <xf numFmtId="0" fontId="1" fillId="0" borderId="2" xfId="18" applyFont="1" applyBorder="1" applyAlignment="1">
      <alignment horizontal="center"/>
    </xf>
    <xf numFmtId="0" fontId="79" fillId="0" borderId="74" xfId="0" applyNumberFormat="1" applyFont="1" applyFill="1" applyBorder="1" applyAlignment="1" applyProtection="1">
      <alignment horizontal="center" vertical="center" wrapText="1"/>
      <protection locked="0"/>
    </xf>
    <xf numFmtId="0" fontId="257" fillId="0" borderId="51" xfId="0" applyFont="1" applyBorder="1" applyAlignment="1" applyProtection="1">
      <alignment horizontal="center" vertical="center" wrapText="1"/>
      <protection locked="0"/>
    </xf>
    <xf numFmtId="0" fontId="258" fillId="0" borderId="12"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79" fillId="0" borderId="46" xfId="0" applyNumberFormat="1" applyFont="1" applyFill="1" applyBorder="1" applyAlignment="1" applyProtection="1">
      <alignment horizontal="left" vertical="center" wrapText="1"/>
      <protection locked="0"/>
    </xf>
    <xf numFmtId="0" fontId="142" fillId="0" borderId="74" xfId="0" applyNumberFormat="1" applyFont="1" applyFill="1" applyBorder="1" applyAlignment="1" applyProtection="1">
      <alignment horizontal="center" vertical="center" wrapText="1"/>
      <protection locked="0"/>
    </xf>
    <xf numFmtId="0" fontId="234" fillId="12" borderId="128" xfId="13" applyFont="1" applyFill="1" applyBorder="1" applyAlignment="1" applyProtection="1">
      <alignment horizontal="left" vertical="center" wrapText="1"/>
      <protection locked="0"/>
    </xf>
    <xf numFmtId="180" fontId="84" fillId="0" borderId="2" xfId="2" applyNumberFormat="1" applyFont="1" applyFill="1" applyBorder="1" applyAlignment="1" applyProtection="1">
      <alignment horizontal="center" vertical="center"/>
      <protection locked="0"/>
    </xf>
    <xf numFmtId="186" fontId="84" fillId="0" borderId="2" xfId="2" applyNumberFormat="1" applyFont="1" applyFill="1" applyBorder="1" applyAlignment="1" applyProtection="1">
      <alignment horizontal="center" vertical="center"/>
      <protection locked="0"/>
    </xf>
    <xf numFmtId="186" fontId="111" fillId="5" borderId="2" xfId="2" applyNumberFormat="1" applyFont="1" applyFill="1" applyBorder="1" applyAlignment="1" applyProtection="1">
      <alignment horizontal="center" vertical="center"/>
    </xf>
    <xf numFmtId="186" fontId="84" fillId="5" borderId="2" xfId="2" applyNumberFormat="1" applyFont="1" applyFill="1" applyBorder="1" applyAlignment="1" applyProtection="1">
      <alignment horizontal="center" vertical="center"/>
    </xf>
    <xf numFmtId="196" fontId="93" fillId="5" borderId="2" xfId="0" applyNumberFormat="1" applyFont="1" applyFill="1" applyBorder="1" applyAlignment="1" applyProtection="1">
      <alignment horizontal="center" vertical="center"/>
    </xf>
    <xf numFmtId="186" fontId="93" fillId="5" borderId="2" xfId="2" applyNumberFormat="1" applyFont="1" applyFill="1" applyBorder="1" applyAlignment="1" applyProtection="1">
      <alignment horizontal="center" vertical="center"/>
    </xf>
    <xf numFmtId="186" fontId="93" fillId="5" borderId="44" xfId="2" applyNumberFormat="1" applyFont="1" applyFill="1" applyBorder="1" applyAlignment="1" applyProtection="1">
      <alignment horizontal="center" vertical="center"/>
    </xf>
    <xf numFmtId="0" fontId="0" fillId="0" borderId="0" xfId="0" applyAlignment="1">
      <alignment horizontal="center" vertical="center"/>
    </xf>
    <xf numFmtId="0" fontId="143" fillId="0" borderId="0" xfId="0" applyFont="1" applyAlignment="1">
      <alignment horizontal="center" vertical="center"/>
    </xf>
    <xf numFmtId="0" fontId="143" fillId="0" borderId="0" xfId="0" applyFont="1" applyAlignment="1">
      <alignment horizontal="left" vertical="center"/>
    </xf>
    <xf numFmtId="0" fontId="79" fillId="0" borderId="21"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234" fillId="11" borderId="121" xfId="13" applyFont="1" applyFill="1" applyBorder="1" applyAlignment="1" applyProtection="1">
      <alignment horizontal="left" vertical="center" wrapText="1"/>
      <protection locked="0"/>
    </xf>
    <xf numFmtId="180" fontId="69" fillId="0" borderId="55" xfId="0" applyNumberFormat="1" applyFont="1" applyFill="1" applyBorder="1" applyAlignment="1" applyProtection="1">
      <alignment horizontal="center" vertical="center" wrapText="1"/>
      <protection locked="0"/>
    </xf>
    <xf numFmtId="49" fontId="142" fillId="0" borderId="53" xfId="0" applyNumberFormat="1" applyFont="1" applyFill="1" applyBorder="1" applyAlignment="1" applyProtection="1">
      <alignment horizontal="center" vertical="center" wrapText="1"/>
      <protection locked="0"/>
    </xf>
    <xf numFmtId="49" fontId="301" fillId="0" borderId="24" xfId="0" applyNumberFormat="1" applyFont="1" applyFill="1" applyBorder="1" applyAlignment="1" applyProtection="1">
      <alignment horizontal="center" vertical="center" wrapText="1"/>
      <protection locked="0"/>
    </xf>
    <xf numFmtId="0" fontId="143" fillId="0" borderId="2" xfId="1" applyBorder="1" applyAlignment="1">
      <alignment horizontal="center" vertical="center"/>
    </xf>
    <xf numFmtId="196" fontId="143" fillId="0" borderId="2" xfId="1" applyNumberFormat="1" applyBorder="1" applyAlignment="1">
      <alignment horizontal="center" vertical="center"/>
    </xf>
    <xf numFmtId="197" fontId="143" fillId="0" borderId="2" xfId="1" applyNumberFormat="1" applyBorder="1" applyAlignment="1">
      <alignment horizontal="center" vertical="center"/>
    </xf>
    <xf numFmtId="14" fontId="0" fillId="0" borderId="0" xfId="0" applyNumberFormat="1" applyAlignment="1">
      <alignment horizontal="center" vertical="center"/>
    </xf>
    <xf numFmtId="0" fontId="143" fillId="0" borderId="2" xfId="18" applyNumberFormat="1" applyFont="1" applyBorder="1" applyAlignment="1">
      <alignment horizontal="center" vertical="center" wrapText="1"/>
    </xf>
    <xf numFmtId="0" fontId="1" fillId="0" borderId="2" xfId="18" applyFont="1" applyBorder="1" applyAlignment="1">
      <alignment horizontal="center" vertical="center" wrapText="1"/>
    </xf>
    <xf numFmtId="180" fontId="69" fillId="8" borderId="67" xfId="0" applyNumberFormat="1" applyFont="1" applyFill="1" applyBorder="1" applyAlignment="1" applyProtection="1">
      <alignment horizontal="center" vertical="center" wrapText="1"/>
      <protection locked="0"/>
    </xf>
    <xf numFmtId="0" fontId="302" fillId="0" borderId="2" xfId="4" applyNumberFormat="1" applyFont="1" applyBorder="1" applyAlignment="1">
      <alignment horizontal="center" vertical="center" wrapText="1"/>
    </xf>
    <xf numFmtId="0" fontId="143" fillId="0" borderId="0" xfId="4" applyNumberFormat="1" applyAlignment="1">
      <alignment wrapText="1"/>
    </xf>
    <xf numFmtId="0" fontId="245" fillId="0" borderId="19" xfId="19" applyNumberFormat="1" applyFont="1" applyBorder="1" applyAlignment="1">
      <alignment horizontal="center" vertical="center" wrapText="1"/>
    </xf>
    <xf numFmtId="0" fontId="143" fillId="0" borderId="2" xfId="4" applyNumberFormat="1" applyBorder="1" applyAlignment="1">
      <alignment horizontal="center" vertical="center" wrapText="1"/>
    </xf>
    <xf numFmtId="0" fontId="304" fillId="0" borderId="2" xfId="4" applyNumberFormat="1" applyFont="1" applyBorder="1" applyAlignment="1">
      <alignment horizontal="center" vertical="center" wrapText="1"/>
    </xf>
    <xf numFmtId="0" fontId="304" fillId="0" borderId="2" xfId="4" applyNumberFormat="1" applyFont="1" applyBorder="1" applyAlignment="1">
      <alignment horizontal="left" vertical="center" wrapText="1"/>
    </xf>
    <xf numFmtId="0" fontId="142" fillId="0" borderId="2" xfId="4" applyNumberFormat="1" applyFont="1" applyBorder="1" applyAlignment="1">
      <alignment horizontal="center" vertical="center" wrapText="1"/>
    </xf>
    <xf numFmtId="0" fontId="125" fillId="0" borderId="2" xfId="4" applyNumberFormat="1" applyFont="1" applyBorder="1" applyAlignment="1">
      <alignment horizontal="left" vertical="center" wrapText="1"/>
    </xf>
    <xf numFmtId="0" fontId="143" fillId="0" borderId="2" xfId="4" applyNumberFormat="1" applyBorder="1" applyAlignment="1">
      <alignment wrapText="1"/>
    </xf>
    <xf numFmtId="0" fontId="142" fillId="0" borderId="2" xfId="4" applyNumberFormat="1" applyFont="1" applyBorder="1" applyAlignment="1">
      <alignment horizontal="left" vertical="center" wrapText="1"/>
    </xf>
    <xf numFmtId="0" fontId="142" fillId="0" borderId="2" xfId="20" applyNumberFormat="1" applyFont="1" applyBorder="1" applyAlignment="1">
      <alignment horizontal="center" vertical="center" wrapText="1"/>
    </xf>
    <xf numFmtId="0" fontId="304" fillId="0" borderId="21" xfId="4" applyNumberFormat="1" applyFont="1" applyBorder="1" applyAlignment="1">
      <alignment horizontal="center" vertical="center" wrapText="1"/>
    </xf>
    <xf numFmtId="0" fontId="79" fillId="0" borderId="2" xfId="4" applyNumberFormat="1" applyFont="1" applyBorder="1" applyAlignment="1">
      <alignment horizontal="center" vertical="center" wrapText="1"/>
    </xf>
    <xf numFmtId="0" fontId="79" fillId="0" borderId="2" xfId="20" applyNumberFormat="1" applyBorder="1" applyAlignment="1">
      <alignment horizontal="center" vertical="center" wrapText="1"/>
    </xf>
    <xf numFmtId="0" fontId="306" fillId="0" borderId="2" xfId="4" applyNumberFormat="1" applyFont="1" applyBorder="1" applyAlignment="1">
      <alignment horizontal="center" vertical="center" wrapText="1" readingOrder="1"/>
    </xf>
    <xf numFmtId="0" fontId="80" fillId="0" borderId="2" xfId="20" applyNumberFormat="1" applyFont="1" applyBorder="1" applyAlignment="1">
      <alignment horizontal="left" vertical="center" wrapText="1"/>
    </xf>
    <xf numFmtId="0" fontId="79" fillId="0" borderId="21" xfId="20" applyNumberFormat="1" applyBorder="1" applyAlignment="1">
      <alignment horizontal="left" vertical="center" wrapText="1"/>
    </xf>
    <xf numFmtId="0" fontId="79" fillId="0" borderId="9" xfId="4" applyNumberFormat="1" applyFont="1" applyBorder="1" applyAlignment="1">
      <alignment horizontal="center" vertical="center" wrapText="1"/>
    </xf>
    <xf numFmtId="0" fontId="79" fillId="0" borderId="0" xfId="4" applyNumberFormat="1" applyFont="1" applyAlignment="1">
      <alignment horizontal="center" vertical="center" wrapText="1"/>
    </xf>
    <xf numFmtId="0" fontId="165" fillId="0" borderId="2" xfId="4" applyNumberFormat="1" applyFont="1" applyBorder="1" applyAlignment="1">
      <alignment horizontal="center" vertical="center" wrapText="1" readingOrder="1"/>
    </xf>
    <xf numFmtId="0" fontId="165" fillId="0" borderId="2" xfId="4" applyNumberFormat="1" applyFont="1" applyBorder="1" applyAlignment="1">
      <alignment horizontal="center" vertical="center" wrapText="1"/>
    </xf>
    <xf numFmtId="0" fontId="125" fillId="0" borderId="2" xfId="20" applyNumberFormat="1" applyFont="1" applyBorder="1" applyAlignment="1">
      <alignment horizontal="justify" vertical="center" wrapText="1"/>
    </xf>
    <xf numFmtId="0" fontId="125" fillId="0" borderId="2" xfId="20" applyNumberFormat="1" applyFont="1" applyBorder="1" applyAlignment="1">
      <alignment horizontal="left" vertical="center" wrapText="1"/>
    </xf>
    <xf numFmtId="0" fontId="306" fillId="0" borderId="2" xfId="4" applyNumberFormat="1" applyFont="1" applyBorder="1" applyAlignment="1">
      <alignment horizontal="center" vertical="center" wrapText="1"/>
    </xf>
    <xf numFmtId="0" fontId="198" fillId="0" borderId="2" xfId="4" applyNumberFormat="1" applyFont="1" applyBorder="1" applyAlignment="1">
      <alignment horizontal="left" vertical="center" wrapText="1"/>
    </xf>
    <xf numFmtId="0" fontId="306" fillId="0" borderId="2" xfId="20" applyNumberFormat="1" applyFont="1" applyBorder="1" applyAlignment="1">
      <alignment horizontal="center" vertical="center" wrapText="1"/>
    </xf>
    <xf numFmtId="0" fontId="80" fillId="0" borderId="2" xfId="20" applyNumberFormat="1" applyFont="1" applyBorder="1" applyAlignment="1">
      <alignment vertical="center" wrapText="1"/>
    </xf>
    <xf numFmtId="0" fontId="255" fillId="0" borderId="2" xfId="20" applyNumberFormat="1" applyFont="1" applyBorder="1" applyAlignment="1">
      <alignment horizontal="left" vertical="center" wrapText="1"/>
    </xf>
    <xf numFmtId="0" fontId="125" fillId="0" borderId="2" xfId="4" applyNumberFormat="1" applyFont="1" applyBorder="1" applyAlignment="1">
      <alignment horizontal="left" vertical="center" wrapText="1" readingOrder="1"/>
    </xf>
    <xf numFmtId="0" fontId="142" fillId="0" borderId="2" xfId="20" applyNumberFormat="1" applyFont="1" applyBorder="1" applyAlignment="1">
      <alignment vertical="center" wrapText="1"/>
    </xf>
    <xf numFmtId="0" fontId="306" fillId="0" borderId="2" xfId="20" applyNumberFormat="1" applyFont="1" applyBorder="1" applyAlignment="1">
      <alignment horizontal="left" vertical="center" wrapText="1"/>
    </xf>
    <xf numFmtId="0" fontId="307" fillId="0" borderId="2" xfId="4" applyNumberFormat="1" applyFont="1" applyBorder="1" applyAlignment="1">
      <alignment horizontal="center" vertical="center" wrapText="1"/>
    </xf>
    <xf numFmtId="0" fontId="307" fillId="0" borderId="2" xfId="4" applyNumberFormat="1" applyFont="1" applyBorder="1" applyAlignment="1">
      <alignment horizontal="left" vertical="center" wrapText="1"/>
    </xf>
    <xf numFmtId="0" fontId="308" fillId="0" borderId="2" xfId="4" applyNumberFormat="1" applyFont="1" applyBorder="1" applyAlignment="1">
      <alignment horizontal="center" vertical="center" wrapText="1"/>
    </xf>
    <xf numFmtId="0" fontId="255" fillId="0" borderId="2" xfId="20" applyNumberFormat="1" applyFont="1" applyBorder="1" applyAlignment="1">
      <alignment vertical="center" wrapText="1"/>
    </xf>
    <xf numFmtId="0" fontId="307" fillId="0" borderId="2" xfId="20" applyNumberFormat="1" applyFont="1" applyBorder="1" applyAlignment="1">
      <alignment horizontal="center" vertical="center" wrapText="1"/>
    </xf>
    <xf numFmtId="0" fontId="79" fillId="0" borderId="2" xfId="4" applyNumberFormat="1" applyFont="1" applyBorder="1" applyAlignment="1">
      <alignment vertical="center" wrapText="1"/>
    </xf>
    <xf numFmtId="0" fontId="178" fillId="0" borderId="2" xfId="4" applyNumberFormat="1" applyFont="1" applyBorder="1" applyAlignment="1">
      <alignment vertical="center" wrapText="1"/>
    </xf>
    <xf numFmtId="0" fontId="309" fillId="8" borderId="2" xfId="20" applyNumberFormat="1" applyFont="1" applyFill="1" applyBorder="1" applyAlignment="1">
      <alignment horizontal="justify" vertical="center" wrapText="1"/>
    </xf>
    <xf numFmtId="0" fontId="309" fillId="8" borderId="21" xfId="20" applyNumberFormat="1" applyFont="1" applyFill="1" applyBorder="1" applyAlignment="1">
      <alignment horizontal="justify" vertical="center" wrapText="1"/>
    </xf>
    <xf numFmtId="0" fontId="309" fillId="8" borderId="21" xfId="20" applyNumberFormat="1" applyFont="1" applyFill="1" applyBorder="1" applyAlignment="1">
      <alignment horizontal="center" vertical="center" wrapText="1"/>
    </xf>
    <xf numFmtId="0" fontId="255" fillId="8" borderId="21" xfId="20" applyNumberFormat="1" applyFont="1" applyFill="1" applyBorder="1" applyAlignment="1">
      <alignment horizontal="justify" vertical="center" wrapText="1"/>
    </xf>
    <xf numFmtId="0" fontId="143" fillId="0" borderId="2" xfId="4" applyBorder="1" applyAlignment="1">
      <alignment horizontal="center" vertical="center"/>
    </xf>
    <xf numFmtId="185" fontId="143" fillId="0" borderId="2" xfId="4" applyNumberFormat="1" applyBorder="1" applyAlignment="1">
      <alignment horizontal="center" vertical="center"/>
    </xf>
    <xf numFmtId="0" fontId="79" fillId="0" borderId="2" xfId="20" applyBorder="1" applyAlignment="1">
      <alignment horizontal="center" vertical="center" wrapText="1"/>
    </xf>
    <xf numFmtId="198" fontId="79" fillId="0" borderId="2" xfId="20" applyNumberFormat="1" applyBorder="1" applyAlignment="1">
      <alignment horizontal="center" vertical="center" wrapText="1"/>
    </xf>
    <xf numFmtId="0" fontId="306" fillId="0" borderId="2" xfId="4" applyFont="1" applyBorder="1" applyAlignment="1">
      <alignment horizontal="center" vertical="center" readingOrder="1"/>
    </xf>
    <xf numFmtId="177" fontId="79" fillId="0" borderId="2" xfId="4" applyNumberFormat="1" applyFont="1" applyBorder="1" applyAlignment="1">
      <alignment horizontal="center" vertical="center" wrapText="1"/>
    </xf>
    <xf numFmtId="0" fontId="80" fillId="0" borderId="2" xfId="20" applyFont="1" applyBorder="1" applyAlignment="1">
      <alignment horizontal="left" vertical="center" wrapText="1"/>
    </xf>
    <xf numFmtId="177" fontId="304" fillId="0" borderId="21" xfId="4" applyNumberFormat="1" applyFont="1" applyBorder="1" applyAlignment="1">
      <alignment horizontal="center" vertical="center" wrapText="1"/>
    </xf>
    <xf numFmtId="0" fontId="79" fillId="0" borderId="21" xfId="20" applyBorder="1" applyAlignment="1">
      <alignment horizontal="center" vertical="center" wrapText="1"/>
    </xf>
    <xf numFmtId="180" fontId="143" fillId="0" borderId="0" xfId="4" applyNumberFormat="1" applyAlignment="1">
      <alignment horizontal="center" vertical="center" wrapText="1"/>
    </xf>
    <xf numFmtId="0" fontId="143" fillId="0" borderId="0" xfId="4" applyAlignment="1">
      <alignment horizontal="center" vertical="center"/>
    </xf>
    <xf numFmtId="0" fontId="79" fillId="0" borderId="2" xfId="4" applyFont="1" applyBorder="1" applyAlignment="1">
      <alignment horizontal="center" vertical="center"/>
    </xf>
    <xf numFmtId="185" fontId="79" fillId="0" borderId="2" xfId="4" applyNumberFormat="1" applyFont="1" applyBorder="1" applyAlignment="1">
      <alignment horizontal="center" vertical="center"/>
    </xf>
    <xf numFmtId="0" fontId="79" fillId="0" borderId="21" xfId="20" applyBorder="1" applyAlignment="1">
      <alignment horizontal="left" vertical="center" wrapText="1"/>
    </xf>
    <xf numFmtId="180" fontId="79" fillId="0" borderId="9" xfId="4" applyNumberFormat="1" applyFont="1" applyBorder="1" applyAlignment="1">
      <alignment horizontal="center" vertical="center" wrapText="1"/>
    </xf>
    <xf numFmtId="180" fontId="79" fillId="0" borderId="2" xfId="4" applyNumberFormat="1" applyFont="1" applyBorder="1" applyAlignment="1">
      <alignment horizontal="center" vertical="center" wrapText="1"/>
    </xf>
    <xf numFmtId="0" fontId="79" fillId="0" borderId="0" xfId="4" applyFont="1" applyAlignment="1">
      <alignment horizontal="center" vertical="center"/>
    </xf>
    <xf numFmtId="0" fontId="306" fillId="0" borderId="2" xfId="20" applyFont="1" applyBorder="1" applyAlignment="1">
      <alignment horizontal="center" vertical="center" wrapText="1"/>
    </xf>
    <xf numFmtId="180" fontId="306" fillId="0" borderId="2" xfId="4" applyNumberFormat="1" applyFont="1" applyBorder="1" applyAlignment="1">
      <alignment horizontal="center" vertical="center" readingOrder="1"/>
    </xf>
    <xf numFmtId="0" fontId="80" fillId="0" borderId="2" xfId="20" applyFont="1" applyBorder="1" applyAlignment="1">
      <alignment vertical="center" wrapText="1"/>
    </xf>
    <xf numFmtId="0" fontId="143" fillId="0" borderId="0" xfId="4"/>
    <xf numFmtId="0" fontId="142" fillId="0" borderId="2" xfId="20" applyFont="1" applyBorder="1" applyAlignment="1">
      <alignment horizontal="center" vertical="center" wrapText="1"/>
    </xf>
    <xf numFmtId="198" fontId="142" fillId="0" borderId="2" xfId="20" applyNumberFormat="1" applyFont="1" applyBorder="1" applyAlignment="1">
      <alignment horizontal="center" vertical="center" wrapText="1"/>
    </xf>
    <xf numFmtId="198" fontId="125" fillId="0" borderId="2" xfId="20" applyNumberFormat="1" applyFont="1" applyBorder="1" applyAlignment="1">
      <alignment horizontal="left" vertical="center" wrapText="1"/>
    </xf>
    <xf numFmtId="185" fontId="79" fillId="0" borderId="2" xfId="4" applyNumberFormat="1" applyFont="1" applyBorder="1" applyAlignment="1">
      <alignment horizontal="center" vertical="center" wrapText="1"/>
    </xf>
    <xf numFmtId="177" fontId="79" fillId="0" borderId="2" xfId="20" applyNumberFormat="1" applyBorder="1" applyAlignment="1">
      <alignment horizontal="center" vertical="center" wrapText="1"/>
    </xf>
    <xf numFmtId="0" fontId="80" fillId="0" borderId="2" xfId="20" applyFont="1" applyBorder="1" applyAlignment="1">
      <alignment vertical="justify" wrapText="1"/>
    </xf>
    <xf numFmtId="177" fontId="142" fillId="0" borderId="2" xfId="4" applyNumberFormat="1" applyFont="1" applyBorder="1" applyAlignment="1">
      <alignment horizontal="center" vertical="center" wrapText="1"/>
    </xf>
    <xf numFmtId="177" fontId="304" fillId="0" borderId="2" xfId="4" applyNumberFormat="1" applyFont="1" applyBorder="1" applyAlignment="1">
      <alignment horizontal="left" vertical="center" wrapText="1"/>
    </xf>
    <xf numFmtId="177" fontId="125" fillId="0" borderId="2" xfId="4" applyNumberFormat="1" applyFont="1" applyBorder="1" applyAlignment="1">
      <alignment horizontal="left" vertical="center" wrapText="1"/>
    </xf>
    <xf numFmtId="185" fontId="79" fillId="0" borderId="2" xfId="20" applyNumberFormat="1" applyBorder="1" applyAlignment="1">
      <alignment horizontal="center" vertical="center" wrapText="1"/>
    </xf>
    <xf numFmtId="180" fontId="304" fillId="0" borderId="2" xfId="4" applyNumberFormat="1" applyFont="1" applyBorder="1" applyAlignment="1">
      <alignment horizontal="center" vertical="center" readingOrder="1"/>
    </xf>
    <xf numFmtId="0" fontId="125" fillId="0" borderId="2" xfId="20" applyFont="1" applyBorder="1" applyAlignment="1">
      <alignment horizontal="justify" vertical="center" wrapText="1"/>
    </xf>
    <xf numFmtId="0" fontId="143" fillId="0" borderId="2" xfId="4" applyBorder="1" applyAlignment="1">
      <alignment vertical="center"/>
    </xf>
    <xf numFmtId="177" fontId="142" fillId="0" borderId="2" xfId="4" applyNumberFormat="1" applyFont="1" applyBorder="1" applyAlignment="1">
      <alignment horizontal="left" vertical="center" wrapText="1"/>
    </xf>
    <xf numFmtId="1" fontId="165" fillId="0" borderId="2" xfId="4" applyNumberFormat="1" applyFont="1" applyBorder="1" applyAlignment="1">
      <alignment horizontal="center" vertical="center" wrapText="1" readingOrder="1"/>
    </xf>
    <xf numFmtId="177" fontId="165" fillId="0" borderId="2" xfId="4" applyNumberFormat="1" applyFont="1" applyBorder="1" applyAlignment="1">
      <alignment horizontal="center" vertical="center" wrapText="1"/>
    </xf>
    <xf numFmtId="0" fontId="142" fillId="0" borderId="2" xfId="20" applyFont="1" applyBorder="1" applyAlignment="1">
      <alignment horizontal="left" vertical="center" wrapText="1"/>
    </xf>
    <xf numFmtId="180" fontId="142" fillId="0" borderId="2" xfId="4" applyNumberFormat="1" applyFont="1" applyBorder="1" applyAlignment="1">
      <alignment horizontal="center" vertical="center" wrapText="1" readingOrder="1"/>
    </xf>
    <xf numFmtId="0" fontId="125" fillId="0" borderId="2" xfId="20" applyFont="1" applyBorder="1" applyAlignment="1">
      <alignment horizontal="left" vertical="center" wrapText="1"/>
    </xf>
    <xf numFmtId="0" fontId="306" fillId="0" borderId="2" xfId="4" applyFont="1" applyBorder="1" applyAlignment="1">
      <alignment horizontal="center" vertical="center" wrapText="1" readingOrder="1"/>
    </xf>
    <xf numFmtId="0" fontId="306" fillId="0" borderId="2" xfId="20" applyFont="1" applyBorder="1" applyAlignment="1">
      <alignment horizontal="left" vertical="center" wrapText="1"/>
    </xf>
    <xf numFmtId="177" fontId="165" fillId="0" borderId="2" xfId="4" applyNumberFormat="1" applyFont="1" applyBorder="1" applyAlignment="1">
      <alignment horizontal="center" vertical="center" wrapText="1" readingOrder="1"/>
    </xf>
    <xf numFmtId="0" fontId="255" fillId="0" borderId="2" xfId="20" applyFont="1" applyBorder="1" applyAlignment="1">
      <alignment horizontal="justify" vertical="center"/>
    </xf>
    <xf numFmtId="0" fontId="79" fillId="25" borderId="2" xfId="20" applyFill="1" applyBorder="1" applyAlignment="1">
      <alignment horizontal="center" vertical="center" wrapText="1"/>
    </xf>
    <xf numFmtId="185" fontId="142" fillId="0" borderId="2" xfId="4" applyNumberFormat="1" applyFont="1" applyBorder="1" applyAlignment="1">
      <alignment horizontal="left" vertical="center" wrapText="1"/>
    </xf>
    <xf numFmtId="0" fontId="255" fillId="0" borderId="2" xfId="20" applyFont="1" applyBorder="1" applyAlignment="1">
      <alignment horizontal="justify" vertical="center" wrapText="1"/>
    </xf>
    <xf numFmtId="185" fontId="79" fillId="0" borderId="2" xfId="4" applyNumberFormat="1" applyFont="1" applyBorder="1" applyAlignment="1">
      <alignment horizontal="left" vertical="center" wrapText="1"/>
    </xf>
    <xf numFmtId="178" fontId="306" fillId="0" borderId="2" xfId="4" applyNumberFormat="1" applyFont="1" applyBorder="1" applyAlignment="1">
      <alignment horizontal="center" vertical="center" readingOrder="1"/>
    </xf>
    <xf numFmtId="185" fontId="142" fillId="0" borderId="2" xfId="4" applyNumberFormat="1" applyFont="1" applyBorder="1" applyAlignment="1">
      <alignment horizontal="center" vertical="center" wrapText="1"/>
    </xf>
    <xf numFmtId="177" fontId="142" fillId="0" borderId="2" xfId="4" applyNumberFormat="1" applyFont="1" applyBorder="1" applyAlignment="1">
      <alignment horizontal="center" vertical="center" wrapText="1" readingOrder="1"/>
    </xf>
    <xf numFmtId="177" fontId="79" fillId="0" borderId="2" xfId="4" applyNumberFormat="1" applyFont="1" applyBorder="1" applyAlignment="1">
      <alignment horizontal="center" vertical="center" wrapText="1" readingOrder="1"/>
    </xf>
    <xf numFmtId="180" fontId="79" fillId="0" borderId="2" xfId="22" applyNumberFormat="1" applyFont="1" applyFill="1" applyBorder="1" applyAlignment="1">
      <alignment horizontal="center" vertical="center" wrapText="1"/>
    </xf>
    <xf numFmtId="0" fontId="80" fillId="0" borderId="2" xfId="20" applyFont="1" applyBorder="1" applyAlignment="1">
      <alignment horizontal="justify" vertical="center" wrapText="1"/>
    </xf>
    <xf numFmtId="0" fontId="79" fillId="0" borderId="2" xfId="4" applyFont="1" applyBorder="1" applyAlignment="1">
      <alignment horizontal="center" vertical="center" readingOrder="1"/>
    </xf>
    <xf numFmtId="180" fontId="142" fillId="0" borderId="2" xfId="22" applyNumberFormat="1" applyFont="1" applyFill="1" applyBorder="1" applyAlignment="1">
      <alignment horizontal="center" vertical="center" wrapText="1"/>
    </xf>
    <xf numFmtId="177" fontId="80" fillId="0" borderId="2" xfId="4" applyNumberFormat="1" applyFont="1" applyBorder="1" applyAlignment="1">
      <alignment horizontal="left" vertical="center" wrapText="1"/>
    </xf>
    <xf numFmtId="194" fontId="304" fillId="0" borderId="2" xfId="4" applyNumberFormat="1" applyFont="1" applyBorder="1" applyAlignment="1">
      <alignment horizontal="center" vertical="center" wrapText="1"/>
    </xf>
    <xf numFmtId="185" fontId="311" fillId="0" borderId="2" xfId="4" applyNumberFormat="1" applyFont="1" applyBorder="1" applyAlignment="1">
      <alignment horizontal="center" vertical="center"/>
    </xf>
    <xf numFmtId="185" fontId="311" fillId="0" borderId="2" xfId="4" applyNumberFormat="1" applyFont="1" applyBorder="1" applyAlignment="1">
      <alignment horizontal="center" vertical="center" wrapText="1"/>
    </xf>
    <xf numFmtId="177" fontId="311" fillId="0" borderId="2" xfId="4" applyNumberFormat="1" applyFont="1" applyBorder="1" applyAlignment="1">
      <alignment horizontal="center" vertical="center" wrapText="1"/>
    </xf>
    <xf numFmtId="4" fontId="312" fillId="0" borderId="2" xfId="4" applyNumberFormat="1" applyFont="1" applyBorder="1" applyAlignment="1">
      <alignment horizontal="center" vertical="center" readingOrder="1"/>
    </xf>
    <xf numFmtId="177" fontId="305" fillId="0" borderId="2" xfId="4" applyNumberFormat="1" applyFont="1" applyBorder="1" applyAlignment="1">
      <alignment vertical="center" wrapText="1"/>
    </xf>
    <xf numFmtId="177" fontId="304" fillId="0" borderId="2" xfId="4" applyNumberFormat="1" applyFont="1" applyBorder="1" applyAlignment="1">
      <alignment vertical="center" wrapText="1"/>
    </xf>
    <xf numFmtId="185" fontId="304" fillId="0" borderId="2" xfId="4" applyNumberFormat="1" applyFont="1" applyBorder="1" applyAlignment="1">
      <alignment horizontal="center" vertical="center" wrapText="1"/>
    </xf>
    <xf numFmtId="177" fontId="311" fillId="0" borderId="0" xfId="4" applyNumberFormat="1" applyFont="1" applyAlignment="1">
      <alignment horizontal="center" vertical="center"/>
    </xf>
    <xf numFmtId="177" fontId="79" fillId="0" borderId="2" xfId="4" applyNumberFormat="1" applyFont="1" applyBorder="1" applyAlignment="1">
      <alignment horizontal="left" vertical="center" wrapText="1"/>
    </xf>
    <xf numFmtId="0" fontId="79" fillId="0" borderId="2" xfId="20" applyBorder="1" applyAlignment="1">
      <alignment horizontal="left" vertical="center" wrapText="1"/>
    </xf>
    <xf numFmtId="180" fontId="165" fillId="0" borderId="2" xfId="4" applyNumberFormat="1" applyFont="1" applyBorder="1" applyAlignment="1">
      <alignment horizontal="center" vertical="center" wrapText="1" readingOrder="1"/>
    </xf>
    <xf numFmtId="0" fontId="125" fillId="0" borderId="2" xfId="20" applyFont="1" applyBorder="1" applyAlignment="1">
      <alignment vertical="center" wrapText="1"/>
    </xf>
    <xf numFmtId="177" fontId="306" fillId="0" borderId="2" xfId="4" applyNumberFormat="1" applyFont="1" applyBorder="1" applyAlignment="1">
      <alignment horizontal="center" vertical="center" wrapText="1"/>
    </xf>
    <xf numFmtId="185" fontId="80" fillId="0" borderId="2" xfId="4" applyNumberFormat="1" applyFont="1" applyBorder="1" applyAlignment="1">
      <alignment horizontal="left" vertical="center" wrapText="1"/>
    </xf>
    <xf numFmtId="185" fontId="165" fillId="0" borderId="2" xfId="4" applyNumberFormat="1" applyFont="1" applyBorder="1" applyAlignment="1">
      <alignment horizontal="center" vertical="center" wrapText="1"/>
    </xf>
    <xf numFmtId="49" fontId="79" fillId="0" borderId="2" xfId="4" applyNumberFormat="1" applyFont="1" applyBorder="1" applyAlignment="1">
      <alignment horizontal="center" vertical="center" wrapText="1"/>
    </xf>
    <xf numFmtId="185" fontId="198" fillId="0" borderId="2" xfId="4" applyNumberFormat="1" applyFont="1" applyBorder="1" applyAlignment="1">
      <alignment horizontal="left" vertical="center" wrapText="1"/>
    </xf>
    <xf numFmtId="1" fontId="79" fillId="0" borderId="2" xfId="4" applyNumberFormat="1" applyFont="1" applyBorder="1" applyAlignment="1">
      <alignment horizontal="center" vertical="center" wrapText="1" readingOrder="1"/>
    </xf>
    <xf numFmtId="0" fontId="255" fillId="0" borderId="2" xfId="20" applyFont="1" applyBorder="1" applyAlignment="1">
      <alignment horizontal="left" vertical="center" wrapText="1"/>
    </xf>
    <xf numFmtId="180" fontId="142" fillId="0" borderId="2" xfId="4" applyNumberFormat="1" applyFont="1" applyBorder="1" applyAlignment="1">
      <alignment horizontal="center" vertical="center" readingOrder="1"/>
    </xf>
    <xf numFmtId="177" fontId="79" fillId="0" borderId="0" xfId="4" applyNumberFormat="1" applyFont="1" applyAlignment="1">
      <alignment horizontal="center" vertical="center"/>
    </xf>
    <xf numFmtId="180" fontId="165" fillId="0" borderId="2" xfId="4" applyNumberFormat="1" applyFont="1" applyBorder="1" applyAlignment="1">
      <alignment horizontal="center" vertical="center" readingOrder="1"/>
    </xf>
    <xf numFmtId="178" fontId="165" fillId="0" borderId="2" xfId="4" applyNumberFormat="1" applyFont="1" applyBorder="1" applyAlignment="1">
      <alignment horizontal="center" vertical="center" readingOrder="1"/>
    </xf>
    <xf numFmtId="180" fontId="255" fillId="0" borderId="2" xfId="4" applyNumberFormat="1" applyFont="1" applyBorder="1" applyAlignment="1">
      <alignment horizontal="left" vertical="center" wrapText="1" readingOrder="1"/>
    </xf>
    <xf numFmtId="0" fontId="142" fillId="0" borderId="2" xfId="20" applyFont="1" applyBorder="1" applyAlignment="1">
      <alignment vertical="center" wrapText="1"/>
    </xf>
    <xf numFmtId="180" fontId="125" fillId="0" borderId="2" xfId="4" applyNumberFormat="1" applyFont="1" applyBorder="1" applyAlignment="1">
      <alignment horizontal="left" vertical="center" wrapText="1" readingOrder="1"/>
    </xf>
    <xf numFmtId="185" fontId="34" fillId="0" borderId="2" xfId="4" applyNumberFormat="1" applyFont="1" applyBorder="1" applyAlignment="1">
      <alignment horizontal="center" vertical="center" wrapText="1"/>
    </xf>
    <xf numFmtId="177" fontId="34" fillId="0" borderId="2" xfId="4" applyNumberFormat="1" applyFont="1" applyBorder="1" applyAlignment="1">
      <alignment horizontal="center" vertical="center" wrapText="1"/>
    </xf>
    <xf numFmtId="177" fontId="34" fillId="0" borderId="2" xfId="4" applyNumberFormat="1" applyFont="1" applyBorder="1" applyAlignment="1">
      <alignment horizontal="left" vertical="center" wrapText="1"/>
    </xf>
    <xf numFmtId="187" fontId="34" fillId="0" borderId="2" xfId="4" applyNumberFormat="1" applyFont="1" applyBorder="1" applyAlignment="1">
      <alignment horizontal="center" vertical="center" wrapText="1"/>
    </xf>
    <xf numFmtId="0" fontId="125" fillId="8" borderId="2" xfId="20" applyFont="1" applyFill="1" applyBorder="1" applyAlignment="1">
      <alignment horizontal="justify" vertical="center"/>
    </xf>
    <xf numFmtId="0" fontId="34" fillId="0" borderId="2" xfId="20" applyFont="1" applyBorder="1" applyAlignment="1">
      <alignment horizontal="center" vertical="center" wrapText="1"/>
    </xf>
    <xf numFmtId="0" fontId="143" fillId="0" borderId="2" xfId="4" applyBorder="1"/>
    <xf numFmtId="180" fontId="34" fillId="0" borderId="2" xfId="4" applyNumberFormat="1" applyFont="1" applyBorder="1" applyAlignment="1">
      <alignment horizontal="center" vertical="center" wrapText="1" readingOrder="1"/>
    </xf>
    <xf numFmtId="0" fontId="34" fillId="0" borderId="2" xfId="20" applyFont="1" applyBorder="1" applyAlignment="1">
      <alignment vertical="center" wrapText="1"/>
    </xf>
    <xf numFmtId="198" fontId="34" fillId="0" borderId="2" xfId="20" applyNumberFormat="1" applyFont="1" applyBorder="1" applyAlignment="1">
      <alignment horizontal="center" vertical="center" wrapText="1"/>
    </xf>
    <xf numFmtId="0" fontId="34" fillId="8" borderId="2" xfId="20" applyFont="1" applyFill="1" applyBorder="1" applyAlignment="1">
      <alignment horizontal="center" vertical="center" wrapText="1"/>
    </xf>
    <xf numFmtId="0" fontId="34" fillId="0" borderId="2" xfId="20" applyFont="1" applyBorder="1" applyAlignment="1">
      <alignment horizontal="left" vertical="center" wrapText="1"/>
    </xf>
    <xf numFmtId="180" fontId="34" fillId="0" borderId="2" xfId="4" applyNumberFormat="1" applyFont="1" applyBorder="1" applyAlignment="1">
      <alignment horizontal="center" vertical="center" readingOrder="1"/>
    </xf>
    <xf numFmtId="0" fontId="125" fillId="0" borderId="2" xfId="20" applyFont="1" applyBorder="1" applyAlignment="1">
      <alignment horizontal="justify" vertical="center"/>
    </xf>
    <xf numFmtId="0" fontId="34" fillId="0" borderId="2" xfId="4" applyFont="1" applyBorder="1" applyAlignment="1">
      <alignment horizontal="center" vertical="center" readingOrder="1"/>
    </xf>
    <xf numFmtId="185" fontId="307" fillId="0" borderId="2" xfId="4" applyNumberFormat="1"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07" fillId="0" borderId="2" xfId="4" applyNumberFormat="1" applyFont="1" applyBorder="1" applyAlignment="1">
      <alignment horizontal="left" vertical="center" wrapText="1"/>
    </xf>
    <xf numFmtId="177" fontId="308" fillId="0" borderId="2" xfId="4" applyNumberFormat="1" applyFont="1" applyBorder="1" applyAlignment="1">
      <alignment horizontal="center" vertical="center" wrapText="1"/>
    </xf>
    <xf numFmtId="0" fontId="255" fillId="8" borderId="2" xfId="20" applyFont="1" applyFill="1" applyBorder="1" applyAlignment="1">
      <alignment horizontal="justify" vertical="center"/>
    </xf>
    <xf numFmtId="0" fontId="307" fillId="0" borderId="2" xfId="20" applyFont="1" applyBorder="1" applyAlignment="1">
      <alignment horizontal="center" vertical="center" wrapText="1"/>
    </xf>
    <xf numFmtId="177" fontId="34" fillId="0" borderId="21" xfId="4" applyNumberFormat="1" applyFont="1" applyBorder="1" applyAlignment="1">
      <alignment horizontal="center" vertical="center" wrapText="1"/>
    </xf>
    <xf numFmtId="180" fontId="308" fillId="0" borderId="2" xfId="4" applyNumberFormat="1" applyFont="1" applyBorder="1" applyAlignment="1">
      <alignment horizontal="center" vertical="center" wrapText="1" readingOrder="1"/>
    </xf>
    <xf numFmtId="2" fontId="308" fillId="0" borderId="2" xfId="4" applyNumberFormat="1" applyFont="1" applyBorder="1" applyAlignment="1">
      <alignment horizontal="center" vertical="center" wrapText="1" readingOrder="1"/>
    </xf>
    <xf numFmtId="0" fontId="255" fillId="0" borderId="2" xfId="20" applyFont="1" applyBorder="1" applyAlignment="1">
      <alignment vertical="center" wrapText="1"/>
    </xf>
    <xf numFmtId="0" fontId="178" fillId="0" borderId="2" xfId="4" applyFont="1" applyBorder="1" applyAlignment="1">
      <alignment vertical="center"/>
    </xf>
    <xf numFmtId="0" fontId="34" fillId="0" borderId="2" xfId="4" applyFont="1" applyBorder="1" applyAlignment="1">
      <alignment horizontal="center" vertical="center" wrapText="1"/>
    </xf>
    <xf numFmtId="0" fontId="80" fillId="0" borderId="2" xfId="20" applyFont="1" applyBorder="1" applyAlignment="1">
      <alignment horizontal="justify" vertical="center"/>
    </xf>
    <xf numFmtId="0" fontId="309" fillId="8" borderId="2" xfId="20" applyFont="1" applyFill="1" applyBorder="1" applyAlignment="1">
      <alignment horizontal="center" vertical="center" wrapText="1"/>
    </xf>
    <xf numFmtId="0" fontId="178" fillId="0" borderId="0" xfId="4" applyFont="1" applyAlignment="1">
      <alignment vertical="center"/>
    </xf>
    <xf numFmtId="0" fontId="79" fillId="0" borderId="2" xfId="4" applyFont="1" applyBorder="1" applyAlignment="1">
      <alignment vertical="center"/>
    </xf>
    <xf numFmtId="177" fontId="309" fillId="0" borderId="2" xfId="4" applyNumberFormat="1" applyFont="1" applyBorder="1" applyAlignment="1">
      <alignment horizontal="center" vertical="center" wrapText="1"/>
    </xf>
    <xf numFmtId="177" fontId="309" fillId="0" borderId="2" xfId="4" applyNumberFormat="1" applyFont="1" applyBorder="1" applyAlignment="1">
      <alignment horizontal="left" vertical="center" wrapText="1"/>
    </xf>
    <xf numFmtId="0" fontId="79" fillId="0" borderId="0" xfId="4" applyFont="1" applyAlignment="1">
      <alignment vertical="center"/>
    </xf>
    <xf numFmtId="0" fontId="143" fillId="0" borderId="0" xfId="4" applyAlignment="1">
      <alignment vertical="center"/>
    </xf>
    <xf numFmtId="0" fontId="309" fillId="0" borderId="2" xfId="20" applyFont="1" applyBorder="1" applyAlignment="1">
      <alignment horizontal="center" vertical="center" wrapText="1"/>
    </xf>
    <xf numFmtId="180" fontId="309" fillId="8" borderId="2" xfId="20" applyNumberFormat="1" applyFont="1" applyFill="1" applyBorder="1" applyAlignment="1">
      <alignment horizontal="center" vertical="center" wrapText="1"/>
    </xf>
    <xf numFmtId="0" fontId="178" fillId="0" borderId="2" xfId="4" applyFont="1" applyBorder="1" applyAlignment="1">
      <alignment horizontal="center" vertical="center"/>
    </xf>
    <xf numFmtId="177" fontId="314" fillId="0" borderId="2" xfId="4" applyNumberFormat="1" applyFont="1" applyBorder="1" applyAlignment="1">
      <alignment horizontal="left" vertical="center" wrapText="1"/>
    </xf>
    <xf numFmtId="0" fontId="80" fillId="0" borderId="2" xfId="20" applyFont="1" applyBorder="1" applyAlignment="1">
      <alignment horizontal="center" vertical="center" wrapText="1"/>
    </xf>
    <xf numFmtId="0" fontId="178" fillId="0" borderId="10" xfId="4" applyFont="1" applyBorder="1" applyAlignment="1">
      <alignment horizontal="center" vertical="center"/>
    </xf>
    <xf numFmtId="185" fontId="307" fillId="0" borderId="10" xfId="4" applyNumberFormat="1" applyFont="1" applyBorder="1" applyAlignment="1">
      <alignment horizontal="center" vertical="center" wrapText="1"/>
    </xf>
    <xf numFmtId="177" fontId="307" fillId="0" borderId="10" xfId="4" applyNumberFormat="1" applyFont="1" applyBorder="1" applyAlignment="1">
      <alignment horizontal="center" vertical="center" wrapText="1"/>
    </xf>
    <xf numFmtId="177" fontId="314" fillId="0" borderId="10" xfId="4" applyNumberFormat="1" applyFont="1" applyBorder="1" applyAlignment="1">
      <alignment horizontal="left" vertical="center" wrapText="1"/>
    </xf>
    <xf numFmtId="177" fontId="308" fillId="0" borderId="10" xfId="4" applyNumberFormat="1" applyFont="1" applyBorder="1" applyAlignment="1">
      <alignment horizontal="center" vertical="center" wrapText="1"/>
    </xf>
    <xf numFmtId="0" fontId="255" fillId="8" borderId="10" xfId="20" applyFont="1" applyFill="1" applyBorder="1" applyAlignment="1">
      <alignment horizontal="justify" vertical="center"/>
    </xf>
    <xf numFmtId="0" fontId="80" fillId="0" borderId="10" xfId="20" applyFont="1" applyBorder="1" applyAlignment="1">
      <alignment horizontal="center" vertical="center" wrapText="1"/>
    </xf>
    <xf numFmtId="0" fontId="307" fillId="0" borderId="2" xfId="4" applyFont="1" applyBorder="1" applyAlignment="1">
      <alignment horizontal="center" vertical="center"/>
    </xf>
    <xf numFmtId="185" fontId="307" fillId="8" borderId="2" xfId="4" applyNumberFormat="1" applyFont="1" applyFill="1" applyBorder="1" applyAlignment="1">
      <alignment horizontal="center" vertical="center" wrapText="1"/>
    </xf>
    <xf numFmtId="0" fontId="255" fillId="0" borderId="2" xfId="20" applyFont="1" applyBorder="1">
      <alignment vertical="center"/>
    </xf>
    <xf numFmtId="0" fontId="307" fillId="0" borderId="2" xfId="4" applyFont="1" applyBorder="1" applyAlignment="1">
      <alignment vertical="center" wrapText="1"/>
    </xf>
    <xf numFmtId="0" fontId="255" fillId="0" borderId="2" xfId="20" applyFont="1" applyBorder="1" applyAlignment="1">
      <alignment horizontal="center" vertical="center" wrapText="1"/>
    </xf>
    <xf numFmtId="0" fontId="315" fillId="0" borderId="2" xfId="4" applyFont="1" applyBorder="1" applyAlignment="1">
      <alignment horizontal="center" vertical="center"/>
    </xf>
    <xf numFmtId="0" fontId="309" fillId="8" borderId="2" xfId="20" applyFont="1" applyFill="1" applyBorder="1" applyAlignment="1">
      <alignment horizontal="justify" vertical="center" wrapText="1"/>
    </xf>
    <xf numFmtId="0" fontId="309" fillId="8" borderId="21" xfId="20" applyFont="1" applyFill="1" applyBorder="1" applyAlignment="1">
      <alignment horizontal="justify" vertical="center" wrapText="1"/>
    </xf>
    <xf numFmtId="0" fontId="309" fillId="8" borderId="21" xfId="20" applyFont="1" applyFill="1" applyBorder="1" applyAlignment="1">
      <alignment horizontal="center" vertical="center" wrapText="1"/>
    </xf>
    <xf numFmtId="0" fontId="255" fillId="8" borderId="21" xfId="20" applyFont="1" applyFill="1" applyBorder="1" applyAlignment="1">
      <alignment horizontal="justify" vertical="center"/>
    </xf>
    <xf numFmtId="0" fontId="255" fillId="8" borderId="21" xfId="20" applyFont="1" applyFill="1" applyBorder="1" applyAlignment="1">
      <alignment horizontal="justify" vertical="center" wrapText="1"/>
    </xf>
    <xf numFmtId="0" fontId="178" fillId="0" borderId="0" xfId="4" applyFont="1"/>
    <xf numFmtId="0" fontId="183" fillId="0" borderId="0" xfId="7" applyFont="1" applyAlignment="1" applyProtection="1">
      <alignment horizontal="left" vertical="top" wrapText="1"/>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left" vertical="center"/>
    </xf>
    <xf numFmtId="0" fontId="60" fillId="5" borderId="100"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4" fillId="5" borderId="5"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3" fillId="5" borderId="53"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1"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pplyProtection="1">
      <alignment horizontal="center" vertical="center" wrapText="1"/>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1" xfId="0" applyFont="1" applyFill="1" applyBorder="1" applyAlignment="1" applyProtection="1">
      <alignment horizontal="center" vertical="center"/>
    </xf>
    <xf numFmtId="0" fontId="144" fillId="24" borderId="2" xfId="1" applyFont="1" applyFill="1" applyBorder="1" applyAlignment="1">
      <alignment horizontal="center" vertical="center"/>
    </xf>
    <xf numFmtId="0" fontId="143" fillId="0" borderId="2" xfId="1" applyBorder="1" applyAlignment="1">
      <alignment horizontal="center" vertical="center"/>
    </xf>
    <xf numFmtId="0" fontId="154" fillId="5" borderId="36" xfId="0" applyFont="1" applyFill="1" applyBorder="1" applyAlignment="1" applyProtection="1">
      <alignment vertical="center"/>
    </xf>
    <xf numFmtId="0" fontId="154" fillId="5" borderId="37" xfId="0" applyFont="1" applyFill="1" applyBorder="1" applyAlignment="1" applyProtection="1">
      <alignment vertical="center"/>
    </xf>
    <xf numFmtId="0" fontId="73" fillId="5" borderId="54" xfId="0" applyFont="1" applyFill="1" applyBorder="1" applyAlignment="1" applyProtection="1"/>
    <xf numFmtId="0" fontId="73" fillId="5" borderId="67" xfId="0" applyFont="1" applyFill="1" applyBorder="1" applyAlignment="1" applyProtection="1"/>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81" fillId="16"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219" fillId="5" borderId="53" xfId="0" applyNumberFormat="1" applyFont="1" applyFill="1" applyBorder="1" applyAlignment="1" applyProtection="1">
      <alignment horizontal="center" vertical="center" wrapText="1"/>
    </xf>
    <xf numFmtId="49" fontId="93"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2" fillId="5" borderId="2" xfId="0" applyFont="1" applyFill="1" applyBorder="1" applyAlignment="1" applyProtection="1">
      <alignment horizontal="left" vertical="center"/>
    </xf>
    <xf numFmtId="0" fontId="162" fillId="5" borderId="10" xfId="0" applyFont="1" applyFill="1" applyBorder="1" applyAlignment="1" applyProtection="1">
      <alignment horizontal="left" vertical="center"/>
    </xf>
    <xf numFmtId="0" fontId="162" fillId="5" borderId="21" xfId="0" applyFont="1" applyFill="1" applyBorder="1" applyAlignment="1" applyProtection="1">
      <alignment horizontal="left" vertical="center"/>
    </xf>
    <xf numFmtId="0" fontId="162" fillId="5" borderId="3" xfId="0" applyFont="1" applyFill="1" applyBorder="1" applyAlignment="1" applyProtection="1">
      <alignment horizontal="left" vertical="center"/>
    </xf>
    <xf numFmtId="0" fontId="162" fillId="5" borderId="1" xfId="0" applyFont="1" applyFill="1" applyBorder="1" applyAlignment="1" applyProtection="1">
      <alignment horizontal="left" vertical="center"/>
    </xf>
    <xf numFmtId="0" fontId="162" fillId="5" borderId="11" xfId="0" applyFont="1" applyFill="1" applyBorder="1" applyAlignment="1" applyProtection="1">
      <alignment horizontal="left" vertical="center"/>
    </xf>
    <xf numFmtId="0" fontId="162" fillId="5" borderId="43" xfId="0" applyFont="1" applyFill="1" applyBorder="1" applyAlignment="1" applyProtection="1">
      <alignment horizontal="left" vertical="center"/>
    </xf>
    <xf numFmtId="0" fontId="162" fillId="5" borderId="27" xfId="0" applyFont="1" applyFill="1" applyBorder="1" applyAlignment="1" applyProtection="1">
      <alignment horizontal="left" vertical="center"/>
    </xf>
    <xf numFmtId="0" fontId="162" fillId="5" borderId="55" xfId="0" applyFont="1" applyFill="1" applyBorder="1" applyAlignment="1" applyProtection="1">
      <alignment horizontal="left" vertical="center"/>
    </xf>
    <xf numFmtId="0" fontId="162" fillId="5" borderId="53" xfId="0" applyFont="1" applyFill="1" applyBorder="1" applyAlignment="1" applyProtection="1">
      <alignment horizontal="left" vertical="center"/>
    </xf>
    <xf numFmtId="0" fontId="162" fillId="5" borderId="24" xfId="0" applyFont="1" applyFill="1" applyBorder="1" applyAlignment="1" applyProtection="1">
      <alignment horizontal="left" vertical="center"/>
    </xf>
    <xf numFmtId="0" fontId="162" fillId="5" borderId="23" xfId="0" applyFont="1" applyFill="1" applyBorder="1" applyAlignment="1" applyProtection="1">
      <alignment horizontal="left" vertical="center"/>
    </xf>
    <xf numFmtId="0" fontId="287" fillId="5" borderId="0" xfId="0" applyNumberFormat="1" applyFont="1" applyFill="1" applyAlignment="1" applyProtection="1">
      <alignment horizontal="center" vertical="center"/>
    </xf>
    <xf numFmtId="0" fontId="287" fillId="5" borderId="65" xfId="0" applyNumberFormat="1" applyFont="1" applyFill="1" applyBorder="1" applyAlignment="1" applyProtection="1">
      <alignment horizontal="center" vertical="center"/>
    </xf>
    <xf numFmtId="0" fontId="287" fillId="5" borderId="1" xfId="0" applyNumberFormat="1" applyFont="1" applyFill="1" applyBorder="1" applyAlignment="1" applyProtection="1">
      <alignment horizontal="left" vertical="center" wrapText="1"/>
    </xf>
    <xf numFmtId="0" fontId="287" fillId="5" borderId="43" xfId="0" applyNumberFormat="1" applyFont="1" applyFill="1" applyBorder="1" applyAlignment="1" applyProtection="1">
      <alignment horizontal="left" vertical="center" wrapText="1"/>
    </xf>
    <xf numFmtId="0" fontId="293" fillId="0" borderId="0" xfId="0" applyNumberFormat="1" applyFont="1" applyFill="1" applyAlignment="1">
      <alignment horizontal="center" vertical="center"/>
    </xf>
    <xf numFmtId="0" fontId="293" fillId="0" borderId="18" xfId="0" applyNumberFormat="1" applyFont="1" applyFill="1" applyBorder="1" applyAlignment="1">
      <alignment horizontal="center" vertical="center"/>
    </xf>
    <xf numFmtId="0" fontId="197" fillId="5" borderId="0" xfId="0" applyFont="1" applyFill="1" applyAlignment="1" applyProtection="1">
      <alignment horizontal="left" vertical="center"/>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234" fillId="11" borderId="129" xfId="10" applyFont="1" applyFill="1" applyBorder="1" applyAlignment="1" applyProtection="1">
      <alignment horizontal="left" vertical="center" wrapText="1"/>
    </xf>
    <xf numFmtId="0" fontId="234" fillId="11" borderId="123" xfId="10" applyFont="1" applyFill="1" applyBorder="1" applyAlignment="1" applyProtection="1">
      <alignment horizontal="left" vertical="center" wrapText="1"/>
    </xf>
    <xf numFmtId="0" fontId="234" fillId="11" borderId="125" xfId="10" applyFont="1" applyFill="1" applyBorder="1" applyAlignment="1" applyProtection="1">
      <alignment horizontal="left" vertical="center" wrapText="1"/>
    </xf>
    <xf numFmtId="0" fontId="150" fillId="11" borderId="129" xfId="10" applyFont="1" applyFill="1" applyBorder="1" applyAlignment="1" applyProtection="1">
      <alignment horizontal="left" vertical="center" wrapText="1"/>
    </xf>
    <xf numFmtId="0" fontId="150" fillId="11" borderId="123" xfId="10" applyFont="1" applyFill="1" applyBorder="1" applyAlignment="1" applyProtection="1">
      <alignment horizontal="left" vertical="center" wrapText="1"/>
    </xf>
    <xf numFmtId="0" fontId="150" fillId="11" borderId="125" xfId="10" applyFont="1" applyFill="1" applyBorder="1" applyAlignment="1" applyProtection="1">
      <alignment horizontal="left" vertical="center" wrapText="1"/>
    </xf>
    <xf numFmtId="0" fontId="234" fillId="11" borderId="119" xfId="10" applyFont="1" applyFill="1" applyBorder="1" applyAlignment="1" applyProtection="1">
      <alignment horizontal="left" vertical="center" wrapText="1"/>
    </xf>
    <xf numFmtId="0" fontId="234" fillId="11" borderId="152" xfId="10"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1" fillId="16"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82" fillId="5" borderId="8" xfId="0" applyFont="1" applyFill="1" applyBorder="1" applyAlignment="1" applyProtection="1">
      <alignment horizontal="center" vertical="center" wrapText="1"/>
    </xf>
    <xf numFmtId="0" fontId="228" fillId="0" borderId="0" xfId="13" applyNumberFormat="1" applyFont="1" applyAlignment="1" applyProtection="1">
      <alignment horizontal="left" vertical="center"/>
    </xf>
    <xf numFmtId="0" fontId="155" fillId="0" borderId="0" xfId="13" applyNumberFormat="1" applyFont="1" applyAlignment="1" applyProtection="1">
      <alignment horizontal="left" vertical="center"/>
    </xf>
    <xf numFmtId="0" fontId="143" fillId="0" borderId="10" xfId="18" applyFont="1" applyBorder="1" applyAlignment="1">
      <alignment horizontal="center" vertical="center"/>
    </xf>
    <xf numFmtId="0" fontId="143" fillId="0" borderId="21" xfId="18" applyFont="1" applyBorder="1" applyAlignment="1">
      <alignment horizontal="center" vertical="center"/>
    </xf>
    <xf numFmtId="0" fontId="143" fillId="0" borderId="5" xfId="18" applyFont="1" applyBorder="1" applyAlignment="1">
      <alignment horizontal="center" vertical="center"/>
    </xf>
    <xf numFmtId="0" fontId="143" fillId="0" borderId="9" xfId="18" applyFont="1" applyBorder="1" applyAlignment="1">
      <alignment horizontal="center" vertical="center"/>
    </xf>
    <xf numFmtId="0" fontId="2" fillId="0" borderId="5" xfId="18" applyBorder="1" applyAlignment="1">
      <alignment horizontal="center" vertical="center"/>
    </xf>
    <xf numFmtId="0" fontId="2" fillId="0" borderId="9" xfId="18" applyBorder="1" applyAlignment="1">
      <alignment horizontal="center" vertical="center"/>
    </xf>
    <xf numFmtId="0" fontId="143" fillId="0" borderId="10" xfId="18" applyFont="1" applyBorder="1" applyAlignment="1">
      <alignment horizontal="center" vertical="center" wrapText="1"/>
    </xf>
    <xf numFmtId="0" fontId="143" fillId="0" borderId="21" xfId="18" applyFont="1" applyBorder="1" applyAlignment="1">
      <alignment horizontal="center" vertical="center" wrapText="1"/>
    </xf>
    <xf numFmtId="185" fontId="307" fillId="0" borderId="2" xfId="4" applyNumberFormat="1" applyFont="1" applyBorder="1" applyAlignment="1">
      <alignment horizontal="center" vertical="center" wrapText="1"/>
    </xf>
    <xf numFmtId="185" fontId="316" fillId="0" borderId="2" xfId="4" applyNumberFormat="1"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16" fillId="0" borderId="2" xfId="4" applyNumberFormat="1" applyFont="1" applyBorder="1" applyAlignment="1">
      <alignment horizontal="center" vertical="center" wrapText="1"/>
    </xf>
    <xf numFmtId="0" fontId="255" fillId="8" borderId="2" xfId="20" applyFont="1" applyFill="1" applyBorder="1" applyAlignment="1">
      <alignment horizontal="left" vertical="center" wrapText="1"/>
    </xf>
    <xf numFmtId="0" fontId="302" fillId="0" borderId="2" xfId="4" applyNumberFormat="1" applyFont="1" applyBorder="1" applyAlignment="1">
      <alignment horizontal="center" vertical="center" wrapText="1"/>
    </xf>
    <xf numFmtId="0" fontId="303" fillId="0" borderId="2" xfId="4" applyNumberFormat="1" applyFont="1" applyBorder="1" applyAlignment="1">
      <alignment horizontal="center" vertical="center" wrapText="1"/>
    </xf>
    <xf numFmtId="0" fontId="255" fillId="0" borderId="2" xfId="20" applyFont="1" applyBorder="1" applyAlignment="1">
      <alignment horizontal="center" vertical="center" wrapText="1"/>
    </xf>
    <xf numFmtId="0" fontId="307" fillId="0" borderId="2" xfId="4" applyFont="1" applyBorder="1" applyAlignment="1">
      <alignment horizontal="center" vertical="center"/>
    </xf>
    <xf numFmtId="0" fontId="79" fillId="0" borderId="2" xfId="4" applyFont="1" applyBorder="1" applyAlignment="1">
      <alignment horizontal="center" vertical="center"/>
    </xf>
    <xf numFmtId="0" fontId="178" fillId="0" borderId="2" xfId="4" applyFont="1" applyBorder="1" applyAlignment="1">
      <alignment horizontal="center" vertical="center"/>
    </xf>
    <xf numFmtId="0" fontId="309" fillId="8" borderId="2" xfId="20" applyFont="1" applyFill="1" applyBorder="1" applyAlignment="1">
      <alignment horizontal="center" vertical="center" wrapText="1"/>
    </xf>
    <xf numFmtId="185" fontId="307" fillId="0" borderId="9" xfId="4" applyNumberFormat="1" applyFont="1" applyBorder="1" applyAlignment="1">
      <alignment horizontal="center" vertical="center" wrapText="1"/>
    </xf>
    <xf numFmtId="185" fontId="316" fillId="0" borderId="9" xfId="4" applyNumberFormat="1" applyFont="1" applyBorder="1" applyAlignment="1">
      <alignment horizontal="center" vertical="center" wrapText="1"/>
    </xf>
    <xf numFmtId="0" fontId="245" fillId="0" borderId="19" xfId="19" applyNumberFormat="1" applyFont="1" applyBorder="1" applyAlignment="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cellXfs>
  <cellStyles count="23">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xfId="20"/>
    <cellStyle name="常规 2 2 2 2 3" xfId="12"/>
    <cellStyle name="常规 2 3" xfId="19"/>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 9 2" xfId="21"/>
    <cellStyle name="千位分隔 2" xfId="2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472440</xdr:colOff>
      <xdr:row>8</xdr:row>
      <xdr:rowOff>57150</xdr:rowOff>
    </xdr:from>
    <xdr:to>
      <xdr:col>7</xdr:col>
      <xdr:colOff>0</xdr:colOff>
      <xdr:row>37</xdr:row>
      <xdr:rowOff>56529</xdr:rowOff>
    </xdr:to>
    <xdr:pic>
      <xdr:nvPicPr>
        <xdr:cNvPr id="2" name="图片 1">
          <a:extLst>
            <a:ext uri="{FF2B5EF4-FFF2-40B4-BE49-F238E27FC236}">
              <a16:creationId xmlns="" xmlns:a16="http://schemas.microsoft.com/office/drawing/2014/main" id="{B63D919A-E360-4CAB-9A31-A6AF111E7B70}"/>
            </a:ext>
          </a:extLst>
        </xdr:cNvPr>
        <xdr:cNvPicPr>
          <a:picLocks noChangeAspect="1"/>
        </xdr:cNvPicPr>
      </xdr:nvPicPr>
      <xdr:blipFill>
        <a:blip xmlns:r="http://schemas.openxmlformats.org/officeDocument/2006/relationships" r:embed="rId1"/>
        <a:stretch>
          <a:fillRect/>
        </a:stretch>
      </xdr:blipFill>
      <xdr:spPr>
        <a:xfrm>
          <a:off x="472440" y="1520190"/>
          <a:ext cx="5935154" cy="5302899"/>
        </a:xfrm>
        <a:prstGeom prst="rect">
          <a:avLst/>
        </a:prstGeom>
      </xdr:spPr>
    </xdr:pic>
    <xdr:clientData/>
  </xdr:twoCellAnchor>
  <xdr:twoCellAnchor editAs="oneCell">
    <xdr:from>
      <xdr:col>9</xdr:col>
      <xdr:colOff>160020</xdr:colOff>
      <xdr:row>11</xdr:row>
      <xdr:rowOff>57150</xdr:rowOff>
    </xdr:from>
    <xdr:to>
      <xdr:col>16</xdr:col>
      <xdr:colOff>140288</xdr:colOff>
      <xdr:row>33</xdr:row>
      <xdr:rowOff>132869</xdr:rowOff>
    </xdr:to>
    <xdr:pic>
      <xdr:nvPicPr>
        <xdr:cNvPr id="3" name="图片 2">
          <a:extLst>
            <a:ext uri="{FF2B5EF4-FFF2-40B4-BE49-F238E27FC236}">
              <a16:creationId xmlns="" xmlns:a16="http://schemas.microsoft.com/office/drawing/2014/main" id="{4D3E418F-48BC-40F5-9302-67834BFEF27B}"/>
            </a:ext>
          </a:extLst>
        </xdr:cNvPr>
        <xdr:cNvPicPr>
          <a:picLocks noChangeAspect="1"/>
        </xdr:cNvPicPr>
      </xdr:nvPicPr>
      <xdr:blipFill>
        <a:blip xmlns:r="http://schemas.openxmlformats.org/officeDocument/2006/relationships" r:embed="rId2"/>
        <a:stretch>
          <a:fillRect/>
        </a:stretch>
      </xdr:blipFill>
      <xdr:spPr>
        <a:xfrm>
          <a:off x="6560820" y="2068830"/>
          <a:ext cx="4872308" cy="4099079"/>
        </a:xfrm>
        <a:prstGeom prst="rect">
          <a:avLst/>
        </a:prstGeom>
      </xdr:spPr>
    </xdr:pic>
    <xdr:clientData/>
  </xdr:twoCellAnchor>
  <xdr:twoCellAnchor editAs="oneCell">
    <xdr:from>
      <xdr:col>1</xdr:col>
      <xdr:colOff>0</xdr:colOff>
      <xdr:row>38</xdr:row>
      <xdr:rowOff>0</xdr:rowOff>
    </xdr:from>
    <xdr:to>
      <xdr:col>5</xdr:col>
      <xdr:colOff>189826</xdr:colOff>
      <xdr:row>66</xdr:row>
      <xdr:rowOff>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6515100"/>
          <a:ext cx="5390476" cy="4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95250</xdr:rowOff>
    </xdr:from>
    <xdr:to>
      <xdr:col>10</xdr:col>
      <xdr:colOff>656286</xdr:colOff>
      <xdr:row>54</xdr:row>
      <xdr:rowOff>75667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67300"/>
          <a:ext cx="7514286" cy="4266667"/>
        </a:xfrm>
        <a:prstGeom prst="rect">
          <a:avLst/>
        </a:prstGeom>
      </xdr:spPr>
    </xdr:pic>
    <xdr:clientData/>
  </xdr:twoCellAnchor>
  <xdr:twoCellAnchor editAs="oneCell">
    <xdr:from>
      <xdr:col>0</xdr:col>
      <xdr:colOff>0</xdr:colOff>
      <xdr:row>0</xdr:row>
      <xdr:rowOff>0</xdr:rowOff>
    </xdr:from>
    <xdr:to>
      <xdr:col>13</xdr:col>
      <xdr:colOff>65552</xdr:colOff>
      <xdr:row>27</xdr:row>
      <xdr:rowOff>94659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8980952" cy="4723809"/>
        </a:xfrm>
        <a:prstGeom prst="rect">
          <a:avLst/>
        </a:prstGeom>
      </xdr:spPr>
    </xdr:pic>
    <xdr:clientData/>
  </xdr:twoCellAnchor>
  <xdr:twoCellAnchor editAs="oneCell">
    <xdr:from>
      <xdr:col>0</xdr:col>
      <xdr:colOff>0</xdr:colOff>
      <xdr:row>27</xdr:row>
      <xdr:rowOff>104775</xdr:rowOff>
    </xdr:from>
    <xdr:to>
      <xdr:col>13</xdr:col>
      <xdr:colOff>113171</xdr:colOff>
      <xdr:row>29</xdr:row>
      <xdr:rowOff>66637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733925"/>
          <a:ext cx="9028571" cy="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 xmlns:a16="http://schemas.microsoft.com/office/drawing/2014/main" id="{ACF47FA4-679B-4AB4-BA64-7E3D28FB1DCA}"/>
            </a:ext>
          </a:extLst>
        </xdr:cNvPr>
        <xdr:cNvPicPr>
          <a:picLocks noChangeAspect="1"/>
        </xdr:cNvPicPr>
      </xdr:nvPicPr>
      <xdr:blipFill>
        <a:blip xmlns:r="http://schemas.openxmlformats.org/officeDocument/2006/relationships" r:embed="rId1"/>
        <a:stretch>
          <a:fillRect/>
        </a:stretch>
      </xdr:blipFill>
      <xdr:spPr>
        <a:xfrm>
          <a:off x="0" y="2124075"/>
          <a:ext cx="5809524" cy="433333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2"/>
        <a:stretch>
          <a:fillRect/>
        </a:stretch>
      </xdr:blipFill>
      <xdr:spPr>
        <a:xfrm>
          <a:off x="0" y="6553200"/>
          <a:ext cx="6104762" cy="321904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3"/>
        <a:stretch>
          <a:fillRect/>
        </a:stretch>
      </xdr:blipFill>
      <xdr:spPr>
        <a:xfrm>
          <a:off x="0" y="9867900"/>
          <a:ext cx="5885714" cy="297142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4"/>
        <a:stretch>
          <a:fillRect/>
        </a:stretch>
      </xdr:blipFill>
      <xdr:spPr>
        <a:xfrm>
          <a:off x="0" y="12944475"/>
          <a:ext cx="5895238" cy="3619048"/>
        </a:xfrm>
        <a:prstGeom prst="rect">
          <a:avLst/>
        </a:prstGeom>
      </xdr:spPr>
    </xdr:pic>
    <xdr:clientData/>
  </xdr:twoCellAnchor>
  <xdr:twoCellAnchor editAs="oneCell">
    <xdr:from>
      <xdr:col>4</xdr:col>
      <xdr:colOff>790575</xdr:colOff>
      <xdr:row>32</xdr:row>
      <xdr:rowOff>9525</xdr:rowOff>
    </xdr:from>
    <xdr:to>
      <xdr:col>12</xdr:col>
      <xdr:colOff>189680</xdr:colOff>
      <xdr:row>56</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6334125" y="6238875"/>
          <a:ext cx="6561905" cy="4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双合盛"/>
      <sheetName val="系统读取表"/>
      <sheetName val="分值"/>
      <sheetName val="附属物"/>
      <sheetName val="无证房屋汇总表"/>
      <sheetName val="Sheet1"/>
      <sheetName val="附属物2025"/>
      <sheetName val="Sheet2"/>
    </sheetNames>
    <sheetDataSet>
      <sheetData sheetId="0" refreshError="1"/>
      <sheetData sheetId="1">
        <row r="30">
          <cell r="B30">
            <v>468404</v>
          </cell>
        </row>
        <row r="43">
          <cell r="G43">
            <v>149926</v>
          </cell>
          <cell r="H43">
            <v>16222</v>
          </cell>
        </row>
        <row r="49">
          <cell r="B49">
            <v>43444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双合盛2025"/>
      <sheetName val="双合盛"/>
      <sheetName val="五星"/>
      <sheetName val="树木"/>
    </sheetNames>
    <sheetDataSet>
      <sheetData sheetId="0"/>
      <sheetData sheetId="1"/>
      <sheetData sheetId="2"/>
      <sheetData sheetId="3"/>
      <sheetData sheetId="4"/>
      <sheetData sheetId="5"/>
      <sheetData sheetId="6"/>
      <sheetData sheetId="7"/>
      <sheetData sheetId="8"/>
      <sheetData sheetId="9">
        <row r="56">
          <cell r="H56">
            <v>57512</v>
          </cell>
        </row>
      </sheetData>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北京市划拨国有建设用地使用权市场价格预评估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受贵公司委托，我公司对北京市划拨国有建设用地使用权市场价格进行了预评估。</v>
      </c>
      <c r="AM6" s="2381"/>
    </row>
    <row r="7" spans="1:55" s="2355" customFormat="1">
      <c r="A7" s="2356" t="s">
        <v>1939</v>
      </c>
      <c r="B7" s="2357" t="str">
        <f>'预评函-1'!A6</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本次评估为委托估价方了解标的物之市场价格提供参考依据而评估划拨国有建设用地使用权市场价格。</v>
      </c>
    </row>
    <row r="10" spans="1:55" s="2355" customFormat="1">
      <c r="A10" s="2356" t="s">
        <v>1941</v>
      </c>
      <c r="B10" s="2357" t="str">
        <f>'预评函-1'!A11</f>
        <v>2025年3月28日（评估专业人员勘察现场之日）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根据《国有土地使用证》[]，估价对象（分摊）出让国有建设用地使用权面积为10738.85平方米。根据《建设工程规划许可证》[]、《出让合同》[]，估价对象规划建筑面积为10738.85平方米。</v>
      </c>
    </row>
    <row r="16" spans="1:55" s="2355" customFormat="1">
      <c r="A16" s="2356" t="s">
        <v>1951</v>
      </c>
      <c r="B16" s="2357" t="str">
        <f>'预评函-1'!A22</f>
        <v>本次估价对象国有建设用地使用权类型为划拨，无土地使用年限限制。</v>
      </c>
    </row>
    <row r="17" spans="1:48" s="2355" customFormat="1">
      <c r="A17" s="2356" t="s">
        <v>1952</v>
      </c>
      <c r="B17" s="2357" t="str">
        <f>'预评函-1'!A23</f>
        <v/>
      </c>
    </row>
    <row r="18" spans="1:48" s="2355" customFormat="1">
      <c r="A18" s="2356" t="s">
        <v>1953</v>
      </c>
      <c r="B18" s="2357" t="str">
        <f>'预评函-1'!A25</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6.2" thickBot="1">
      <c r="A21" s="2378" t="s">
        <v>1956</v>
      </c>
      <c r="B21" s="2379" t="str">
        <f>'预评函-1'!A28</f>
        <v>——</v>
      </c>
    </row>
    <row r="22" spans="1:48" ht="16.2"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6" t="s">
        <v>1958</v>
      </c>
      <c r="B23" s="2357" t="str">
        <f>'预评函-2'!K2</f>
        <v>估价期日：2025年3月28日</v>
      </c>
    </row>
    <row r="24" spans="1:48">
      <c r="A24" s="2356" t="s">
        <v>1959</v>
      </c>
      <c r="B24" s="2357" t="str">
        <f>'预评函-2'!R2</f>
        <v>估价期日的国有建设用地使用权性质：划拨</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t="str">
        <f>'预评函-2'!M5</f>
        <v>——</v>
      </c>
    </row>
    <row r="42" spans="1:2">
      <c r="A42" s="2356" t="s">
        <v>2021</v>
      </c>
      <c r="B42" s="2357" t="str">
        <f>'预评函-2'!N3</f>
        <v>（分摊）划拨国有建设用地使用权面积/㎡</v>
      </c>
    </row>
    <row r="43" spans="1:2">
      <c r="A43" s="2356" t="s">
        <v>2003</v>
      </c>
      <c r="B43" s="2357">
        <f>'预评函-2'!N5</f>
        <v>10738.85</v>
      </c>
    </row>
    <row r="44" spans="1:2">
      <c r="A44" s="2356" t="s">
        <v>2022</v>
      </c>
      <c r="B44" s="2357" t="str">
        <f>'预评函-2'!O3</f>
        <v>规划建筑面积/㎡</v>
      </c>
    </row>
    <row r="45" spans="1:2">
      <c r="A45" s="2356" t="s">
        <v>2004</v>
      </c>
      <c r="B45" s="2357">
        <f>'预评函-2'!O5</f>
        <v>10738.85</v>
      </c>
    </row>
    <row r="46" spans="1:2">
      <c r="A46" s="2356" t="s">
        <v>2005</v>
      </c>
      <c r="B46" s="2357">
        <f ca="1">'预评函-2'!P5</f>
        <v>8816</v>
      </c>
    </row>
    <row r="47" spans="1:2">
      <c r="A47" s="2356" t="s">
        <v>2006</v>
      </c>
      <c r="B47" s="2357">
        <f ca="1">'预评函-2'!Q5</f>
        <v>8816</v>
      </c>
    </row>
    <row r="48" spans="1:2">
      <c r="A48" s="2356" t="s">
        <v>2007</v>
      </c>
      <c r="B48" s="2357">
        <f ca="1">'预评函-2'!R5</f>
        <v>9467</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3" workbookViewId="0">
      <selection activeCell="B4" sqref="B4"/>
    </sheetView>
  </sheetViews>
  <sheetFormatPr defaultColWidth="15.21875" defaultRowHeight="14.4"/>
  <cols>
    <col min="1" max="16384" width="15.21875" style="3282"/>
  </cols>
  <sheetData>
    <row r="1" spans="1:6">
      <c r="A1" s="3279" t="s">
        <v>2674</v>
      </c>
      <c r="B1" s="3280"/>
      <c r="C1" s="3280"/>
      <c r="D1" s="3280"/>
      <c r="E1" s="3280"/>
      <c r="F1" s="3281"/>
    </row>
    <row r="2" spans="1:6">
      <c r="A2" s="3283"/>
      <c r="B2" s="3284"/>
      <c r="C2" s="3284"/>
      <c r="D2" s="3284"/>
      <c r="E2" s="3284"/>
      <c r="F2" s="3285"/>
    </row>
    <row r="3" spans="1:6">
      <c r="A3" s="3286" t="s">
        <v>2675</v>
      </c>
      <c r="B3" s="3287">
        <f>项目基本情况!D3</f>
        <v>45744</v>
      </c>
      <c r="C3" s="3288"/>
      <c r="D3" s="3288"/>
      <c r="E3" s="3288"/>
      <c r="F3" s="3285"/>
    </row>
    <row r="4" spans="1:6">
      <c r="A4" s="3286" t="s">
        <v>2676</v>
      </c>
      <c r="B4" s="3289" t="s">
        <v>2677</v>
      </c>
      <c r="C4" s="3289" t="s">
        <v>2678</v>
      </c>
      <c r="D4" s="3289" t="s">
        <v>2679</v>
      </c>
      <c r="E4" s="3289" t="s">
        <v>2680</v>
      </c>
      <c r="F4" s="3285"/>
    </row>
    <row r="5" spans="1:6">
      <c r="A5" s="3290"/>
      <c r="B5" s="3287"/>
      <c r="C5" s="3289">
        <f>ROUNDDOWN(MIN((B5-B3)/365,A5),2)</f>
        <v>-125.32</v>
      </c>
      <c r="D5" s="3291">
        <f>IF(ISERROR(ROUND(POWER(1+E5,A5-C5)*(POWER(1+E5,C5)-1)/(POWER(1+E5,A5)-1),3)),0,ROUND(POWER(1+E5,A5-C5)*(POWER(1+E5,C5)-1)/(POWER(1+E5,A5)-1),4))</f>
        <v>0</v>
      </c>
      <c r="E5" s="3292"/>
      <c r="F5" s="3285"/>
    </row>
    <row r="6" spans="1:6">
      <c r="A6" s="3290"/>
      <c r="B6" s="3287"/>
      <c r="C6" s="3289">
        <f>ROUNDDOWN(MIN((B6-B3)/365,A6),2)</f>
        <v>-125.32</v>
      </c>
      <c r="D6" s="3291">
        <f>IF(ISERROR(ROUND(POWER(1+E6,A6-C6)*(POWER(1+E6,C6)-1)/(POWER(1+E6,A6)-1),3)),0,ROUND(POWER(1+E6,A6-C6)*(POWER(1+E6,C6)-1)/(POWER(1+E6,A6)-1),4))</f>
        <v>0</v>
      </c>
      <c r="E6" s="3292"/>
      <c r="F6" s="3285"/>
    </row>
    <row r="7" spans="1:6">
      <c r="A7" s="3290"/>
      <c r="B7" s="3287"/>
      <c r="C7" s="3289">
        <f>ROUNDDOWN(MIN((B7-B3)/365,A7),2)</f>
        <v>-125.32</v>
      </c>
      <c r="D7" s="3291">
        <f>IF(ISERROR(ROUND(POWER(1+E7,A7-C7)*(POWER(1+E7,C7)-1)/(POWER(1+E7,A7)-1),3)),0,ROUND(POWER(1+E7,A7-C7)*(POWER(1+E7,C7)-1)/(POWER(1+E7,A7)-1),4))</f>
        <v>0</v>
      </c>
      <c r="E7" s="3292"/>
      <c r="F7" s="3285"/>
    </row>
    <row r="8" spans="1:6">
      <c r="A8" s="3283"/>
      <c r="B8" s="3284"/>
      <c r="C8" s="3284"/>
      <c r="D8" s="3284"/>
      <c r="E8" s="3284"/>
      <c r="F8" s="3285"/>
    </row>
    <row r="9" spans="1:6">
      <c r="A9" s="3286" t="s">
        <v>2681</v>
      </c>
      <c r="B9" s="3289"/>
      <c r="C9" s="3289"/>
      <c r="D9" s="3289"/>
      <c r="E9" s="3289"/>
      <c r="F9" s="3293"/>
    </row>
    <row r="10" spans="1:6">
      <c r="A10" s="3286" t="s">
        <v>2682</v>
      </c>
      <c r="B10" s="3289"/>
      <c r="C10" s="3289"/>
      <c r="D10" s="3289" t="s">
        <v>2680</v>
      </c>
      <c r="E10" s="3289"/>
      <c r="F10" s="3293" t="s">
        <v>2679</v>
      </c>
    </row>
    <row r="11" spans="1:6">
      <c r="A11" s="3286" t="s">
        <v>2683</v>
      </c>
      <c r="B11" s="3294"/>
      <c r="C11" s="3289" t="s">
        <v>2684</v>
      </c>
      <c r="D11" s="3295"/>
      <c r="E11" s="3289" t="s">
        <v>2685</v>
      </c>
      <c r="F11" s="3296">
        <f>ROUND(1-(1/(POWER(1+D11,B11))),4)</f>
        <v>0</v>
      </c>
    </row>
    <row r="12" spans="1:6">
      <c r="A12" s="3286" t="s">
        <v>2686</v>
      </c>
      <c r="B12" s="3294"/>
      <c r="C12" s="3289" t="s">
        <v>2687</v>
      </c>
      <c r="D12" s="3295"/>
      <c r="E12" s="3289" t="s">
        <v>2688</v>
      </c>
      <c r="F12" s="3296">
        <f>ROUND(1-(1/(POWER(1+D12,B12))),4)</f>
        <v>0</v>
      </c>
    </row>
    <row r="13" spans="1:6">
      <c r="A13" s="3286" t="s">
        <v>2689</v>
      </c>
      <c r="B13" s="3289"/>
      <c r="C13" s="3288"/>
      <c r="D13" s="3284"/>
      <c r="E13" s="3284"/>
      <c r="F13" s="3285"/>
    </row>
    <row r="14" spans="1:6">
      <c r="A14" s="3286" t="s">
        <v>2690</v>
      </c>
      <c r="B14" s="3294"/>
      <c r="C14" s="3288"/>
      <c r="D14" s="3284"/>
      <c r="E14" s="3284"/>
      <c r="F14" s="3285"/>
    </row>
    <row r="15" spans="1:6">
      <c r="A15" s="3286" t="s">
        <v>2691</v>
      </c>
      <c r="B15" s="3289" t="e">
        <f>ROUND(B14*F12/F11,2)</f>
        <v>#DIV/0!</v>
      </c>
      <c r="C15" s="3289" t="e">
        <f>ROUND(F12/F11,4)</f>
        <v>#DIV/0!</v>
      </c>
      <c r="D15" s="3284"/>
      <c r="E15" s="3284"/>
      <c r="F15" s="3285"/>
    </row>
    <row r="16" spans="1:6">
      <c r="A16" s="3286" t="s">
        <v>2692</v>
      </c>
      <c r="B16" s="3289"/>
      <c r="C16" s="3288"/>
      <c r="D16" s="3284"/>
      <c r="E16" s="3284"/>
      <c r="F16" s="3285"/>
    </row>
    <row r="17" spans="1:7">
      <c r="A17" s="3286" t="s">
        <v>2691</v>
      </c>
      <c r="B17" s="3295"/>
      <c r="C17" s="3288"/>
      <c r="D17" s="3284"/>
      <c r="E17" s="3284"/>
      <c r="F17" s="3285"/>
    </row>
    <row r="18" spans="1:7" ht="15" thickBot="1">
      <c r="A18" s="3297" t="s">
        <v>2690</v>
      </c>
      <c r="B18" s="3298" t="e">
        <f>ROUND(B17*F11/F12,2)</f>
        <v>#DIV/0!</v>
      </c>
      <c r="C18" s="3298" t="e">
        <f>ROUND(F11/F12,4)</f>
        <v>#DIV/0!</v>
      </c>
      <c r="D18" s="3299"/>
      <c r="E18" s="3299"/>
      <c r="F18" s="3300"/>
    </row>
    <row r="19" spans="1:7" ht="15" thickBot="1"/>
    <row r="20" spans="1:7">
      <c r="A20" s="3301" t="s">
        <v>2693</v>
      </c>
      <c r="B20" s="3302"/>
      <c r="C20" s="3302"/>
      <c r="D20" s="3302"/>
      <c r="E20" s="3302"/>
      <c r="F20" s="3302"/>
      <c r="G20" s="3303"/>
    </row>
    <row r="21" spans="1:7">
      <c r="A21" s="3304"/>
      <c r="B21" s="3305" t="s">
        <v>2694</v>
      </c>
      <c r="C21" s="3305" t="s">
        <v>2695</v>
      </c>
      <c r="D21" s="3305" t="s">
        <v>2696</v>
      </c>
      <c r="E21" s="3305" t="s">
        <v>2697</v>
      </c>
      <c r="F21" s="3305" t="s">
        <v>2698</v>
      </c>
      <c r="G21" s="3306" t="s">
        <v>2699</v>
      </c>
    </row>
    <row r="22" spans="1:7">
      <c r="A22" s="3304" t="s">
        <v>2700</v>
      </c>
      <c r="B22" s="3307">
        <v>50</v>
      </c>
      <c r="C22" s="3307">
        <v>32</v>
      </c>
      <c r="D22" s="3308">
        <v>0.05</v>
      </c>
      <c r="E22" s="3305">
        <f>ROUND(POWER(1+D22,B22-C22)*(POWER(1+D22,C22)-1)/(POWER(1+D22,B22)-1),3)</f>
        <v>0.86599999999999999</v>
      </c>
      <c r="F22" s="3308">
        <v>0.6</v>
      </c>
      <c r="G22" s="3306">
        <f>ROUND(100*(1-(1-E22)*F22),1)</f>
        <v>92</v>
      </c>
    </row>
    <row r="23" spans="1:7">
      <c r="A23" s="3309" t="s">
        <v>2701</v>
      </c>
      <c r="B23" s="3307">
        <v>50</v>
      </c>
      <c r="C23" s="3307">
        <v>35</v>
      </c>
      <c r="D23" s="3308">
        <v>0.05</v>
      </c>
      <c r="E23" s="3305">
        <f>ROUND(POWER(1+D23,B23-C23)*(POWER(1+D23,C23)-1)/(POWER(1+D23,B23)-1),3)</f>
        <v>0.89700000000000002</v>
      </c>
      <c r="F23" s="3308">
        <f>F22</f>
        <v>0.6</v>
      </c>
      <c r="G23" s="3306">
        <f>ROUND(100*(1-(1-E23)*F23),1)</f>
        <v>93.8</v>
      </c>
    </row>
    <row r="24" spans="1:7">
      <c r="A24" s="3309" t="s">
        <v>2702</v>
      </c>
      <c r="B24" s="3307">
        <v>50</v>
      </c>
      <c r="C24" s="3307">
        <v>25</v>
      </c>
      <c r="D24" s="3308">
        <v>0.05</v>
      </c>
      <c r="E24" s="3305">
        <f>ROUND(POWER(1+D24,B24-C24)*(POWER(1+D24,C24)-1)/(POWER(1+D24,B24)-1),3)</f>
        <v>0.77200000000000002</v>
      </c>
      <c r="F24" s="3308">
        <f>F23</f>
        <v>0.6</v>
      </c>
      <c r="G24" s="3306">
        <f>ROUND(100*(1-(1-E24)*F24),1)</f>
        <v>86.3</v>
      </c>
    </row>
    <row r="25" spans="1:7">
      <c r="A25" s="3309" t="s">
        <v>2703</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2704</v>
      </c>
      <c r="B27" s="3314"/>
      <c r="C27" s="3314"/>
      <c r="D27" s="3314"/>
      <c r="E27" s="3314"/>
      <c r="F27" s="3314"/>
      <c r="G27" s="3315"/>
    </row>
    <row r="28" spans="1:7">
      <c r="A28" s="3313" t="s">
        <v>2705</v>
      </c>
      <c r="B28" s="3314"/>
      <c r="C28" s="3314"/>
      <c r="D28" s="3314"/>
      <c r="E28" s="3314"/>
      <c r="F28" s="3314"/>
      <c r="G28" s="3315"/>
    </row>
    <row r="29" spans="1:7">
      <c r="A29" s="3313" t="s">
        <v>2706</v>
      </c>
      <c r="B29" s="3314"/>
      <c r="C29" s="3314"/>
      <c r="D29" s="3314"/>
      <c r="E29" s="3314"/>
      <c r="F29" s="3314"/>
      <c r="G29" s="3315"/>
    </row>
    <row r="30" spans="1:7">
      <c r="A30" s="3313" t="s">
        <v>2707</v>
      </c>
      <c r="B30" s="3314"/>
      <c r="C30" s="3314"/>
      <c r="D30" s="3314"/>
      <c r="E30" s="3314"/>
      <c r="F30" s="3314"/>
      <c r="G30" s="3315"/>
    </row>
    <row r="31" spans="1:7">
      <c r="A31" s="3313" t="s">
        <v>2708</v>
      </c>
      <c r="B31" s="3314"/>
      <c r="C31" s="3314"/>
      <c r="D31" s="3314"/>
      <c r="E31" s="3314"/>
      <c r="F31" s="3314"/>
      <c r="G31" s="3315"/>
    </row>
    <row r="32" spans="1:7">
      <c r="A32" s="3313" t="s">
        <v>2709</v>
      </c>
      <c r="B32" s="3314"/>
      <c r="C32" s="3314"/>
      <c r="D32" s="3314"/>
      <c r="E32" s="3314"/>
      <c r="F32" s="3314"/>
      <c r="G32" s="3315"/>
    </row>
    <row r="33" spans="1:7">
      <c r="A33" s="3313" t="s">
        <v>2710</v>
      </c>
      <c r="B33" s="3314"/>
      <c r="C33" s="3314"/>
      <c r="D33" s="3314"/>
      <c r="E33" s="3314"/>
      <c r="F33" s="3314"/>
      <c r="G33" s="3315"/>
    </row>
    <row r="34" spans="1:7">
      <c r="A34" s="3313" t="s">
        <v>2711</v>
      </c>
      <c r="B34" s="3314"/>
      <c r="C34" s="3314"/>
      <c r="D34" s="3314"/>
      <c r="E34" s="3314"/>
      <c r="F34" s="3314"/>
      <c r="G34" s="3315"/>
    </row>
    <row r="35" spans="1:7">
      <c r="A35" s="3313" t="s">
        <v>2712</v>
      </c>
      <c r="B35" s="3314"/>
      <c r="C35" s="3314"/>
      <c r="D35" s="3314"/>
      <c r="E35" s="3314"/>
      <c r="F35" s="3314"/>
      <c r="G35" s="3315"/>
    </row>
    <row r="36" spans="1:7">
      <c r="A36" s="3313" t="s">
        <v>2713</v>
      </c>
      <c r="B36" s="3314"/>
      <c r="C36" s="3314"/>
      <c r="D36" s="3314"/>
      <c r="E36" s="3314"/>
      <c r="F36" s="3314"/>
      <c r="G36" s="3315"/>
    </row>
    <row r="37" spans="1:7">
      <c r="A37" s="3313" t="s">
        <v>2714</v>
      </c>
      <c r="B37" s="3314"/>
      <c r="C37" s="3314"/>
      <c r="D37" s="3314"/>
      <c r="E37" s="3314"/>
      <c r="F37" s="3314"/>
      <c r="G37" s="3315"/>
    </row>
    <row r="38" spans="1:7">
      <c r="A38" s="3313" t="s">
        <v>2715</v>
      </c>
      <c r="B38" s="3314"/>
      <c r="C38" s="3314"/>
      <c r="D38" s="3314"/>
      <c r="E38" s="3314"/>
      <c r="F38" s="3314"/>
      <c r="G38" s="3315"/>
    </row>
    <row r="39" spans="1:7">
      <c r="A39" s="3313"/>
      <c r="B39" s="3314"/>
      <c r="C39" s="3314"/>
      <c r="D39" s="3314"/>
      <c r="E39" s="3314"/>
      <c r="F39" s="3314"/>
      <c r="G39" s="3315"/>
    </row>
    <row r="40" spans="1:7">
      <c r="A40" s="3316" t="s">
        <v>2716</v>
      </c>
      <c r="B40" s="3317"/>
      <c r="C40" s="3317"/>
      <c r="D40" s="3317"/>
      <c r="E40" s="3317"/>
      <c r="F40" s="3317"/>
      <c r="G40" s="3318"/>
    </row>
    <row r="41" spans="1:7">
      <c r="A41" s="3319" t="s">
        <v>2717</v>
      </c>
      <c r="B41" s="3320" t="s">
        <v>2718</v>
      </c>
      <c r="C41" s="3321" t="s">
        <v>2719</v>
      </c>
      <c r="D41" s="3321" t="s">
        <v>2720</v>
      </c>
      <c r="E41" s="3322"/>
      <c r="F41" s="3323"/>
      <c r="G41" s="3324"/>
    </row>
    <row r="42" spans="1:7">
      <c r="A42" s="3319" t="s">
        <v>2721</v>
      </c>
      <c r="B42" s="3320" t="s">
        <v>2722</v>
      </c>
      <c r="C42" s="3321" t="s">
        <v>2722</v>
      </c>
      <c r="D42" s="3325" t="s">
        <v>2723</v>
      </c>
      <c r="E42" s="3317" t="s">
        <v>2724</v>
      </c>
      <c r="F42" s="3317"/>
      <c r="G42" s="3318"/>
    </row>
    <row r="43" spans="1:7">
      <c r="A43" s="3319" t="s">
        <v>2725</v>
      </c>
      <c r="B43" s="3320" t="s">
        <v>2726</v>
      </c>
      <c r="C43" s="3321" t="s">
        <v>2727</v>
      </c>
      <c r="D43" s="3321" t="s">
        <v>2728</v>
      </c>
      <c r="E43" s="3322" t="s">
        <v>2729</v>
      </c>
      <c r="F43" s="3323"/>
      <c r="G43" s="3324"/>
    </row>
    <row r="44" spans="1:7">
      <c r="A44" s="3319" t="s">
        <v>2730</v>
      </c>
      <c r="B44" s="3320" t="s">
        <v>2731</v>
      </c>
      <c r="C44" s="3321" t="s">
        <v>2732</v>
      </c>
      <c r="D44" s="3325">
        <v>0.5</v>
      </c>
      <c r="E44" s="3322" t="s">
        <v>2733</v>
      </c>
      <c r="F44" s="3323"/>
      <c r="G44" s="3324"/>
    </row>
    <row r="45" spans="1:7" ht="15" thickBot="1">
      <c r="A45" s="3326" t="s">
        <v>2734</v>
      </c>
      <c r="B45" s="3327" t="s">
        <v>2722</v>
      </c>
      <c r="C45" s="3328" t="s">
        <v>2722</v>
      </c>
      <c r="D45" s="3328" t="s">
        <v>2735</v>
      </c>
      <c r="E45" s="3329" t="s">
        <v>2736</v>
      </c>
      <c r="F45" s="3329"/>
      <c r="G45" s="3330"/>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M33" sqref="M33"/>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6.2" thickBot="1">
      <c r="A1" s="1462" t="s">
        <v>1457</v>
      </c>
      <c r="B1" s="3930" t="str">
        <f>IF(B10="北京市","北京市",C10)&amp;F10&amp;A17&amp;"国有建设用地使用权"&amp;B9&amp;"预评估"</f>
        <v>北京市划拨国有建设用地使用权市场价格预评估</v>
      </c>
      <c r="C1" s="3931"/>
      <c r="D1" s="3931"/>
      <c r="E1" s="3931"/>
      <c r="F1" s="3931"/>
      <c r="G1" s="3931"/>
      <c r="H1" s="3931"/>
      <c r="I1" s="3932"/>
      <c r="J1" s="2815"/>
      <c r="K1" s="2107" t="str">
        <f>IF(B10="北京市","北京市",C10)&amp;F10&amp;A17&amp;"国有建设用地使用权"&amp;B9</f>
        <v>北京市划拨国有建设用地使用权市场价格</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北京市划拨国有建设用地使用权</v>
      </c>
      <c r="L2" s="2794"/>
      <c r="M2" s="2794"/>
      <c r="N2" s="2795"/>
      <c r="O2" s="2796"/>
      <c r="P2" s="2795"/>
      <c r="Q2" s="2795"/>
      <c r="R2" s="2795"/>
      <c r="S2" s="2795"/>
      <c r="T2" s="2795"/>
      <c r="U2" s="2795"/>
    </row>
    <row r="3" spans="1:21">
      <c r="A3" s="1464" t="s">
        <v>1459</v>
      </c>
      <c r="B3" s="1465">
        <v>45744</v>
      </c>
      <c r="C3" s="2738" t="s">
        <v>1513</v>
      </c>
      <c r="D3" s="1465">
        <v>45744</v>
      </c>
      <c r="E3" s="2815"/>
      <c r="F3" s="2815"/>
      <c r="G3" s="2815"/>
      <c r="H3" s="2816"/>
      <c r="I3" s="2817"/>
      <c r="J3" s="2815"/>
      <c r="K3" s="2798"/>
      <c r="L3" s="2794"/>
      <c r="M3" s="2794"/>
      <c r="N3" s="2795"/>
      <c r="O3" s="2796"/>
      <c r="P3" s="2795"/>
      <c r="Q3" s="2795"/>
      <c r="R3" s="2795"/>
      <c r="S3" s="2795"/>
      <c r="T3" s="2795"/>
      <c r="U3" s="2795"/>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6.2"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7.6">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2742</v>
      </c>
      <c r="C8" s="1474"/>
      <c r="D8" s="3936" t="s">
        <v>1464</v>
      </c>
      <c r="E8" s="1628"/>
      <c r="F8" s="1475"/>
      <c r="G8" s="2816"/>
      <c r="H8" s="2816"/>
      <c r="I8" s="2819"/>
      <c r="J8" s="2815"/>
      <c r="K8" s="2798"/>
      <c r="L8" s="2794"/>
      <c r="M8" s="2794"/>
      <c r="N8" s="2795"/>
      <c r="O8" s="2796"/>
      <c r="P8" s="2795"/>
      <c r="Q8" s="2795"/>
      <c r="R8" s="2795"/>
      <c r="S8" s="2795"/>
      <c r="T8" s="2795"/>
      <c r="U8" s="2795"/>
    </row>
    <row r="9" spans="1:21" ht="16.2" thickBot="1">
      <c r="A9" s="2740" t="s">
        <v>1463</v>
      </c>
      <c r="B9" s="1476" t="s">
        <v>3262</v>
      </c>
      <c r="C9" s="1477"/>
      <c r="D9" s="3937"/>
      <c r="E9" s="1476"/>
      <c r="F9" s="1536"/>
      <c r="G9" s="2820"/>
      <c r="H9" s="2820"/>
      <c r="I9" s="2821"/>
      <c r="J9" s="2815"/>
      <c r="K9" s="2798"/>
      <c r="L9" s="2794"/>
      <c r="M9" s="2794"/>
      <c r="N9" s="2795"/>
      <c r="O9" s="2796"/>
      <c r="P9" s="2795"/>
      <c r="Q9" s="2795"/>
      <c r="R9" s="2795"/>
      <c r="S9" s="2795"/>
      <c r="T9" s="2795"/>
      <c r="U9" s="2795"/>
    </row>
    <row r="10" spans="1:21" ht="16.2" thickTop="1">
      <c r="A10" s="2741" t="s">
        <v>1517</v>
      </c>
      <c r="B10" s="1513" t="s">
        <v>1465</v>
      </c>
      <c r="C10" s="1478"/>
      <c r="D10" s="1470"/>
      <c r="E10" s="1479" t="s">
        <v>1466</v>
      </c>
      <c r="F10" s="1480"/>
      <c r="G10" s="1534"/>
      <c r="H10" s="1535"/>
      <c r="I10" s="1470"/>
      <c r="J10" s="2815"/>
      <c r="K10" s="2798"/>
      <c r="L10" s="2794"/>
      <c r="M10" s="2794"/>
      <c r="N10" s="2795"/>
      <c r="O10" s="2796"/>
      <c r="P10" s="2795"/>
      <c r="Q10" s="2795"/>
      <c r="R10" s="2795"/>
      <c r="S10" s="2795"/>
      <c r="T10" s="2795"/>
      <c r="U10" s="2795"/>
    </row>
    <row r="11" spans="1:21">
      <c r="A11" s="2742" t="s">
        <v>1518</v>
      </c>
      <c r="B11" s="1493" t="s">
        <v>3263</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933"/>
      <c r="C12" s="3934"/>
      <c r="D12" s="3935"/>
      <c r="E12" s="1494" t="s">
        <v>1579</v>
      </c>
      <c r="F12" s="3951" t="s">
        <v>2163</v>
      </c>
      <c r="G12" s="3952"/>
      <c r="H12" s="3952"/>
      <c r="I12" s="3953"/>
      <c r="J12" s="2815"/>
      <c r="K12" s="2798"/>
      <c r="L12" s="2794"/>
      <c r="M12" s="2794"/>
      <c r="N12" s="2795"/>
      <c r="O12" s="2796"/>
      <c r="P12" s="2795"/>
      <c r="Q12" s="2795"/>
      <c r="R12" s="2795"/>
      <c r="S12" s="2795"/>
      <c r="T12" s="2795"/>
      <c r="U12" s="2795"/>
    </row>
    <row r="13" spans="1:21">
      <c r="A13" s="1485" t="s">
        <v>1577</v>
      </c>
      <c r="B13" s="3933"/>
      <c r="C13" s="3934"/>
      <c r="D13" s="3935"/>
      <c r="E13" s="1494" t="s">
        <v>1579</v>
      </c>
      <c r="F13" s="3951" t="s">
        <v>2164</v>
      </c>
      <c r="G13" s="3952"/>
      <c r="H13" s="3952"/>
      <c r="I13" s="3953"/>
      <c r="J13" s="2815"/>
      <c r="K13" s="2798"/>
      <c r="L13" s="2794"/>
      <c r="M13" s="2794"/>
      <c r="N13" s="2795"/>
      <c r="O13" s="2796"/>
      <c r="P13" s="2795"/>
      <c r="Q13" s="2795"/>
      <c r="R13" s="2795"/>
      <c r="S13" s="2795"/>
      <c r="T13" s="2795"/>
      <c r="U13" s="2795"/>
    </row>
    <row r="14" spans="1:21">
      <c r="A14" s="1464" t="s">
        <v>1580</v>
      </c>
      <c r="B14" s="1494"/>
      <c r="C14" s="1629"/>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49"/>
      <c r="B15" s="1466"/>
      <c r="C15" s="3278" t="s">
        <v>1469</v>
      </c>
      <c r="D15" s="3278" t="s">
        <v>1470</v>
      </c>
      <c r="E15" s="3278" t="s">
        <v>1179</v>
      </c>
      <c r="F15" s="1484" t="s">
        <v>1471</v>
      </c>
      <c r="G15" s="1484" t="s">
        <v>1472</v>
      </c>
      <c r="H15" s="1484" t="s">
        <v>776</v>
      </c>
      <c r="I15" s="1484" t="s">
        <v>2738</v>
      </c>
      <c r="J15" s="2815"/>
      <c r="K15" s="2798"/>
      <c r="L15" s="2794"/>
      <c r="M15" s="2794"/>
      <c r="N15" s="2795"/>
      <c r="O15" s="2796"/>
      <c r="P15" s="2795"/>
      <c r="Q15" s="2795"/>
      <c r="R15" s="2795"/>
      <c r="S15" s="2795"/>
      <c r="T15" s="2795"/>
      <c r="U15" s="2795"/>
    </row>
    <row r="16" spans="1:21" ht="46.8">
      <c r="A16" s="2743" t="s">
        <v>1467</v>
      </c>
      <c r="B16" s="1494" t="s">
        <v>1468</v>
      </c>
      <c r="C16" s="3278" t="s">
        <v>1469</v>
      </c>
      <c r="D16" s="1516" t="s">
        <v>2739</v>
      </c>
      <c r="E16" s="1516" t="s">
        <v>1212</v>
      </c>
      <c r="F16" s="1516" t="s">
        <v>2740</v>
      </c>
      <c r="G16" s="1516" t="s">
        <v>2741</v>
      </c>
      <c r="H16" s="1484" t="s">
        <v>776</v>
      </c>
      <c r="I16" s="1484" t="s">
        <v>2738</v>
      </c>
      <c r="J16" s="2815"/>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工业2073年10月15日</v>
      </c>
      <c r="T16" s="1494" t="str">
        <f>IF(OR(S16="",U16=""),"","、")</f>
        <v/>
      </c>
      <c r="U16" s="2108" t="str">
        <f>IF(I17="","",I16&amp;TEXT(I17,"yyyy年m月d日;;"))</f>
        <v/>
      </c>
    </row>
    <row r="17" spans="1:21">
      <c r="A17" s="3332" t="s">
        <v>3264</v>
      </c>
      <c r="B17" s="2744" t="s">
        <v>1473</v>
      </c>
      <c r="C17" s="3331"/>
      <c r="D17" s="3331"/>
      <c r="E17" s="3331"/>
      <c r="F17" s="3331"/>
      <c r="G17" s="3331"/>
      <c r="H17" s="3331">
        <v>63477</v>
      </c>
      <c r="I17" s="3331"/>
      <c r="J17" s="2815"/>
      <c r="K17" s="2793" t="str">
        <f>CONCATENATE(K16,L16,M16,N16,O16,P16,Q16,R16,S16,T16,,U16)</f>
        <v>工业2073年10月15日</v>
      </c>
      <c r="L17" s="2794"/>
      <c r="M17" s="2794"/>
      <c r="N17" s="2795"/>
      <c r="O17" s="2796"/>
      <c r="P17" s="2795"/>
      <c r="Q17" s="2795"/>
      <c r="R17" s="2795"/>
      <c r="S17" s="2795"/>
      <c r="T17" s="2795"/>
      <c r="U17" s="2795"/>
    </row>
    <row r="18" spans="1:21">
      <c r="A18" s="1552"/>
      <c r="B18" s="2744" t="s">
        <v>1474</v>
      </c>
      <c r="C18" s="1482"/>
      <c r="D18" s="1482"/>
      <c r="E18" s="1482"/>
      <c r="F18" s="1482"/>
      <c r="G18" s="1482"/>
      <c r="H18" s="1482">
        <v>50</v>
      </c>
      <c r="I18" s="1482"/>
      <c r="J18" s="2815"/>
      <c r="K18" s="2798"/>
      <c r="L18" s="2794"/>
      <c r="M18" s="2794"/>
      <c r="N18" s="2795"/>
      <c r="O18" s="2796"/>
      <c r="P18" s="2795"/>
      <c r="Q18" s="2795"/>
      <c r="R18" s="2795"/>
      <c r="S18" s="2795"/>
      <c r="T18" s="2795"/>
      <c r="U18" s="2795"/>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5"/>
      <c r="K19" s="2798"/>
      <c r="L19" s="2794"/>
      <c r="M19" s="2794"/>
      <c r="N19" s="2795"/>
      <c r="O19" s="2796"/>
      <c r="P19" s="2795"/>
      <c r="Q19" s="2795"/>
      <c r="R19" s="2795"/>
      <c r="S19" s="2795"/>
      <c r="T19" s="2795"/>
      <c r="U19" s="2795"/>
    </row>
    <row r="20" spans="1:21">
      <c r="A20" s="1572"/>
      <c r="B20" s="1573"/>
      <c r="C20" s="1574" t="s">
        <v>1578</v>
      </c>
      <c r="D20" s="3948"/>
      <c r="E20" s="3949"/>
      <c r="F20" s="3949"/>
      <c r="G20" s="3949"/>
      <c r="H20" s="3949"/>
      <c r="I20" s="3950"/>
      <c r="J20" s="2815"/>
      <c r="K20" s="2798"/>
      <c r="L20" s="2794"/>
      <c r="M20" s="2794"/>
      <c r="N20" s="2795"/>
      <c r="O20" s="2796"/>
      <c r="P20" s="2795"/>
      <c r="Q20" s="2795"/>
      <c r="R20" s="2795"/>
      <c r="S20" s="2795"/>
      <c r="T20" s="2795"/>
      <c r="U20" s="2795"/>
    </row>
    <row r="21" spans="1:21">
      <c r="A21" s="1552" t="s">
        <v>1476</v>
      </c>
      <c r="B21" s="1553" t="s">
        <v>1477</v>
      </c>
      <c r="C21" s="1548">
        <f>'数据-汇总表'!E3</f>
        <v>10738.85</v>
      </c>
      <c r="D21" s="1549" t="s">
        <v>1478</v>
      </c>
      <c r="E21" s="3938" t="s">
        <v>1516</v>
      </c>
      <c r="F21" s="3939"/>
      <c r="G21" s="3939"/>
      <c r="H21" s="3939"/>
      <c r="I21" s="3940"/>
      <c r="J21" s="2815"/>
      <c r="K21" s="2798"/>
      <c r="L21" s="2794"/>
      <c r="M21" s="2794"/>
      <c r="N21" s="2795"/>
      <c r="O21" s="2796"/>
      <c r="P21" s="2795"/>
      <c r="Q21" s="2795"/>
      <c r="R21" s="2795"/>
      <c r="S21" s="2795"/>
      <c r="T21" s="2795"/>
      <c r="U21" s="2795"/>
    </row>
    <row r="22" spans="1:21">
      <c r="A22" s="2555" t="s">
        <v>877</v>
      </c>
      <c r="B22" s="1464" t="s">
        <v>1479</v>
      </c>
      <c r="C22" s="1484">
        <f>'数据-汇总表'!D3</f>
        <v>10738.85</v>
      </c>
      <c r="D22" s="1485" t="s">
        <v>1478</v>
      </c>
      <c r="E22" s="3938" t="s">
        <v>2165</v>
      </c>
      <c r="F22" s="3939"/>
      <c r="G22" s="3939"/>
      <c r="H22" s="3939"/>
      <c r="I22" s="3940"/>
      <c r="J22" s="2815"/>
      <c r="K22" s="2798"/>
      <c r="L22" s="2794"/>
      <c r="M22" s="2794"/>
      <c r="N22" s="2795"/>
      <c r="O22" s="2796"/>
      <c r="P22" s="2795"/>
      <c r="Q22" s="2795"/>
      <c r="R22" s="2795"/>
      <c r="S22" s="2795"/>
      <c r="T22" s="2795"/>
      <c r="U22" s="2795"/>
    </row>
    <row r="23" spans="1:21" ht="47.4" thickBot="1">
      <c r="A23" s="1554" t="s">
        <v>1480</v>
      </c>
      <c r="B23" s="1495" t="s">
        <v>1481</v>
      </c>
      <c r="C23" s="1496"/>
      <c r="D23" s="1497" t="s">
        <v>1482</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1483</v>
      </c>
      <c r="B24" s="3941" t="s">
        <v>1484</v>
      </c>
      <c r="C24" s="3942"/>
      <c r="D24" s="3943" t="s">
        <v>1485</v>
      </c>
      <c r="E24" s="3944"/>
      <c r="F24" s="1502" t="s">
        <v>1486</v>
      </c>
      <c r="G24" s="2815"/>
      <c r="H24" s="2815"/>
      <c r="I24" s="2819"/>
      <c r="J24" s="2815"/>
      <c r="K24" s="392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5"/>
      <c r="O24" s="2796"/>
      <c r="P24" s="2795"/>
      <c r="Q24" s="2795"/>
      <c r="R24" s="2795"/>
      <c r="S24" s="2795"/>
      <c r="T24" s="2795"/>
      <c r="U24" s="2795"/>
    </row>
    <row r="25" spans="1:21" ht="31.2">
      <c r="A25" s="1540"/>
      <c r="B25" s="1537" t="s">
        <v>1682</v>
      </c>
      <c r="C25" s="1503" t="s">
        <v>1488</v>
      </c>
      <c r="D25" s="1504"/>
      <c r="E25" s="1505" t="s">
        <v>877</v>
      </c>
      <c r="F25" s="1506"/>
      <c r="G25" s="2815"/>
      <c r="H25" s="2815"/>
      <c r="I25" s="2819"/>
      <c r="J25" s="2815"/>
      <c r="K25" s="392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47.4" thickBot="1">
      <c r="A26" s="1541"/>
      <c r="B26" s="1538" t="s">
        <v>1489</v>
      </c>
      <c r="C26" s="1503" t="s">
        <v>1683</v>
      </c>
      <c r="D26" s="2816"/>
      <c r="E26" s="2816"/>
      <c r="F26" s="2822"/>
      <c r="G26" s="2815"/>
      <c r="H26" s="2815"/>
      <c r="I26" s="2819"/>
      <c r="J26" s="2815"/>
      <c r="K26" s="392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4"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5"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5" t="s">
        <v>1493</v>
      </c>
      <c r="E29" s="1510"/>
      <c r="F29" s="2822"/>
      <c r="G29" s="2815"/>
      <c r="H29" s="2815"/>
      <c r="I29" s="2819"/>
      <c r="J29" s="2815"/>
      <c r="K29" s="2798"/>
      <c r="L29" s="2794"/>
      <c r="M29" s="2794"/>
      <c r="N29" s="2795"/>
      <c r="O29" s="2796"/>
      <c r="P29" s="2795"/>
      <c r="Q29" s="2795"/>
      <c r="R29" s="2795"/>
      <c r="S29" s="2795"/>
      <c r="T29" s="2795"/>
      <c r="U29" s="2795"/>
    </row>
    <row r="30" spans="1:21" ht="16.2" thickBot="1">
      <c r="A30" s="1546"/>
      <c r="B30" s="1543" t="s">
        <v>1494</v>
      </c>
      <c r="C30" s="1511"/>
      <c r="D30" s="2256" t="s">
        <v>1494</v>
      </c>
      <c r="E30" s="1512"/>
      <c r="F30" s="2823"/>
      <c r="G30" s="2820"/>
      <c r="H30" s="2820"/>
      <c r="I30" s="2821"/>
      <c r="J30" s="2815"/>
      <c r="K30" s="2798"/>
      <c r="L30" s="2794"/>
      <c r="M30" s="2794"/>
      <c r="N30" s="2795"/>
      <c r="O30" s="2796"/>
      <c r="P30" s="2795"/>
      <c r="Q30" s="2795"/>
      <c r="R30" s="2795"/>
      <c r="S30" s="2795"/>
      <c r="T30" s="2795"/>
      <c r="U30" s="2795"/>
    </row>
    <row r="31" spans="1:21" ht="16.2" thickTop="1">
      <c r="A31" s="3956" t="s">
        <v>1519</v>
      </c>
      <c r="B31" s="1553" t="s">
        <v>1520</v>
      </c>
      <c r="C31" s="3954"/>
      <c r="D31" s="3955"/>
      <c r="E31" s="2815"/>
      <c r="F31" s="2815"/>
      <c r="G31" s="2815"/>
      <c r="H31" s="2815"/>
      <c r="I31" s="2819"/>
      <c r="J31" s="2815"/>
      <c r="K31" s="2801"/>
      <c r="L31" s="2795"/>
      <c r="M31" s="2795"/>
      <c r="N31" s="2795"/>
      <c r="O31" s="2795"/>
      <c r="P31" s="2795"/>
      <c r="Q31" s="2795"/>
      <c r="R31" s="2795"/>
      <c r="S31" s="2795"/>
      <c r="T31" s="2795"/>
      <c r="U31" s="2795"/>
    </row>
    <row r="32" spans="1:21">
      <c r="A32" s="3956"/>
      <c r="B32" s="1464" t="s">
        <v>1521</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956"/>
      <c r="B33" s="1464" t="s">
        <v>1522</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957"/>
      <c r="B34" s="1464" t="s">
        <v>1523</v>
      </c>
      <c r="C34" s="3958"/>
      <c r="D34" s="3959"/>
      <c r="E34" s="2815"/>
      <c r="F34" s="2815"/>
      <c r="G34" s="2815"/>
      <c r="H34" s="2815"/>
      <c r="I34" s="2819"/>
      <c r="J34" s="2815"/>
      <c r="K34" s="2801"/>
      <c r="L34" s="2795"/>
      <c r="M34" s="2795"/>
      <c r="N34" s="2795"/>
      <c r="O34" s="2795"/>
      <c r="P34" s="2795"/>
      <c r="Q34" s="2795"/>
      <c r="R34" s="2795"/>
      <c r="S34" s="2795"/>
      <c r="T34" s="2795"/>
      <c r="U34" s="2795"/>
    </row>
    <row r="35" spans="1:28">
      <c r="A35" s="3960" t="s">
        <v>785</v>
      </c>
      <c r="B35" s="1516"/>
      <c r="C35" s="1562" t="str">
        <f>IF(B35="场地平整","——","具体情况：")</f>
        <v>具体情况：</v>
      </c>
      <c r="D35" s="3962"/>
      <c r="E35" s="3963"/>
      <c r="F35" s="3963"/>
      <c r="G35" s="3963"/>
      <c r="H35" s="3963"/>
      <c r="I35" s="3964"/>
      <c r="J35" s="2815"/>
      <c r="K35" s="2802"/>
      <c r="L35" s="2794"/>
      <c r="M35" s="2794"/>
      <c r="N35" s="2795"/>
      <c r="O35" s="2796"/>
      <c r="P35" s="2795"/>
      <c r="Q35" s="2795"/>
      <c r="R35" s="2795"/>
      <c r="S35" s="2795"/>
      <c r="T35" s="2795"/>
      <c r="U35" s="2795"/>
    </row>
    <row r="36" spans="1:28">
      <c r="A36" s="3956"/>
      <c r="B36" s="3965" t="s">
        <v>1572</v>
      </c>
      <c r="C36" s="3966"/>
      <c r="D36" s="1578"/>
      <c r="E36" s="3967"/>
      <c r="F36" s="3967"/>
      <c r="G36" s="1485" t="str">
        <f>IF(B35="场地未平整","估价结果处理","")</f>
        <v/>
      </c>
      <c r="H36" s="3968"/>
      <c r="I36" s="3968"/>
      <c r="J36" s="2815"/>
      <c r="K36" s="2802"/>
      <c r="L36" s="2794"/>
      <c r="M36" s="2794"/>
      <c r="N36" s="2795"/>
      <c r="O36" s="2796"/>
      <c r="P36" s="2795"/>
      <c r="Q36" s="2795"/>
      <c r="R36" s="2795"/>
      <c r="S36" s="2795"/>
      <c r="T36" s="2795"/>
      <c r="U36" s="2795"/>
    </row>
    <row r="37" spans="1:28" ht="31.2">
      <c r="A37" s="3956"/>
      <c r="B37" s="3945"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956"/>
      <c r="B38" s="3946"/>
      <c r="C38" s="1472" t="s">
        <v>788</v>
      </c>
      <c r="D38" s="1577">
        <f>ROUNDDOWN(MIN(('数据-取费表'!$B$2-D37)/365,D34),1)</f>
        <v>125.3</v>
      </c>
      <c r="E38" s="1521" t="s">
        <v>789</v>
      </c>
      <c r="F38" s="2815"/>
      <c r="G38" s="2815"/>
      <c r="H38" s="2815"/>
      <c r="I38" s="2819"/>
      <c r="J38" s="2815"/>
      <c r="K38" s="2802"/>
      <c r="L38" s="2795"/>
      <c r="M38" s="2795"/>
      <c r="N38" s="2795"/>
      <c r="O38" s="2795"/>
      <c r="P38" s="2795"/>
      <c r="Q38" s="2795"/>
      <c r="R38" s="2795"/>
      <c r="S38" s="2795"/>
      <c r="T38" s="2795"/>
      <c r="U38" s="2795"/>
    </row>
    <row r="39" spans="1:28">
      <c r="A39" s="3957"/>
      <c r="B39" s="3947"/>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c r="C40" s="1486"/>
      <c r="D40" s="1486"/>
      <c r="E40" s="1486"/>
      <c r="F40" s="1486"/>
      <c r="G40" s="1486"/>
      <c r="H40" s="1486"/>
      <c r="I40" s="2819"/>
      <c r="J40" s="2815"/>
      <c r="K40" s="2763">
        <f>COUNTIF(B40:H40,"——")</f>
        <v>0</v>
      </c>
      <c r="L40" s="1494" t="s">
        <v>1496</v>
      </c>
      <c r="M40" s="1491" t="s">
        <v>1497</v>
      </c>
      <c r="N40" s="1491" t="s">
        <v>1498</v>
      </c>
      <c r="O40" s="1491" t="s">
        <v>1499</v>
      </c>
      <c r="P40" s="1491" t="s">
        <v>1500</v>
      </c>
      <c r="Q40" s="1491" t="s">
        <v>1501</v>
      </c>
      <c r="R40" s="1491" t="s">
        <v>1502</v>
      </c>
      <c r="S40" s="3928" t="s">
        <v>1503</v>
      </c>
      <c r="T40" s="1525" t="str">
        <f>NUMBERSTRING(7-K40,1)&amp;"通"</f>
        <v>七通</v>
      </c>
      <c r="U40" s="2795"/>
    </row>
    <row r="41" spans="1:28">
      <c r="A41" s="1466"/>
      <c r="B41" s="3961" t="s">
        <v>1250</v>
      </c>
      <c r="C41" s="3961"/>
      <c r="D41" s="3961"/>
      <c r="E41" s="3961"/>
      <c r="F41" s="1526">
        <f>C10</f>
        <v>0</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928"/>
      <c r="T41" s="1527" t="str">
        <f>IF(T40="一通",L41,IF(T40="二通",M41,IF(T40="三通",N41,IF(T40="四通",O41,IF(T40="五通",P41,IF(T40="六通",Q41,R41))))))</f>
        <v>、、、、、、</v>
      </c>
      <c r="U41" s="2795"/>
    </row>
    <row r="42" spans="1:28">
      <c r="A42" s="1529"/>
      <c r="B42" s="1555" t="s">
        <v>1422</v>
      </c>
      <c r="C42" s="1555" t="s">
        <v>1423</v>
      </c>
      <c r="D42" s="1555" t="s">
        <v>1424</v>
      </c>
      <c r="E42" s="3278" t="s">
        <v>2743</v>
      </c>
      <c r="F42" s="3278" t="s">
        <v>2744</v>
      </c>
      <c r="G42" s="2815"/>
      <c r="H42" s="2815"/>
      <c r="I42" s="2819"/>
      <c r="J42" s="2815"/>
      <c r="K42" s="2798"/>
      <c r="L42" s="2794"/>
      <c r="M42" s="2794"/>
      <c r="N42" s="2795"/>
      <c r="O42" s="2796"/>
      <c r="P42" s="2795"/>
      <c r="Q42" s="2795"/>
      <c r="R42" s="2795"/>
      <c r="S42" s="2795"/>
      <c r="T42" s="2795"/>
      <c r="U42" s="2795"/>
    </row>
    <row r="43" spans="1:28">
      <c r="A43" s="2766" t="s">
        <v>1235</v>
      </c>
      <c r="B43" s="1531"/>
      <c r="C43" s="1531"/>
      <c r="D43" s="1531"/>
      <c r="E43" s="1531" t="s">
        <v>1153</v>
      </c>
      <c r="F43" s="1531"/>
      <c r="G43" s="2815"/>
      <c r="H43" s="2815"/>
      <c r="I43" s="2819"/>
      <c r="J43" s="2815"/>
      <c r="K43" s="2798"/>
      <c r="L43" s="2794"/>
      <c r="M43" s="2794"/>
      <c r="N43" s="2795"/>
      <c r="O43" s="2796"/>
      <c r="P43" s="2795"/>
      <c r="Q43" s="2795"/>
      <c r="R43" s="2795"/>
      <c r="S43" s="2795"/>
      <c r="T43" s="2795"/>
      <c r="U43" s="2795"/>
    </row>
    <row r="44" spans="1:28">
      <c r="A44" s="2766" t="s">
        <v>1236</v>
      </c>
      <c r="B44" s="1531"/>
      <c r="C44" s="1531"/>
      <c r="D44" s="1531"/>
      <c r="E44" s="1578" t="s">
        <v>2857</v>
      </c>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34" activePane="bottomRight" state="frozen"/>
      <selection pane="topRight" activeCell="E1" sqref="E1"/>
      <selection pane="bottomLeft" activeCell="A12" sqref="A12"/>
      <selection pane="bottomRight" activeCell="A4" sqref="A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10738.85</v>
      </c>
      <c r="B3" s="20">
        <f>IF(C3="否",G5-AT5,G5)</f>
        <v>10738.85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10738.85</v>
      </c>
      <c r="H5" s="25">
        <f t="shared" ref="H5:AT5" si="0">SUM(H13:H641)</f>
        <v>10738.85</v>
      </c>
      <c r="I5" s="25">
        <f t="shared" si="0"/>
        <v>10738.85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10738.85</v>
      </c>
      <c r="BA5" s="27">
        <f t="shared" si="1"/>
        <v>10738.85</v>
      </c>
      <c r="BB5" s="27">
        <f t="shared" si="1"/>
        <v>10738.85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10738.85</v>
      </c>
      <c r="F6" s="25" t="s">
        <v>0</v>
      </c>
      <c r="G6" s="25" t="s">
        <v>1</v>
      </c>
      <c r="H6" s="31">
        <f>SUMIF(I$12:AB$12,"总值",I6:AB6)</f>
        <v>10738.85</v>
      </c>
      <c r="I6" s="25">
        <f t="shared" ref="I6:AB6" si="2">ROUND($A$3*I5/$B$3,2)</f>
        <v>10738.85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10738.85</v>
      </c>
      <c r="AZ6" s="25" t="s">
        <v>2</v>
      </c>
      <c r="BA6" s="25">
        <f>ROUND($AY$6*BA5/$AZ$5,2)</f>
        <v>10738.85</v>
      </c>
      <c r="BB6" s="25">
        <f>ROUND($AY$6*BB5/$AZ$5,2)</f>
        <v>10738.85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0" t="s">
        <v>3266</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0" t="s">
        <v>905</v>
      </c>
      <c r="J10" s="49"/>
      <c r="K10" s="2492"/>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6"/>
      <c r="B13" s="2486"/>
      <c r="C13" s="2486"/>
      <c r="D13" s="2487" t="s">
        <v>3265</v>
      </c>
      <c r="E13" s="25">
        <f t="shared" ref="E13:E20" si="6">IF($C$3="是",ROUND($A$3*G13/$B$3,2),ROUND($A$3*(G13-AT13)/$B$3,2))</f>
        <v>10738.85</v>
      </c>
      <c r="F13" s="78"/>
      <c r="G13" s="79">
        <f t="shared" ref="G13:G20" si="7">H13+AC13+AT13</f>
        <v>10738.85</v>
      </c>
      <c r="H13" s="31">
        <f t="shared" ref="H13:H20" si="8">SUMIF(I$12:AB$12,"总值",I13:AB13)</f>
        <v>10738.85</v>
      </c>
      <c r="I13" s="2489">
        <f>A3</f>
        <v>10738.85</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10738.85</v>
      </c>
      <c r="AZ13" s="25">
        <f t="shared" ref="AZ13:AZ20" si="12">BA13+BL13</f>
        <v>10738.85</v>
      </c>
      <c r="BA13" s="25">
        <f t="shared" ref="BA13:BA20" si="13">SUM(BB13:BK13)</f>
        <v>10738.85</v>
      </c>
      <c r="BB13" s="25">
        <f t="shared" ref="BB13:BB20" si="14">IF($D13="是",I13-J13,0)</f>
        <v>10738.85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19" sqref="C19"/>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978" t="s">
        <v>169</v>
      </c>
      <c r="B2" s="3978"/>
      <c r="C2" s="3978"/>
      <c r="D2" s="1729" t="s">
        <v>170</v>
      </c>
      <c r="E2" s="102" t="s">
        <v>171</v>
      </c>
      <c r="F2" s="2824"/>
      <c r="G2" s="1096"/>
      <c r="H2" s="1097"/>
      <c r="I2" s="1098" t="s">
        <v>795</v>
      </c>
      <c r="J2" s="2824"/>
      <c r="K2" s="2824"/>
      <c r="L2" s="2824"/>
      <c r="M2" s="2824"/>
      <c r="N2" s="2824"/>
      <c r="O2" s="2824"/>
      <c r="P2" s="2824"/>
    </row>
    <row r="3" spans="1:16" ht="15" thickBot="1">
      <c r="A3" s="3979" t="s">
        <v>172</v>
      </c>
      <c r="B3" s="3979"/>
      <c r="C3" s="3979"/>
      <c r="D3" s="103">
        <f>'数据-基础表'!AY6</f>
        <v>10738.85</v>
      </c>
      <c r="E3" s="103">
        <f>'数据-基础表'!AZ5</f>
        <v>10738.85</v>
      </c>
      <c r="F3" s="2824"/>
      <c r="G3" s="271" t="s">
        <v>796</v>
      </c>
      <c r="H3" s="266" t="s">
        <v>797</v>
      </c>
      <c r="I3" s="1730">
        <f>ROUND('数据-基础表'!B3/'数据-基础表'!A3,2)</f>
        <v>1</v>
      </c>
      <c r="J3" s="2824"/>
      <c r="K3" s="2824"/>
      <c r="L3" s="2824"/>
      <c r="M3" s="2824"/>
      <c r="N3" s="2824"/>
      <c r="O3" s="2824"/>
      <c r="P3" s="2824"/>
    </row>
    <row r="4" spans="1:16" ht="14.4">
      <c r="A4" s="3980"/>
      <c r="B4" s="3981"/>
      <c r="C4" s="3982"/>
      <c r="D4" s="104" t="s">
        <v>170</v>
      </c>
      <c r="E4" s="105" t="s">
        <v>171</v>
      </c>
      <c r="F4" s="2824"/>
      <c r="G4" s="1099"/>
      <c r="H4" s="266" t="s">
        <v>798</v>
      </c>
      <c r="I4" s="1730">
        <f>ROUND(SUMIF('数据-基础表'!I9:AS9,"地上",'数据-基础表'!I5:AS5)/'数据-基础表'!A3,2)</f>
        <v>1</v>
      </c>
      <c r="J4" s="2824"/>
      <c r="K4" s="2824"/>
      <c r="L4" s="2824"/>
      <c r="M4" s="2824"/>
      <c r="N4" s="2824"/>
      <c r="O4" s="2824"/>
      <c r="P4" s="2824"/>
    </row>
    <row r="5" spans="1:16" ht="14.4">
      <c r="A5" s="106" t="s">
        <v>173</v>
      </c>
      <c r="B5" s="3983" t="s">
        <v>196</v>
      </c>
      <c r="C5" s="3983"/>
      <c r="D5" s="107">
        <f>ROUND($D$3*E5/$E$3,2)</f>
        <v>0</v>
      </c>
      <c r="E5" s="108">
        <f>SUMIF('数据-基础表'!$11:$11,"住宅",'数据-基础表'!$5:$5)</f>
        <v>0</v>
      </c>
      <c r="F5" s="2824"/>
      <c r="G5" s="271" t="s">
        <v>799</v>
      </c>
      <c r="H5" s="266" t="s">
        <v>797</v>
      </c>
      <c r="I5" s="1730">
        <f>ROUND(E31/D31,2)</f>
        <v>1</v>
      </c>
      <c r="J5" s="2824"/>
      <c r="K5" s="2824"/>
      <c r="L5" s="2824"/>
      <c r="M5" s="2824"/>
      <c r="N5" s="2824"/>
      <c r="O5" s="2824"/>
      <c r="P5" s="2824"/>
    </row>
    <row r="6" spans="1:16" ht="15" thickBot="1">
      <c r="A6" s="109"/>
      <c r="B6" s="3983" t="s">
        <v>174</v>
      </c>
      <c r="C6" s="3983"/>
      <c r="D6" s="107">
        <f>ROUND($D$3*E6/$E$3,2)</f>
        <v>10738.85</v>
      </c>
      <c r="E6" s="108">
        <f>E3-E5</f>
        <v>10738.85</v>
      </c>
      <c r="F6" s="2824"/>
      <c r="G6" s="1099"/>
      <c r="H6" s="266" t="s">
        <v>798</v>
      </c>
      <c r="I6" s="1730">
        <f>ROUND(F31/D31,2)</f>
        <v>1</v>
      </c>
      <c r="J6" s="2824"/>
      <c r="K6" s="2824"/>
      <c r="L6" s="2824"/>
      <c r="M6" s="2824"/>
      <c r="N6" s="2824"/>
      <c r="O6" s="2824"/>
      <c r="P6" s="2824"/>
    </row>
    <row r="7" spans="1:16" ht="14.4">
      <c r="A7" s="3975"/>
      <c r="B7" s="3976"/>
      <c r="C7" s="3977"/>
      <c r="D7" s="104" t="s">
        <v>170</v>
      </c>
      <c r="E7" s="110" t="s">
        <v>197</v>
      </c>
      <c r="F7" s="2824"/>
      <c r="G7" s="1055" t="s">
        <v>1180</v>
      </c>
      <c r="H7" s="1056"/>
      <c r="I7" s="1631"/>
      <c r="J7" s="2824"/>
      <c r="K7" s="2824"/>
      <c r="L7" s="2824"/>
      <c r="M7" s="2824"/>
      <c r="N7" s="2824"/>
      <c r="O7" s="2824"/>
      <c r="P7" s="2824"/>
    </row>
    <row r="8" spans="1:16" ht="14.4">
      <c r="A8" s="106" t="s">
        <v>175</v>
      </c>
      <c r="B8" s="111" t="s">
        <v>176</v>
      </c>
      <c r="C8" s="107" t="s">
        <v>177</v>
      </c>
      <c r="D8" s="107">
        <f t="shared" ref="D8:D15" si="0">ROUND($D$3*E8/$E$3,2)</f>
        <v>10738.85</v>
      </c>
      <c r="E8" s="112">
        <f>SUMIF('数据-基础表'!BB10:BK10,"地上",'数据-基础表'!BB5:BK5)</f>
        <v>10738.85</v>
      </c>
      <c r="F8" s="2824"/>
      <c r="G8" s="2825"/>
      <c r="H8" s="2825"/>
      <c r="I8" s="2824"/>
      <c r="J8" s="2824"/>
      <c r="K8" s="2824"/>
      <c r="L8" s="2824"/>
      <c r="M8" s="2824"/>
      <c r="N8" s="2824"/>
      <c r="O8" s="2824"/>
      <c r="P8" s="2824"/>
    </row>
    <row r="9" spans="1:16" ht="14.4">
      <c r="A9" s="113"/>
      <c r="B9" s="114"/>
      <c r="C9" s="107" t="s">
        <v>178</v>
      </c>
      <c r="D9" s="107">
        <f t="shared" si="0"/>
        <v>0</v>
      </c>
      <c r="E9" s="115">
        <v>0</v>
      </c>
      <c r="F9" s="2824"/>
      <c r="G9" s="2825"/>
      <c r="H9" s="2825"/>
      <c r="I9" s="2824"/>
      <c r="J9" s="2824"/>
      <c r="K9" s="2824"/>
      <c r="L9" s="2824"/>
      <c r="M9" s="2824"/>
      <c r="N9" s="2824"/>
      <c r="O9" s="2824"/>
      <c r="P9" s="2824"/>
    </row>
    <row r="10" spans="1:16" ht="14.4">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ht="14.4">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ht="14.4">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ht="14.4">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ht="14.4">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 thickBot="1">
      <c r="A16" s="109"/>
      <c r="B16" s="114"/>
      <c r="C16" s="111" t="s">
        <v>181</v>
      </c>
      <c r="D16" s="111">
        <f>SUM(D8:D15)</f>
        <v>10738.85</v>
      </c>
      <c r="E16" s="116">
        <f>SUM(E8:E15)</f>
        <v>10738.85</v>
      </c>
      <c r="F16" s="2824"/>
      <c r="G16" s="2825"/>
      <c r="H16" s="930" t="s">
        <v>185</v>
      </c>
      <c r="I16" s="931"/>
      <c r="J16" s="1738"/>
      <c r="K16" s="3969" t="s">
        <v>1849</v>
      </c>
      <c r="L16" s="3970"/>
      <c r="M16" s="3970"/>
      <c r="N16" s="3970"/>
      <c r="O16" s="3970"/>
      <c r="P16" s="3971"/>
    </row>
    <row r="17" spans="1:19" ht="14.4">
      <c r="A17" s="117" t="s">
        <v>182</v>
      </c>
      <c r="B17" s="118" t="s">
        <v>183</v>
      </c>
      <c r="C17" s="2016" t="s">
        <v>1670</v>
      </c>
      <c r="D17" s="104" t="s">
        <v>170</v>
      </c>
      <c r="E17" s="120" t="s">
        <v>171</v>
      </c>
      <c r="F17" s="121"/>
      <c r="G17" s="1225"/>
      <c r="H17" s="932" t="s">
        <v>184</v>
      </c>
      <c r="I17" s="933" t="s">
        <v>1669</v>
      </c>
      <c r="J17" s="1738"/>
      <c r="K17" s="3972" t="s">
        <v>1850</v>
      </c>
      <c r="L17" s="3973"/>
      <c r="M17" s="3974"/>
      <c r="N17" s="3972" t="s">
        <v>1851</v>
      </c>
      <c r="O17" s="3973"/>
      <c r="P17" s="3974"/>
      <c r="R17" s="2017" t="s">
        <v>1668</v>
      </c>
      <c r="S17" s="137"/>
    </row>
    <row r="18" spans="1:19" ht="14.4">
      <c r="A18" s="113"/>
      <c r="B18" s="124"/>
      <c r="C18" s="125"/>
      <c r="D18" s="2246"/>
      <c r="E18" s="126" t="s">
        <v>186</v>
      </c>
      <c r="F18" s="127" t="s">
        <v>187</v>
      </c>
      <c r="G18" s="1226" t="s">
        <v>188</v>
      </c>
      <c r="H18" s="934" t="s">
        <v>189</v>
      </c>
      <c r="I18" s="935" t="s">
        <v>190</v>
      </c>
      <c r="J18" s="1738"/>
      <c r="K18" s="2211" t="s">
        <v>1852</v>
      </c>
      <c r="L18" s="2212" t="s">
        <v>1853</v>
      </c>
      <c r="M18" s="2213" t="s">
        <v>1854</v>
      </c>
      <c r="N18" s="2211" t="s">
        <v>1852</v>
      </c>
      <c r="O18" s="2212" t="s">
        <v>1853</v>
      </c>
      <c r="P18" s="2213" t="s">
        <v>1854</v>
      </c>
      <c r="R18" s="2018" t="s">
        <v>1666</v>
      </c>
      <c r="S18" s="2018" t="s">
        <v>1667</v>
      </c>
    </row>
    <row r="19" spans="1:19" ht="14.4">
      <c r="A19" s="129"/>
      <c r="B19" s="111" t="s">
        <v>191</v>
      </c>
      <c r="C19" s="2496" t="s">
        <v>3301</v>
      </c>
      <c r="D19" s="107">
        <f t="shared" ref="D19:D26" si="1">ROUND($D$3*E19/$E$3,2)</f>
        <v>10738.85</v>
      </c>
      <c r="E19" s="130">
        <f t="shared" ref="E19:E26" si="2">SUM(F19:G19)</f>
        <v>10738.85</v>
      </c>
      <c r="F19" s="2826">
        <f>'数据-基础表'!I13</f>
        <v>10738.85</v>
      </c>
      <c r="G19" s="2827"/>
      <c r="H19" s="936">
        <f>ROUND($D$3*I19/$E$3,2)</f>
        <v>0</v>
      </c>
      <c r="I19" s="112">
        <f>IF($I$17="自定义",P19,M19)</f>
        <v>0</v>
      </c>
      <c r="J19" s="1738"/>
      <c r="K19" s="2214">
        <f t="shared" ref="K19:K26" si="3">ROUND(E$28*E19/E$27,2)</f>
        <v>0</v>
      </c>
      <c r="L19" s="266">
        <f t="shared" ref="L19:L26" si="4">ROUND(IF(COUNTIF(C19,"*住宅*")&gt;0,E$29*E19/E$32,0),2)</f>
        <v>0</v>
      </c>
      <c r="M19" s="2215">
        <f>K19+L19</f>
        <v>0</v>
      </c>
      <c r="N19" s="2216"/>
      <c r="O19" s="2217"/>
      <c r="P19" s="2218">
        <f>N19+O19</f>
        <v>0</v>
      </c>
      <c r="R19" s="266">
        <f t="shared" ref="R19:S26" si="5">D19+H19</f>
        <v>10738.85</v>
      </c>
      <c r="S19" s="2019">
        <f t="shared" si="5"/>
        <v>10738.85</v>
      </c>
    </row>
    <row r="20" spans="1:19" ht="14.4">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4">
        <f t="shared" si="3"/>
        <v>0</v>
      </c>
      <c r="L20" s="266">
        <f t="shared" si="4"/>
        <v>0</v>
      </c>
      <c r="M20" s="2215">
        <f t="shared" ref="M20:M26" si="8">K20+L20</f>
        <v>0</v>
      </c>
      <c r="N20" s="2216"/>
      <c r="O20" s="2217"/>
      <c r="P20" s="2218">
        <f t="shared" ref="P20:P26" si="9">N20+O20</f>
        <v>0</v>
      </c>
      <c r="R20" s="266">
        <f t="shared" si="5"/>
        <v>0</v>
      </c>
      <c r="S20" s="2019">
        <f t="shared" si="5"/>
        <v>0</v>
      </c>
    </row>
    <row r="21" spans="1:19" ht="14.4">
      <c r="A21" s="133"/>
      <c r="B21" s="111" t="s">
        <v>192</v>
      </c>
      <c r="C21" s="2496"/>
      <c r="D21" s="107">
        <f t="shared" si="1"/>
        <v>0</v>
      </c>
      <c r="E21" s="130">
        <f t="shared" si="2"/>
        <v>0</v>
      </c>
      <c r="F21" s="2826"/>
      <c r="G21" s="2827"/>
      <c r="H21" s="936">
        <f t="shared" si="6"/>
        <v>0</v>
      </c>
      <c r="I21" s="112">
        <f t="shared" si="7"/>
        <v>0</v>
      </c>
      <c r="J21" s="1738"/>
      <c r="K21" s="2214">
        <f t="shared" si="3"/>
        <v>0</v>
      </c>
      <c r="L21" s="266">
        <f t="shared" si="4"/>
        <v>0</v>
      </c>
      <c r="M21" s="2215">
        <f t="shared" si="8"/>
        <v>0</v>
      </c>
      <c r="N21" s="2216"/>
      <c r="O21" s="2217"/>
      <c r="P21" s="2218">
        <f t="shared" si="9"/>
        <v>0</v>
      </c>
      <c r="R21" s="266">
        <f t="shared" si="5"/>
        <v>0</v>
      </c>
      <c r="S21" s="2019">
        <f t="shared" si="5"/>
        <v>0</v>
      </c>
    </row>
    <row r="22" spans="1:19" ht="14.4">
      <c r="A22" s="133"/>
      <c r="B22" s="111" t="s">
        <v>192</v>
      </c>
      <c r="C22" s="3334"/>
      <c r="D22" s="107">
        <f t="shared" si="1"/>
        <v>0</v>
      </c>
      <c r="E22" s="130">
        <f t="shared" si="2"/>
        <v>0</v>
      </c>
      <c r="F22" s="2828"/>
      <c r="G22" s="2829"/>
      <c r="H22" s="936">
        <f t="shared" si="6"/>
        <v>0</v>
      </c>
      <c r="I22" s="112">
        <f t="shared" si="7"/>
        <v>0</v>
      </c>
      <c r="J22" s="1738"/>
      <c r="K22" s="2214">
        <f t="shared" si="3"/>
        <v>0</v>
      </c>
      <c r="L22" s="266">
        <f t="shared" si="4"/>
        <v>0</v>
      </c>
      <c r="M22" s="2215">
        <f t="shared" si="8"/>
        <v>0</v>
      </c>
      <c r="N22" s="2216"/>
      <c r="O22" s="2217"/>
      <c r="P22" s="2218">
        <f t="shared" si="9"/>
        <v>0</v>
      </c>
      <c r="R22" s="266">
        <f t="shared" si="5"/>
        <v>0</v>
      </c>
      <c r="S22" s="2019">
        <f t="shared" si="5"/>
        <v>0</v>
      </c>
    </row>
    <row r="23" spans="1:19" ht="14.4">
      <c r="A23" s="133"/>
      <c r="B23" s="111" t="s">
        <v>192</v>
      </c>
      <c r="C23" s="3334"/>
      <c r="D23" s="107">
        <f>ROUND($D$3*E23/$E$3,2)</f>
        <v>0</v>
      </c>
      <c r="E23" s="130">
        <f>SUM(F23:G23)</f>
        <v>0</v>
      </c>
      <c r="F23" s="2828"/>
      <c r="G23" s="2829"/>
      <c r="H23" s="936">
        <f>ROUND($D$3*I23/$E$3,2)</f>
        <v>0</v>
      </c>
      <c r="I23" s="112">
        <f t="shared" si="7"/>
        <v>0</v>
      </c>
      <c r="J23" s="1738"/>
      <c r="K23" s="2214">
        <f t="shared" si="3"/>
        <v>0</v>
      </c>
      <c r="L23" s="266">
        <f t="shared" si="4"/>
        <v>0</v>
      </c>
      <c r="M23" s="2215">
        <f t="shared" si="8"/>
        <v>0</v>
      </c>
      <c r="N23" s="2216"/>
      <c r="O23" s="2217"/>
      <c r="P23" s="2218">
        <f t="shared" si="9"/>
        <v>0</v>
      </c>
      <c r="R23" s="266">
        <f t="shared" si="5"/>
        <v>0</v>
      </c>
      <c r="S23" s="2019">
        <f t="shared" si="5"/>
        <v>0</v>
      </c>
    </row>
    <row r="24" spans="1:19" ht="14.4">
      <c r="A24" s="133"/>
      <c r="B24" s="111" t="s">
        <v>192</v>
      </c>
      <c r="C24" s="3334"/>
      <c r="D24" s="107">
        <f>ROUND($D$3*E24/$E$3,2)</f>
        <v>0</v>
      </c>
      <c r="E24" s="130">
        <f>SUM(F24:G24)</f>
        <v>0</v>
      </c>
      <c r="F24" s="2828"/>
      <c r="G24" s="2829"/>
      <c r="H24" s="936">
        <f>ROUND($D$3*I24/$E$3,2)</f>
        <v>0</v>
      </c>
      <c r="I24" s="112">
        <f t="shared" si="7"/>
        <v>0</v>
      </c>
      <c r="J24" s="1738"/>
      <c r="K24" s="2214">
        <f t="shared" si="3"/>
        <v>0</v>
      </c>
      <c r="L24" s="266">
        <f t="shared" si="4"/>
        <v>0</v>
      </c>
      <c r="M24" s="2215">
        <f t="shared" si="8"/>
        <v>0</v>
      </c>
      <c r="N24" s="2216"/>
      <c r="O24" s="2217"/>
      <c r="P24" s="2218">
        <f t="shared" si="9"/>
        <v>0</v>
      </c>
      <c r="R24" s="266">
        <f t="shared" si="5"/>
        <v>0</v>
      </c>
      <c r="S24" s="2019">
        <f t="shared" si="5"/>
        <v>0</v>
      </c>
    </row>
    <row r="25" spans="1:19" ht="14.4">
      <c r="A25" s="133"/>
      <c r="B25" s="111" t="s">
        <v>192</v>
      </c>
      <c r="C25" s="3334"/>
      <c r="D25" s="107">
        <f t="shared" si="1"/>
        <v>0</v>
      </c>
      <c r="E25" s="130">
        <f t="shared" si="2"/>
        <v>0</v>
      </c>
      <c r="F25" s="2828"/>
      <c r="G25" s="2829"/>
      <c r="H25" s="106">
        <f t="shared" si="6"/>
        <v>0</v>
      </c>
      <c r="I25" s="112">
        <f t="shared" si="7"/>
        <v>0</v>
      </c>
      <c r="J25" s="1738"/>
      <c r="K25" s="2214">
        <f t="shared" si="3"/>
        <v>0</v>
      </c>
      <c r="L25" s="266">
        <f t="shared" si="4"/>
        <v>0</v>
      </c>
      <c r="M25" s="2215">
        <f t="shared" si="8"/>
        <v>0</v>
      </c>
      <c r="N25" s="2216"/>
      <c r="O25" s="2217"/>
      <c r="P25" s="2218">
        <f t="shared" si="9"/>
        <v>0</v>
      </c>
      <c r="R25" s="266">
        <f t="shared" si="5"/>
        <v>0</v>
      </c>
      <c r="S25" s="2019">
        <f t="shared" si="5"/>
        <v>0</v>
      </c>
    </row>
    <row r="26" spans="1:19" ht="14.4">
      <c r="A26" s="133"/>
      <c r="B26" s="111" t="s">
        <v>192</v>
      </c>
      <c r="C26" s="135"/>
      <c r="D26" s="107">
        <f t="shared" si="1"/>
        <v>0</v>
      </c>
      <c r="E26" s="130">
        <f t="shared" si="2"/>
        <v>0</v>
      </c>
      <c r="F26" s="2828"/>
      <c r="G26" s="2829"/>
      <c r="H26" s="106">
        <f t="shared" si="6"/>
        <v>0</v>
      </c>
      <c r="I26" s="112">
        <f t="shared" si="7"/>
        <v>0</v>
      </c>
      <c r="J26" s="1738"/>
      <c r="K26" s="2219">
        <f t="shared" si="3"/>
        <v>0</v>
      </c>
      <c r="L26" s="271">
        <f t="shared" si="4"/>
        <v>0</v>
      </c>
      <c r="M26" s="139">
        <f t="shared" si="8"/>
        <v>0</v>
      </c>
      <c r="N26" s="2220"/>
      <c r="O26" s="2221"/>
      <c r="P26" s="2222">
        <f t="shared" si="9"/>
        <v>0</v>
      </c>
      <c r="R26" s="266">
        <f t="shared" si="5"/>
        <v>0</v>
      </c>
      <c r="S26" s="2019">
        <f t="shared" si="5"/>
        <v>0</v>
      </c>
    </row>
    <row r="27" spans="1:19" ht="15" thickBot="1">
      <c r="A27" s="133"/>
      <c r="B27" s="107"/>
      <c r="C27" s="123" t="s">
        <v>181</v>
      </c>
      <c r="D27" s="130">
        <f>SUM(D19:D26)</f>
        <v>10738.85</v>
      </c>
      <c r="E27" s="136">
        <f>IF(SUM(E19:E26)='数据-基础表'!BA5,SUM(E19:E26),IF(F27="地上面积有误","面积有误","地下面积有误"))</f>
        <v>10738.85</v>
      </c>
      <c r="F27" s="130">
        <f>IF(SUM(F19:F26)=E8,SUM(F19:F26),"地上面积有误")</f>
        <v>10738.85</v>
      </c>
      <c r="G27" s="108">
        <f>SUM(G19:G26)</f>
        <v>0</v>
      </c>
      <c r="H27" s="937">
        <f>SUM(H19:H26)</f>
        <v>0</v>
      </c>
      <c r="I27" s="938">
        <f>SUM(I19:I26)</f>
        <v>0</v>
      </c>
      <c r="J27" s="1738"/>
      <c r="K27" s="2223">
        <f t="shared" ref="K27:P27" si="10">SUM(K19:K26)</f>
        <v>0</v>
      </c>
      <c r="L27" s="2224">
        <f t="shared" si="10"/>
        <v>0</v>
      </c>
      <c r="M27" s="2225">
        <f t="shared" si="10"/>
        <v>0</v>
      </c>
      <c r="N27" s="2223">
        <f t="shared" si="10"/>
        <v>0</v>
      </c>
      <c r="O27" s="2224">
        <f t="shared" si="10"/>
        <v>0</v>
      </c>
      <c r="P27" s="2226">
        <f t="shared" si="10"/>
        <v>0</v>
      </c>
      <c r="R27" s="2023">
        <f>IF(SUM(R19:R26)=$D$3,SUM(R19:R26),SUM(R19:R26)&amp;"误差"&amp;ROUND(SUM(R19:R26)-$D$3,2))</f>
        <v>10738.85</v>
      </c>
      <c r="S27" s="266">
        <f>IF(SUM(S19:S26)=$E$3,SUM(S19:S26),SUM(S19:S26)&amp;"误差"&amp;ROUND(SUM(S19:S26)-E3,2))</f>
        <v>10738.85</v>
      </c>
    </row>
    <row r="28" spans="1:19" ht="14.4">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ht="14.4">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ht="14.4">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10738.85</v>
      </c>
      <c r="E31" s="1229">
        <f>E27+E30</f>
        <v>10738.85</v>
      </c>
      <c r="F31" s="1230">
        <f>F27+F30</f>
        <v>10738.85</v>
      </c>
      <c r="G31" s="1231">
        <f>G27+G30</f>
        <v>0</v>
      </c>
      <c r="H31" s="2824"/>
      <c r="I31" s="2824"/>
      <c r="J31" s="2824"/>
      <c r="K31" s="2824"/>
      <c r="L31" s="2824"/>
      <c r="M31" s="2824"/>
      <c r="N31" s="2824"/>
      <c r="O31" s="2824"/>
      <c r="P31" s="2824"/>
    </row>
    <row r="32" spans="1:19" ht="14.4">
      <c r="A32" s="1738"/>
      <c r="B32" s="2060" t="s">
        <v>1678</v>
      </c>
      <c r="C32" s="2250"/>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C41" sqref="C41"/>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3" width="7.21875" style="1101" customWidth="1"/>
    <col min="34" max="34" width="8.664062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 thickBot="1">
      <c r="A2" s="142" t="s">
        <v>201</v>
      </c>
      <c r="B2" s="2056">
        <f>项目基本情况!D3</f>
        <v>45744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3.2">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3300</v>
      </c>
      <c r="O5" s="156" t="s">
        <v>212</v>
      </c>
      <c r="P5" s="158" t="s">
        <v>213</v>
      </c>
      <c r="Q5" s="159" t="s">
        <v>214</v>
      </c>
      <c r="R5" s="160" t="s">
        <v>215</v>
      </c>
      <c r="S5" s="2227"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2262</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工业</v>
      </c>
      <c r="B6" s="2055" t="str">
        <f>IF(A6=0,"","经营性")</f>
        <v>经营性</v>
      </c>
      <c r="C6" s="166" t="s">
        <v>905</v>
      </c>
      <c r="D6" s="2026">
        <f>SUMIF(项目基本情况!C$15:I$15,C6,项目基本情况!C$18:I$18)</f>
        <v>50</v>
      </c>
      <c r="E6" s="2027">
        <f>IF(B6="","",SUMIF(项目基本情况!C$15:I$15,C6,项目基本情况!C$17:I$17))</f>
        <v>63477</v>
      </c>
      <c r="F6" s="167">
        <f>SUMIF(项目基本情况!C$15:I$15,C6,项目基本情况!C$19:I$19)</f>
        <v>50</v>
      </c>
      <c r="G6" s="168">
        <f t="shared" ref="G6:G13" si="0">IF(ISERROR(ROUND(POWER(1+H6,D6-F6)*(POWER(1+H6,F6)-1)/(POWER(1+H6,D6)-1),3)),0,ROUND(POWER(1+H6,D6-F6)*(POWER(1+H6,F6)-1)/(POWER(1+H6,D6)-1),3))</f>
        <v>1</v>
      </c>
      <c r="H6" s="2497">
        <v>0.04</v>
      </c>
      <c r="I6" s="2497">
        <v>4.4999999999999998E-2</v>
      </c>
      <c r="J6" s="169">
        <v>0.06</v>
      </c>
      <c r="K6" s="172">
        <f>SUMIF('数据-汇总表'!C$19:C$33,'数据-取费表'!A6,'数据-汇总表'!E$19:E$33)</f>
        <v>10738.85</v>
      </c>
      <c r="L6" s="2498">
        <v>2000</v>
      </c>
      <c r="M6" s="170">
        <f t="shared" ref="M6:M14" si="1">ROUND(K6*L6/10000,0)</f>
        <v>2148</v>
      </c>
      <c r="N6" s="2499">
        <v>0.6</v>
      </c>
      <c r="O6" s="170" t="str">
        <f>IF($N$5="成新度","——",ROUND(M6*N6,0))</f>
        <v>——</v>
      </c>
      <c r="P6" s="171" t="str">
        <f>IF($N$5="成新度","——",M6-O6)</f>
        <v>——</v>
      </c>
      <c r="Q6" s="2500">
        <v>0.15</v>
      </c>
      <c r="R6" s="172">
        <f>SUMIF('数据-汇总表'!C$19:C$33,A6,'数据-汇总表'!R$19:R$33)</f>
        <v>10738.85</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f>'数据-基础表'!A3</f>
        <v>10738.85</v>
      </c>
      <c r="AI6" s="180"/>
      <c r="AJ6" s="181"/>
      <c r="AK6" s="182">
        <v>0.01</v>
      </c>
      <c r="AL6" s="183">
        <v>1.5E-3</v>
      </c>
      <c r="AM6" s="2509">
        <v>0.01</v>
      </c>
      <c r="AN6" s="2083"/>
      <c r="AO6" s="2834"/>
      <c r="AP6" s="1102">
        <f>ROUND(1-1/(1+H6)^F6,3)</f>
        <v>0.85899999999999999</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t="str">
        <f t="shared" ref="O7:O14" si="3">IF($N$5="成新度","——",ROUND(M7*N7,0))</f>
        <v>——</v>
      </c>
      <c r="P7" s="171" t="str">
        <f t="shared" ref="P7:P14" si="4">IF($N$5="成新度","——",M7-O7)</f>
        <v>——</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t="str">
        <f t="shared" si="3"/>
        <v>——</v>
      </c>
      <c r="P8" s="171" t="str">
        <f t="shared" si="4"/>
        <v>——</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10738.85</v>
      </c>
      <c r="L16" s="197">
        <f>ROUND(M16*10000/SUM(K6:K14),0)</f>
        <v>2000</v>
      </c>
      <c r="M16" s="197">
        <f>SUM(M6:M14)</f>
        <v>2148</v>
      </c>
      <c r="N16" s="198">
        <f>ROUND(SUMPRODUCT(M6:M14,N6:N14)/M16,3)</f>
        <v>0.6</v>
      </c>
      <c r="O16" s="197">
        <f>SUM(O6:O14)</f>
        <v>0</v>
      </c>
      <c r="P16" s="197">
        <f>SUM(P6:P14)</f>
        <v>0</v>
      </c>
      <c r="Q16" s="199">
        <f>ROUND(SUMPRODUCT(Q6:Q13,K6:K13)/SUMPRODUCT((Q6:Q13&gt;0)*(K6:K13)),2)</f>
        <v>0.15</v>
      </c>
      <c r="R16" s="2029">
        <f>SUM(R6:R13)</f>
        <v>10738.85</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0.85899999999999999</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4">
      <c r="A19" s="208" t="s">
        <v>230</v>
      </c>
      <c r="B19" s="209">
        <v>1</v>
      </c>
      <c r="C19" s="2846" t="s">
        <v>2274</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4">
      <c r="A20" s="210" t="s">
        <v>231</v>
      </c>
      <c r="B20" s="211">
        <v>0.5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4">
      <c r="A21" s="212" t="s">
        <v>232</v>
      </c>
      <c r="B21" s="211">
        <v>0.5</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4">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4">
      <c r="A23" s="212" t="s">
        <v>234</v>
      </c>
      <c r="B23" s="213">
        <f>B19+B21</f>
        <v>1.5</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4.4"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8.8">
      <c r="A27" s="217" t="s">
        <v>1694</v>
      </c>
      <c r="B27" s="218">
        <v>160</v>
      </c>
      <c r="C27" s="2847" t="s">
        <v>2275</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f>成本逼近法!C13</f>
        <v>338.27379999999999</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300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300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0.03</v>
      </c>
      <c r="C33" s="2849" t="s">
        <v>2263</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49" t="s">
        <v>2264</v>
      </c>
      <c r="D34" s="2850" t="s">
        <v>2271</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4">
      <c r="A35" s="219" t="s">
        <v>242</v>
      </c>
      <c r="B35" s="220">
        <v>200</v>
      </c>
      <c r="C35" s="2849" t="s">
        <v>2265</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2266</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4">
      <c r="A37" s="226" t="s">
        <v>246</v>
      </c>
      <c r="B37" s="227">
        <v>0.02</v>
      </c>
      <c r="C37" s="2849" t="s">
        <v>2267</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4">
      <c r="A38" s="219" t="s">
        <v>247</v>
      </c>
      <c r="B38" s="224">
        <v>0.02</v>
      </c>
      <c r="C38" s="2849" t="s">
        <v>2267</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4">
      <c r="A39" s="2135"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29.4" thickBot="1">
      <c r="A40" s="3017" t="s">
        <v>3299</v>
      </c>
      <c r="B40" s="2129">
        <f ca="1">IF(A40="利息：取LPR",存贷款利率!E2,存贷款利率!E2+C40)</f>
        <v>4.3500000000000004E-2</v>
      </c>
      <c r="C40" s="3018">
        <v>8.9999999999999993E-3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4">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4">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4">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4">
      <c r="A44" s="230" t="s">
        <v>251</v>
      </c>
      <c r="B44" s="233">
        <v>7.0000000000000007E-2</v>
      </c>
      <c r="C44" s="2849" t="s">
        <v>2272</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4">
      <c r="A45" s="230" t="s">
        <v>252</v>
      </c>
      <c r="B45" s="231">
        <v>0.03</v>
      </c>
      <c r="C45" s="2852" t="s">
        <v>2268</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4">
      <c r="A46" s="230" t="s">
        <v>253</v>
      </c>
      <c r="B46" s="231">
        <v>0.02</v>
      </c>
      <c r="C46" s="2852" t="s">
        <v>2269</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2276</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4">
      <c r="A48" s="236" t="s">
        <v>255</v>
      </c>
      <c r="B48" s="237">
        <v>0.03</v>
      </c>
      <c r="C48" s="2852" t="s">
        <v>2268</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2270</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4">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4">
      <c r="A52" s="238" t="s">
        <v>259</v>
      </c>
      <c r="B52" s="241">
        <f>SUMIF(A54:A63,B53,B54:B63)</f>
        <v>0</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8.8">
      <c r="A53" s="219" t="s">
        <v>260</v>
      </c>
      <c r="B53" s="242"/>
      <c r="C53" s="2842" t="s">
        <v>2167</v>
      </c>
      <c r="D53" s="2853" t="s">
        <v>2273</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4">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4">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4">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4">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4">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4">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4">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4">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4">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5"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C6"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865" customWidth="1"/>
    <col min="2" max="2" width="23.44140625" style="2898" customWidth="1"/>
    <col min="3" max="3" width="32.21875" style="2900" customWidth="1"/>
    <col min="4" max="4" width="2.6640625" style="2900" customWidth="1"/>
    <col min="5" max="5" width="5.88671875" style="2900" customWidth="1"/>
    <col min="6" max="6" width="23.6640625" style="2898" customWidth="1"/>
    <col min="7" max="7" width="33.33203125" style="2899" customWidth="1"/>
    <col min="8" max="8" width="11.88671875" style="2898" customWidth="1"/>
    <col min="9" max="9" width="16.77734375" style="2899" customWidth="1"/>
    <col min="10" max="10" width="2.6640625" style="2900" customWidth="1"/>
    <col min="11" max="11" width="11.88671875" style="2898" customWidth="1"/>
    <col min="12" max="12" width="16.77734375" style="2899" customWidth="1"/>
    <col min="13" max="13" width="2.6640625" style="2900" customWidth="1"/>
    <col min="14" max="14" width="11.88671875" style="2898" customWidth="1"/>
    <col min="15" max="15" width="16.77734375" style="2899" customWidth="1"/>
    <col min="16" max="16" width="2.6640625" style="2900" customWidth="1"/>
    <col min="17" max="17" width="11.88671875" style="2898" customWidth="1"/>
    <col min="18" max="18" width="16.77734375" style="2901" customWidth="1"/>
    <col min="19" max="16384" width="9" style="2865"/>
  </cols>
  <sheetData>
    <row r="1" spans="1:18" s="2859" customFormat="1" ht="18" thickBot="1">
      <c r="A1" s="3984" t="s">
        <v>1198</v>
      </c>
      <c r="B1" s="3985"/>
      <c r="C1" s="3985"/>
      <c r="D1" s="3985"/>
      <c r="E1" s="3985"/>
      <c r="F1" s="3985"/>
      <c r="G1" s="3985"/>
      <c r="H1" s="2854"/>
      <c r="I1" s="2855"/>
      <c r="J1" s="2856"/>
      <c r="K1" s="2854"/>
      <c r="L1" s="2855"/>
      <c r="M1" s="2856"/>
      <c r="N1" s="2854"/>
      <c r="O1" s="2855"/>
      <c r="P1" s="2856"/>
      <c r="Q1" s="2857"/>
      <c r="R1" s="2858"/>
    </row>
    <row r="2" spans="1:18" ht="15" thickBot="1">
      <c r="A2" s="2860"/>
      <c r="B2" s="2861"/>
      <c r="C2" s="2862" t="s">
        <v>1199</v>
      </c>
      <c r="D2" s="2863"/>
      <c r="E2" s="2860"/>
      <c r="F2" s="2864"/>
      <c r="G2" s="2862" t="s">
        <v>1200</v>
      </c>
      <c r="H2" s="2865"/>
      <c r="I2" s="2865"/>
      <c r="J2" s="2865"/>
      <c r="K2" s="2865"/>
      <c r="L2" s="2865"/>
      <c r="M2" s="2865"/>
      <c r="N2" s="2865"/>
      <c r="O2" s="2865"/>
      <c r="P2" s="2865"/>
      <c r="Q2" s="2865"/>
      <c r="R2" s="2865"/>
    </row>
    <row r="3" spans="1:18" ht="43.2">
      <c r="A3" s="2866" t="s">
        <v>1201</v>
      </c>
      <c r="B3" s="2867" t="s">
        <v>1188</v>
      </c>
      <c r="C3" s="2868" t="s">
        <v>2182</v>
      </c>
      <c r="D3" s="2869"/>
      <c r="E3" s="2870" t="s">
        <v>1201</v>
      </c>
      <c r="F3" s="2871" t="s">
        <v>1189</v>
      </c>
      <c r="G3" s="3682" t="s">
        <v>3312</v>
      </c>
      <c r="H3" s="2865"/>
      <c r="I3" s="2865"/>
      <c r="J3" s="2865"/>
      <c r="K3" s="2865"/>
      <c r="L3" s="2865"/>
      <c r="M3" s="2865"/>
      <c r="N3" s="2865"/>
      <c r="O3" s="2865"/>
      <c r="P3" s="2865"/>
      <c r="Q3" s="2865"/>
      <c r="R3" s="2865"/>
    </row>
    <row r="4" spans="1:18" ht="43.2">
      <c r="A4" s="2870"/>
      <c r="B4" s="2872" t="s">
        <v>1202</v>
      </c>
      <c r="C4" s="2873" t="s">
        <v>2183</v>
      </c>
      <c r="D4" s="2869"/>
      <c r="E4" s="2874"/>
      <c r="F4" s="2875" t="s">
        <v>1203</v>
      </c>
      <c r="G4" s="3683" t="s">
        <v>2180</v>
      </c>
      <c r="H4" s="2865"/>
      <c r="I4" s="2865"/>
      <c r="J4" s="2865"/>
      <c r="K4" s="2865"/>
      <c r="L4" s="2865"/>
      <c r="M4" s="2865"/>
      <c r="N4" s="2865"/>
      <c r="O4" s="2865"/>
      <c r="P4" s="2865"/>
      <c r="Q4" s="2865"/>
      <c r="R4" s="2865"/>
    </row>
    <row r="5" spans="1:18" ht="43.2">
      <c r="A5" s="2870"/>
      <c r="B5" s="2872" t="s">
        <v>1204</v>
      </c>
      <c r="C5" s="2873" t="s">
        <v>2184</v>
      </c>
      <c r="D5" s="2869"/>
      <c r="E5" s="2874"/>
      <c r="F5" s="2872" t="s">
        <v>1829</v>
      </c>
      <c r="G5" s="3684" t="s">
        <v>3313</v>
      </c>
      <c r="H5" s="2865"/>
      <c r="I5" s="2865"/>
      <c r="J5" s="2865"/>
      <c r="K5" s="2865"/>
      <c r="L5" s="2865"/>
      <c r="M5" s="2865"/>
      <c r="N5" s="2865"/>
      <c r="O5" s="2865"/>
      <c r="P5" s="2865"/>
      <c r="Q5" s="2865"/>
      <c r="R5" s="2865"/>
    </row>
    <row r="6" spans="1:18" ht="43.2">
      <c r="A6" s="2870"/>
      <c r="B6" s="2872" t="s">
        <v>1190</v>
      </c>
      <c r="C6" s="2876" t="s">
        <v>2180</v>
      </c>
      <c r="D6" s="2869"/>
      <c r="E6" s="2874"/>
      <c r="F6" s="2872" t="s">
        <v>1830</v>
      </c>
      <c r="G6" s="3684" t="s">
        <v>1502</v>
      </c>
      <c r="H6" s="2865"/>
      <c r="I6" s="2865"/>
      <c r="J6" s="2865"/>
      <c r="K6" s="2865"/>
      <c r="L6" s="2865"/>
      <c r="M6" s="2865"/>
      <c r="N6" s="2865"/>
      <c r="O6" s="2865"/>
      <c r="P6" s="2865"/>
      <c r="Q6" s="2865"/>
      <c r="R6" s="2865"/>
    </row>
    <row r="7" spans="1:18" ht="43.8" thickBot="1">
      <c r="A7" s="2870"/>
      <c r="B7" s="2872" t="s">
        <v>1829</v>
      </c>
      <c r="C7" s="2876" t="s">
        <v>2181</v>
      </c>
      <c r="D7" s="2877"/>
      <c r="E7" s="2878"/>
      <c r="F7" s="2879" t="s">
        <v>1205</v>
      </c>
      <c r="G7" s="3685" t="s">
        <v>3314</v>
      </c>
      <c r="H7" s="2865"/>
      <c r="I7" s="2865"/>
      <c r="J7" s="2865"/>
      <c r="K7" s="2865"/>
      <c r="L7" s="2865"/>
      <c r="M7" s="2865"/>
      <c r="N7" s="2865"/>
      <c r="O7" s="2865"/>
      <c r="P7" s="2865"/>
      <c r="Q7" s="2865"/>
      <c r="R7" s="2865"/>
    </row>
    <row r="8" spans="1:18">
      <c r="A8" s="2870"/>
      <c r="B8" s="2872" t="s">
        <v>1830</v>
      </c>
      <c r="C8" s="2876" t="s">
        <v>2178</v>
      </c>
      <c r="D8" s="2877"/>
      <c r="E8" s="2877"/>
      <c r="F8" s="2880"/>
      <c r="G8" s="2880"/>
      <c r="H8" s="2865"/>
      <c r="I8" s="2865"/>
      <c r="J8" s="2865"/>
      <c r="K8" s="2865"/>
      <c r="L8" s="2865"/>
      <c r="M8" s="2865"/>
      <c r="N8" s="2865"/>
      <c r="O8" s="2865"/>
      <c r="P8" s="2865"/>
      <c r="Q8" s="2865"/>
      <c r="R8" s="2865"/>
    </row>
    <row r="9" spans="1:18" ht="28.8">
      <c r="A9" s="2870"/>
      <c r="B9" s="2872" t="s">
        <v>1191</v>
      </c>
      <c r="C9" s="2873" t="s">
        <v>2179</v>
      </c>
      <c r="D9" s="2869"/>
      <c r="E9" s="2877"/>
      <c r="F9" s="2880"/>
      <c r="G9" s="2880"/>
      <c r="H9" s="2865"/>
      <c r="I9" s="2865"/>
      <c r="J9" s="2865"/>
      <c r="K9" s="2865"/>
      <c r="L9" s="2865"/>
      <c r="M9" s="2865"/>
      <c r="N9" s="2865"/>
      <c r="O9" s="2865"/>
      <c r="P9" s="2865"/>
      <c r="Q9" s="2865"/>
      <c r="R9" s="2865"/>
    </row>
    <row r="10" spans="1:18" s="2887" customFormat="1" ht="15" thickBot="1">
      <c r="A10" s="2881"/>
      <c r="B10" s="2882" t="s">
        <v>1206</v>
      </c>
      <c r="C10" s="2883"/>
      <c r="D10" s="2869"/>
      <c r="E10" s="2869"/>
      <c r="F10" s="2880"/>
      <c r="G10" s="2880"/>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7.399999999999999">
      <c r="A12" s="2888"/>
      <c r="B12" s="2877"/>
      <c r="C12" s="2869"/>
      <c r="D12" s="2890"/>
      <c r="E12" s="2869"/>
      <c r="F12" s="2877"/>
      <c r="G12" s="2889"/>
      <c r="H12" s="2891"/>
      <c r="I12" s="2892"/>
      <c r="J12" s="2891"/>
      <c r="K12" s="2891"/>
      <c r="L12" s="2893"/>
      <c r="M12" s="2891"/>
      <c r="N12" s="2894"/>
      <c r="O12" s="2895"/>
      <c r="P12" s="2896"/>
      <c r="Q12" s="2894"/>
      <c r="R12" s="2858"/>
    </row>
    <row r="13" spans="1:18" ht="18" thickBot="1">
      <c r="A13" s="2897" t="s">
        <v>1207</v>
      </c>
      <c r="B13" s="2890"/>
      <c r="C13" s="2890"/>
      <c r="D13" s="2863"/>
      <c r="E13" s="2890"/>
      <c r="F13" s="2890"/>
      <c r="G13" s="2890"/>
    </row>
    <row r="14" spans="1:18" ht="15" thickBot="1">
      <c r="A14" s="2902"/>
      <c r="B14" s="2902"/>
      <c r="C14" s="2903" t="s">
        <v>1199</v>
      </c>
      <c r="D14" s="2869"/>
      <c r="E14" s="2904"/>
      <c r="F14" s="2904"/>
      <c r="G14" s="2862" t="s">
        <v>1200</v>
      </c>
    </row>
    <row r="15" spans="1:18" ht="43.2">
      <c r="A15" s="2905" t="s">
        <v>1192</v>
      </c>
      <c r="B15" s="2906" t="s">
        <v>1188</v>
      </c>
      <c r="C15" s="2907" t="str">
        <f>C3</f>
        <v>估价对象周边居住用地比例、居住小区规模和社区发展完善程度，综合评价居住社区成熟度一般</v>
      </c>
      <c r="D15" s="2869"/>
      <c r="E15" s="2908" t="s">
        <v>1193</v>
      </c>
      <c r="F15" s="2906" t="s">
        <v>1208</v>
      </c>
      <c r="G15" s="2909" t="str">
        <f>G3</f>
        <v>估价对象位于海淀区，区域工业成熟度一般，产业集聚程度一般</v>
      </c>
    </row>
    <row r="16" spans="1:18" ht="43.2">
      <c r="A16" s="2910"/>
      <c r="B16" s="2911" t="s">
        <v>1202</v>
      </c>
      <c r="C16" s="2912" t="str">
        <f>C4</f>
        <v>估价对象位于XX商圈，周边商业氛围成熟，人流量大，商业繁华度好</v>
      </c>
      <c r="D16" s="2869"/>
      <c r="E16" s="2913"/>
      <c r="F16" s="2914" t="s">
        <v>1203</v>
      </c>
      <c r="G16" s="2915" t="str">
        <f>G4</f>
        <v>估价对象周边道路状况、公共交通通达情况、停车便捷程度，综合评价交通便捷度较好</v>
      </c>
    </row>
    <row r="17" spans="1:7" ht="43.2">
      <c r="A17" s="2910"/>
      <c r="B17" s="2911" t="s">
        <v>1204</v>
      </c>
      <c r="C17" s="2912" t="str">
        <f>C5</f>
        <v>估价对象位于XX商圈，周边办公楼项目较多，入驻率高，办公集聚程度较好</v>
      </c>
      <c r="D17" s="2877"/>
      <c r="E17" s="2913"/>
      <c r="F17" s="2914" t="s">
        <v>1209</v>
      </c>
      <c r="G17" s="2916"/>
    </row>
    <row r="18" spans="1:7" ht="43.2">
      <c r="A18" s="2910"/>
      <c r="B18" s="2914" t="s">
        <v>1190</v>
      </c>
      <c r="C18" s="2915" t="str">
        <f>C6</f>
        <v>估价对象周边道路状况、公共交通通达情况、停车便捷程度，综合评价交通便捷度较好</v>
      </c>
      <c r="D18" s="2877"/>
      <c r="E18" s="2913"/>
      <c r="F18" s="2914" t="s">
        <v>1205</v>
      </c>
      <c r="G18" s="2915" t="str">
        <f>G7</f>
        <v>该区域内没有污染型企业，绿化情况教好，卫生条件教好，整体环境状况较好</v>
      </c>
    </row>
    <row r="19" spans="1:7" ht="28.8">
      <c r="A19" s="2910"/>
      <c r="B19" s="2914" t="s">
        <v>1194</v>
      </c>
      <c r="C19" s="2916"/>
      <c r="D19" s="2869"/>
      <c r="E19" s="2913"/>
      <c r="F19" s="2872" t="s">
        <v>1829</v>
      </c>
      <c r="G19" s="2915" t="str">
        <f>G5</f>
        <v>估价对象所在区域公共配套设施齐备情况好</v>
      </c>
    </row>
    <row r="20" spans="1:7" ht="28.8">
      <c r="A20" s="2910"/>
      <c r="B20" s="2914" t="s">
        <v>1195</v>
      </c>
      <c r="C20" s="2912" t="str">
        <f>C9</f>
        <v>区域自然环境：；人文环境；综合评价环境状况一般</v>
      </c>
      <c r="D20" s="2877"/>
      <c r="E20" s="2913"/>
      <c r="F20" s="2872" t="s">
        <v>1830</v>
      </c>
      <c r="G20" s="2915" t="str">
        <f>G6</f>
        <v>七通</v>
      </c>
    </row>
    <row r="21" spans="1:7" ht="28.8">
      <c r="A21" s="2910"/>
      <c r="B21" s="2872" t="s">
        <v>1829</v>
      </c>
      <c r="C21" s="2915" t="str">
        <f>C7</f>
        <v>估价对象所在区域公共配套设施齐备情况</v>
      </c>
      <c r="D21" s="2869"/>
      <c r="E21" s="2913"/>
      <c r="F21" s="2914" t="s">
        <v>1196</v>
      </c>
      <c r="G21" s="2917"/>
    </row>
    <row r="22" spans="1:7">
      <c r="A22" s="2910"/>
      <c r="B22" s="2872" t="s">
        <v>1830</v>
      </c>
      <c r="C22" s="2915" t="str">
        <f>C8</f>
        <v>估价对象所在区域基础设施水平</v>
      </c>
      <c r="D22" s="2869"/>
      <c r="E22" s="2913"/>
      <c r="F22" s="2914" t="s">
        <v>1206</v>
      </c>
      <c r="G22" s="2916"/>
    </row>
    <row r="23" spans="1:7" ht="15" thickBot="1">
      <c r="A23" s="2910"/>
      <c r="B23" s="2914" t="s">
        <v>1196</v>
      </c>
      <c r="C23" s="2917"/>
      <c r="E23" s="2918"/>
      <c r="F23" s="2919" t="s">
        <v>1210</v>
      </c>
      <c r="G23" s="3686" t="s">
        <v>3315</v>
      </c>
    </row>
    <row r="24" spans="1:7" ht="15" thickBot="1">
      <c r="A24" s="2920"/>
      <c r="B24" s="2919" t="s">
        <v>1197</v>
      </c>
      <c r="C24" s="2921">
        <f>C10</f>
        <v>0</v>
      </c>
      <c r="E24" s="2922"/>
      <c r="F24" s="2922"/>
      <c r="G24" s="2923"/>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925" customWidth="1"/>
    <col min="2" max="16384" width="14.6640625" style="2925"/>
  </cols>
  <sheetData>
    <row r="1" spans="1:10" ht="15.6">
      <c r="A1" s="2924" t="s">
        <v>2118</v>
      </c>
      <c r="B1" s="2924">
        <f>SUM(B14:B23)</f>
        <v>10738.85</v>
      </c>
      <c r="C1" s="2933"/>
      <c r="D1" s="2933"/>
      <c r="E1" s="2933"/>
      <c r="F1" s="2933"/>
      <c r="G1" s="2934"/>
      <c r="H1" s="2934"/>
      <c r="I1" s="2934"/>
      <c r="J1" s="2934"/>
    </row>
    <row r="2" spans="1:10" ht="15.6">
      <c r="A2" s="2924" t="s">
        <v>2119</v>
      </c>
      <c r="B2" s="2924">
        <f>SUM(C14:C23)</f>
        <v>10738.85</v>
      </c>
      <c r="C2" s="2933"/>
      <c r="D2" s="2933"/>
      <c r="E2" s="2933"/>
      <c r="F2" s="2933"/>
      <c r="G2" s="2934"/>
      <c r="H2" s="2934"/>
      <c r="I2" s="2934"/>
      <c r="J2" s="2934"/>
    </row>
    <row r="3" spans="1:10" ht="15.6">
      <c r="A3" s="2924" t="s">
        <v>2120</v>
      </c>
      <c r="B3" s="2926">
        <f>项目基本情况!D3</f>
        <v>45744</v>
      </c>
      <c r="C3" s="2933"/>
      <c r="D3" s="2933"/>
      <c r="E3" s="2933"/>
      <c r="F3" s="2933"/>
      <c r="G3" s="2934"/>
      <c r="H3" s="2934"/>
      <c r="I3" s="2934"/>
      <c r="J3" s="2934"/>
    </row>
    <row r="4" spans="1:10" ht="31.2">
      <c r="A4" s="2924" t="s">
        <v>2121</v>
      </c>
      <c r="B4" s="2924" t="s">
        <v>2122</v>
      </c>
      <c r="C4" s="2924" t="s">
        <v>2123</v>
      </c>
      <c r="D4" s="2924" t="s">
        <v>2124</v>
      </c>
      <c r="E4" s="2933"/>
      <c r="F4" s="2933"/>
      <c r="G4" s="2934"/>
      <c r="H4" s="2934"/>
      <c r="I4" s="2934"/>
      <c r="J4" s="2934"/>
    </row>
    <row r="5" spans="1:10" ht="15.6">
      <c r="A5" s="2924" t="s">
        <v>2125</v>
      </c>
      <c r="B5" s="2924">
        <f ca="1">SUM(D14:D23)</f>
        <v>9467</v>
      </c>
      <c r="C5" s="2924">
        <f ca="1">ROUND(B5*10000/$B$1,0)</f>
        <v>8816</v>
      </c>
      <c r="D5" s="2924">
        <f ca="1">ROUND(B5*10000/$B$2,0)</f>
        <v>8816</v>
      </c>
      <c r="E5" s="2933"/>
      <c r="F5" s="2933"/>
      <c r="G5" s="2934"/>
      <c r="H5" s="2934"/>
      <c r="I5" s="2934"/>
      <c r="J5" s="2934"/>
    </row>
    <row r="6" spans="1:10" ht="15.6">
      <c r="A6" s="2924" t="s">
        <v>2126</v>
      </c>
      <c r="B6" s="2924">
        <f>SUM(G14:G23)</f>
        <v>0</v>
      </c>
      <c r="C6" s="2924">
        <f>ROUND(B6*10000/$B$1,0)</f>
        <v>0</v>
      </c>
      <c r="D6" s="2924">
        <f>ROUND(B6*10000/$B$2,0)</f>
        <v>0</v>
      </c>
      <c r="E6" s="2933"/>
      <c r="F6" s="2933"/>
      <c r="G6" s="2934"/>
      <c r="H6" s="2934"/>
      <c r="I6" s="2934"/>
      <c r="J6" s="2934"/>
    </row>
    <row r="7" spans="1:10" ht="15.6">
      <c r="A7" s="2924" t="s">
        <v>2127</v>
      </c>
      <c r="B7" s="2924">
        <f>SUM(H14:H23)</f>
        <v>0</v>
      </c>
      <c r="C7" s="2924">
        <f>ROUND(B7*10000/$B$1,0)</f>
        <v>0</v>
      </c>
      <c r="D7" s="2924">
        <f>ROUND(B7*10000/$B$2,0)</f>
        <v>0</v>
      </c>
      <c r="E7" s="2933"/>
      <c r="F7" s="2933"/>
      <c r="G7" s="2934"/>
      <c r="H7" s="2934"/>
      <c r="I7" s="2934"/>
      <c r="J7" s="2934"/>
    </row>
    <row r="8" spans="1:10" ht="15.6">
      <c r="A8" s="2924" t="s">
        <v>2128</v>
      </c>
      <c r="B8" s="2924">
        <f>SUM(I14:I23)</f>
        <v>0</v>
      </c>
      <c r="C8" s="2924">
        <f>ROUND(B8*10000/$B$1,0)</f>
        <v>0</v>
      </c>
      <c r="D8" s="2924">
        <f>ROUND(B8*10000/$B$2,0)</f>
        <v>0</v>
      </c>
      <c r="E8" s="2933"/>
      <c r="F8" s="2933"/>
      <c r="G8" s="2934"/>
      <c r="H8" s="2934"/>
      <c r="I8" s="2934"/>
      <c r="J8" s="2934"/>
    </row>
    <row r="9" spans="1:10" ht="15.6">
      <c r="A9" s="2924" t="s">
        <v>2129</v>
      </c>
      <c r="B9" s="2932"/>
      <c r="C9" s="2933"/>
      <c r="D9" s="2933"/>
      <c r="E9" s="2933"/>
      <c r="F9" s="2933"/>
      <c r="G9" s="2934"/>
      <c r="H9" s="2934"/>
      <c r="I9" s="2934"/>
      <c r="J9" s="2934"/>
    </row>
    <row r="10" spans="1:10" ht="15.6">
      <c r="A10" s="2924" t="s">
        <v>2130</v>
      </c>
      <c r="B10" s="2932"/>
      <c r="C10" s="2933"/>
      <c r="D10" s="2933"/>
      <c r="E10" s="2933"/>
      <c r="F10" s="2933"/>
      <c r="G10" s="2934"/>
      <c r="H10" s="2934"/>
      <c r="I10" s="2934"/>
      <c r="J10" s="2934"/>
    </row>
    <row r="11" spans="1:10" ht="15.6">
      <c r="A11" s="2924" t="s">
        <v>2147</v>
      </c>
      <c r="B11" s="2932"/>
      <c r="C11" s="2933"/>
      <c r="D11" s="2933"/>
      <c r="E11" s="2933"/>
      <c r="F11" s="2933"/>
      <c r="G11" s="2934"/>
      <c r="H11" s="2934"/>
      <c r="I11" s="2934"/>
      <c r="J11" s="2934"/>
    </row>
    <row r="12" spans="1:10" ht="15.6">
      <c r="A12" s="2933"/>
      <c r="B12" s="2933"/>
      <c r="C12" s="2933"/>
      <c r="D12" s="2933"/>
      <c r="E12" s="2933"/>
      <c r="F12" s="2933"/>
      <c r="G12" s="2934"/>
      <c r="H12" s="2934"/>
      <c r="I12" s="2934"/>
      <c r="J12" s="2934"/>
    </row>
    <row r="13" spans="1:10" ht="31.2">
      <c r="A13" s="2927" t="s">
        <v>2146</v>
      </c>
      <c r="B13" s="2928" t="s">
        <v>2118</v>
      </c>
      <c r="C13" s="2928" t="s">
        <v>2119</v>
      </c>
      <c r="D13" s="2928" t="s">
        <v>2131</v>
      </c>
      <c r="E13" s="2924" t="s">
        <v>2145</v>
      </c>
      <c r="F13" s="2924" t="s">
        <v>2124</v>
      </c>
      <c r="G13" s="2928" t="s">
        <v>2132</v>
      </c>
      <c r="H13" s="2928" t="s">
        <v>2133</v>
      </c>
      <c r="I13" s="2928" t="s">
        <v>2134</v>
      </c>
      <c r="J13" s="2934"/>
    </row>
    <row r="14" spans="1:10" ht="15.6">
      <c r="A14" s="2929" t="s">
        <v>2144</v>
      </c>
      <c r="B14" s="2930">
        <f>'比较法-工业'!C36</f>
        <v>10738.85</v>
      </c>
      <c r="C14" s="2930">
        <f>B14</f>
        <v>10738.85</v>
      </c>
      <c r="D14" s="2930">
        <f ca="1">结果表!G19</f>
        <v>9467</v>
      </c>
      <c r="E14" s="2930">
        <f ca="1">ROUND(D14*10000/B14,0)</f>
        <v>8816</v>
      </c>
      <c r="F14" s="2930">
        <f ca="1">ROUND(D14*10000/C14,0)</f>
        <v>8816</v>
      </c>
      <c r="G14" s="2930"/>
      <c r="H14" s="2930"/>
      <c r="I14" s="2930"/>
      <c r="J14" s="2934"/>
    </row>
    <row r="15" spans="1:10" ht="15.6">
      <c r="A15" s="2929" t="s">
        <v>2135</v>
      </c>
      <c r="B15" s="2931"/>
      <c r="C15" s="2931"/>
      <c r="D15" s="2931"/>
      <c r="E15" s="2930" t="e">
        <f t="shared" ref="E15:E23" si="0">ROUND(D15*10000/B15,0)</f>
        <v>#DIV/0!</v>
      </c>
      <c r="F15" s="2930" t="e">
        <f t="shared" ref="F15:F23" si="1">ROUND(D15*10000/C15,0)</f>
        <v>#DIV/0!</v>
      </c>
      <c r="G15" s="2513"/>
      <c r="H15" s="2513"/>
      <c r="I15" s="2931"/>
      <c r="J15" s="2934"/>
    </row>
    <row r="16" spans="1:10" ht="15.6">
      <c r="A16" s="2929" t="s">
        <v>2136</v>
      </c>
      <c r="B16" s="2931"/>
      <c r="C16" s="2931"/>
      <c r="D16" s="2931"/>
      <c r="E16" s="2930" t="e">
        <f t="shared" si="0"/>
        <v>#DIV/0!</v>
      </c>
      <c r="F16" s="2930" t="e">
        <f t="shared" si="1"/>
        <v>#DIV/0!</v>
      </c>
      <c r="G16" s="2513"/>
      <c r="H16" s="2513"/>
      <c r="I16" s="2931"/>
      <c r="J16" s="2934"/>
    </row>
    <row r="17" spans="1:10" ht="15.6">
      <c r="A17" s="2929" t="s">
        <v>2137</v>
      </c>
      <c r="B17" s="2931"/>
      <c r="C17" s="2931"/>
      <c r="D17" s="2931"/>
      <c r="E17" s="2930" t="e">
        <f t="shared" si="0"/>
        <v>#DIV/0!</v>
      </c>
      <c r="F17" s="2930" t="e">
        <f t="shared" si="1"/>
        <v>#DIV/0!</v>
      </c>
      <c r="G17" s="2513"/>
      <c r="H17" s="2513"/>
      <c r="I17" s="2931"/>
      <c r="J17" s="2934"/>
    </row>
    <row r="18" spans="1:10" ht="15.6">
      <c r="A18" s="2929" t="s">
        <v>2138</v>
      </c>
      <c r="B18" s="2931"/>
      <c r="C18" s="2931"/>
      <c r="D18" s="2931"/>
      <c r="E18" s="2930" t="e">
        <f t="shared" si="0"/>
        <v>#DIV/0!</v>
      </c>
      <c r="F18" s="2930" t="e">
        <f t="shared" si="1"/>
        <v>#DIV/0!</v>
      </c>
      <c r="G18" s="2931"/>
      <c r="H18" s="2931"/>
      <c r="I18" s="2931"/>
      <c r="J18" s="2934"/>
    </row>
    <row r="19" spans="1:10" ht="15.6">
      <c r="A19" s="2929" t="s">
        <v>2139</v>
      </c>
      <c r="B19" s="2931"/>
      <c r="C19" s="2931"/>
      <c r="D19" s="2931"/>
      <c r="E19" s="2930" t="e">
        <f t="shared" si="0"/>
        <v>#DIV/0!</v>
      </c>
      <c r="F19" s="2930" t="e">
        <f t="shared" si="1"/>
        <v>#DIV/0!</v>
      </c>
      <c r="G19" s="2931"/>
      <c r="H19" s="2931"/>
      <c r="I19" s="2931"/>
      <c r="J19" s="2934"/>
    </row>
    <row r="20" spans="1:10" ht="15.6">
      <c r="A20" s="2929" t="s">
        <v>2140</v>
      </c>
      <c r="B20" s="2931"/>
      <c r="C20" s="2931"/>
      <c r="D20" s="2931"/>
      <c r="E20" s="2930" t="e">
        <f t="shared" si="0"/>
        <v>#DIV/0!</v>
      </c>
      <c r="F20" s="2930" t="e">
        <f t="shared" si="1"/>
        <v>#DIV/0!</v>
      </c>
      <c r="G20" s="2931"/>
      <c r="H20" s="2931"/>
      <c r="I20" s="2931"/>
      <c r="J20" s="2934"/>
    </row>
    <row r="21" spans="1:10" ht="15.6">
      <c r="A21" s="2929" t="s">
        <v>2141</v>
      </c>
      <c r="B21" s="2931"/>
      <c r="C21" s="2931"/>
      <c r="D21" s="2931"/>
      <c r="E21" s="2930" t="e">
        <f t="shared" si="0"/>
        <v>#DIV/0!</v>
      </c>
      <c r="F21" s="2930" t="e">
        <f t="shared" si="1"/>
        <v>#DIV/0!</v>
      </c>
      <c r="G21" s="2931"/>
      <c r="H21" s="2931"/>
      <c r="I21" s="2931"/>
      <c r="J21" s="2934"/>
    </row>
    <row r="22" spans="1:10" ht="15.6">
      <c r="A22" s="2929" t="s">
        <v>2142</v>
      </c>
      <c r="B22" s="2931"/>
      <c r="C22" s="2931"/>
      <c r="D22" s="2931"/>
      <c r="E22" s="2930" t="e">
        <f t="shared" si="0"/>
        <v>#DIV/0!</v>
      </c>
      <c r="F22" s="2930" t="e">
        <f t="shared" si="1"/>
        <v>#DIV/0!</v>
      </c>
      <c r="G22" s="2931"/>
      <c r="H22" s="2931"/>
      <c r="I22" s="2931"/>
      <c r="J22" s="2934"/>
    </row>
    <row r="23" spans="1:10" ht="15.6">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20" sqref="C20"/>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4030" t="str">
        <f>项目基本情况!K2</f>
        <v>北京市划拨国有建设用地使用权</v>
      </c>
      <c r="B2" s="4031"/>
      <c r="C2" s="4032"/>
      <c r="D2" s="4032"/>
      <c r="E2" s="4032"/>
      <c r="F2" s="4032"/>
      <c r="G2" s="4031"/>
      <c r="H2" s="4031"/>
      <c r="I2" s="4033"/>
      <c r="J2" s="1753"/>
      <c r="K2" s="1752"/>
      <c r="L2" s="1752"/>
      <c r="M2" s="1752"/>
      <c r="N2" s="1752"/>
      <c r="O2" s="1752"/>
      <c r="P2" s="1752"/>
      <c r="Q2" s="1752"/>
      <c r="R2" s="1752"/>
      <c r="S2" s="1752"/>
      <c r="T2" s="1752"/>
      <c r="U2" s="1752"/>
      <c r="V2" s="1752"/>
    </row>
    <row r="3" spans="1:22" ht="13.8">
      <c r="A3" s="4041" t="s">
        <v>264</v>
      </c>
      <c r="B3" s="4042"/>
      <c r="C3" s="4042"/>
      <c r="D3" s="4042"/>
      <c r="E3" s="4042"/>
      <c r="F3" s="4042"/>
      <c r="G3" s="4042"/>
      <c r="H3" s="4042"/>
      <c r="I3" s="4042"/>
      <c r="J3" s="1753"/>
      <c r="K3" s="1752"/>
      <c r="L3" s="1752"/>
      <c r="M3" s="1752"/>
      <c r="N3" s="1752"/>
      <c r="O3" s="1752"/>
      <c r="P3" s="1752"/>
      <c r="Q3" s="1752"/>
      <c r="R3" s="1752"/>
      <c r="S3" s="1752"/>
      <c r="T3" s="1752"/>
      <c r="U3" s="1752"/>
      <c r="V3" s="1752"/>
    </row>
    <row r="4" spans="1:22" ht="14.4">
      <c r="A4" s="249" t="s">
        <v>265</v>
      </c>
      <c r="B4" s="250" t="s">
        <v>266</v>
      </c>
      <c r="C4" s="251" t="s">
        <v>3381</v>
      </c>
      <c r="D4" s="251" t="s">
        <v>3382</v>
      </c>
      <c r="E4" s="4005" t="s">
        <v>267</v>
      </c>
      <c r="F4" s="4047"/>
      <c r="G4" s="4047"/>
      <c r="H4" s="4047"/>
      <c r="I4" s="4006"/>
      <c r="J4" s="1753"/>
      <c r="K4" s="1752"/>
      <c r="L4" s="2935"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4034" t="s">
        <v>268</v>
      </c>
      <c r="B5" s="4035">
        <v>25</v>
      </c>
      <c r="C5" s="4043">
        <v>7</v>
      </c>
      <c r="D5" s="4046">
        <f>10-C5</f>
        <v>3</v>
      </c>
      <c r="E5" s="252" t="s">
        <v>269</v>
      </c>
      <c r="F5" s="253"/>
      <c r="G5" s="253"/>
      <c r="H5" s="253"/>
      <c r="I5" s="254"/>
      <c r="J5" s="1753"/>
      <c r="K5" s="1752"/>
      <c r="L5" s="1752"/>
      <c r="M5" s="1752"/>
      <c r="N5" s="1752"/>
      <c r="O5" s="1752"/>
      <c r="P5" s="1752"/>
      <c r="Q5" s="1752"/>
      <c r="R5" s="1752"/>
      <c r="S5" s="1752"/>
      <c r="T5" s="1752"/>
      <c r="U5" s="1752"/>
      <c r="V5" s="1752"/>
    </row>
    <row r="6" spans="1:22" ht="13.8">
      <c r="A6" s="4034"/>
      <c r="B6" s="4035"/>
      <c r="C6" s="4044"/>
      <c r="D6" s="4046"/>
      <c r="E6" s="252" t="s">
        <v>270</v>
      </c>
      <c r="F6" s="253"/>
      <c r="G6" s="253"/>
      <c r="H6" s="253"/>
      <c r="I6" s="254"/>
      <c r="J6" s="1753"/>
      <c r="K6" s="1752"/>
      <c r="L6" s="1752"/>
      <c r="M6" s="1752"/>
      <c r="N6" s="1752"/>
      <c r="O6" s="1752"/>
      <c r="P6" s="1752"/>
      <c r="Q6" s="1752"/>
      <c r="R6" s="1752"/>
      <c r="S6" s="1752"/>
      <c r="T6" s="1752"/>
      <c r="U6" s="1752"/>
      <c r="V6" s="1752"/>
    </row>
    <row r="7" spans="1:22" ht="13.8">
      <c r="A7" s="4034"/>
      <c r="B7" s="4035"/>
      <c r="C7" s="4045"/>
      <c r="D7" s="4046"/>
      <c r="E7" s="252" t="s">
        <v>271</v>
      </c>
      <c r="F7" s="253"/>
      <c r="G7" s="253"/>
      <c r="H7" s="253"/>
      <c r="I7" s="254"/>
      <c r="J7" s="1753"/>
      <c r="K7" s="1752"/>
      <c r="L7" s="1752"/>
      <c r="M7" s="1752"/>
      <c r="N7" s="1752"/>
      <c r="O7" s="1752"/>
      <c r="P7" s="1752"/>
      <c r="Q7" s="1752"/>
      <c r="R7" s="1752"/>
      <c r="S7" s="1752"/>
      <c r="T7" s="1752"/>
      <c r="U7" s="1752"/>
      <c r="V7" s="1752"/>
    </row>
    <row r="8" spans="1:22" ht="13.8">
      <c r="A8" s="4034" t="s">
        <v>272</v>
      </c>
      <c r="B8" s="4035">
        <v>15</v>
      </c>
      <c r="C8" s="4043"/>
      <c r="D8" s="4046"/>
      <c r="E8" s="252" t="s">
        <v>273</v>
      </c>
      <c r="F8" s="253"/>
      <c r="G8" s="253"/>
      <c r="H8" s="253"/>
      <c r="I8" s="254"/>
      <c r="J8" s="1753"/>
      <c r="K8" s="1752"/>
      <c r="L8" s="1752"/>
      <c r="M8" s="1752"/>
      <c r="N8" s="1752"/>
      <c r="O8" s="1752"/>
      <c r="P8" s="1752"/>
      <c r="Q8" s="1752"/>
      <c r="R8" s="1752"/>
      <c r="S8" s="1752"/>
      <c r="T8" s="1752"/>
      <c r="U8" s="1752"/>
      <c r="V8" s="1752"/>
    </row>
    <row r="9" spans="1:22" ht="13.8">
      <c r="A9" s="4034"/>
      <c r="B9" s="4035"/>
      <c r="C9" s="4045"/>
      <c r="D9" s="4046"/>
      <c r="E9" s="252" t="s">
        <v>274</v>
      </c>
      <c r="F9" s="253"/>
      <c r="G9" s="253"/>
      <c r="H9" s="253"/>
      <c r="I9" s="254"/>
      <c r="J9" s="1753"/>
      <c r="K9" s="1752"/>
      <c r="L9" s="1752"/>
      <c r="M9" s="1752"/>
      <c r="N9" s="1752"/>
      <c r="O9" s="1752"/>
      <c r="P9" s="1752"/>
      <c r="Q9" s="1752"/>
      <c r="R9" s="1752"/>
      <c r="S9" s="1752"/>
      <c r="T9" s="1752"/>
      <c r="U9" s="1752"/>
      <c r="V9" s="1752"/>
    </row>
    <row r="10" spans="1:22" ht="13.8">
      <c r="A10" s="4034" t="s">
        <v>275</v>
      </c>
      <c r="B10" s="4035">
        <v>15</v>
      </c>
      <c r="C10" s="4043"/>
      <c r="D10" s="4046"/>
      <c r="E10" s="252" t="s">
        <v>276</v>
      </c>
      <c r="F10" s="253"/>
      <c r="G10" s="253"/>
      <c r="H10" s="253"/>
      <c r="I10" s="254"/>
      <c r="J10" s="1753"/>
      <c r="K10" s="1752"/>
      <c r="L10" s="1752"/>
      <c r="M10" s="1752"/>
      <c r="N10" s="1752"/>
      <c r="O10" s="1752"/>
      <c r="P10" s="1752"/>
      <c r="Q10" s="1752"/>
      <c r="R10" s="1752"/>
      <c r="S10" s="1752"/>
      <c r="T10" s="1752"/>
      <c r="U10" s="1752"/>
      <c r="V10" s="1752"/>
    </row>
    <row r="11" spans="1:22" ht="13.8">
      <c r="A11" s="4034"/>
      <c r="B11" s="4035"/>
      <c r="C11" s="4045"/>
      <c r="D11" s="4046"/>
      <c r="E11" s="252" t="s">
        <v>277</v>
      </c>
      <c r="F11" s="253"/>
      <c r="G11" s="253"/>
      <c r="H11" s="253"/>
      <c r="I11" s="254"/>
      <c r="J11" s="1753"/>
      <c r="K11" s="1752"/>
      <c r="L11" s="1752"/>
      <c r="M11" s="1752"/>
      <c r="N11" s="1752"/>
      <c r="O11" s="1752"/>
      <c r="P11" s="1752"/>
      <c r="Q11" s="1752"/>
      <c r="R11" s="1752"/>
      <c r="S11" s="1752"/>
      <c r="T11" s="1752"/>
      <c r="U11" s="1752"/>
      <c r="V11" s="1752"/>
    </row>
    <row r="12" spans="1:22" ht="13.8">
      <c r="A12" s="4034" t="s">
        <v>278</v>
      </c>
      <c r="B12" s="4035">
        <v>15</v>
      </c>
      <c r="C12" s="4043"/>
      <c r="D12" s="4046"/>
      <c r="E12" s="252" t="s">
        <v>279</v>
      </c>
      <c r="F12" s="253"/>
      <c r="G12" s="253"/>
      <c r="H12" s="253"/>
      <c r="I12" s="254"/>
      <c r="J12" s="1753"/>
      <c r="K12" s="1752"/>
      <c r="L12" s="1752"/>
      <c r="M12" s="1752"/>
      <c r="N12" s="1752"/>
      <c r="O12" s="1752"/>
      <c r="P12" s="1752"/>
      <c r="Q12" s="1752"/>
      <c r="R12" s="1752"/>
      <c r="S12" s="1752"/>
      <c r="T12" s="1752"/>
      <c r="U12" s="1752"/>
      <c r="V12" s="1752"/>
    </row>
    <row r="13" spans="1:22" ht="13.8">
      <c r="A13" s="4034"/>
      <c r="B13" s="4035"/>
      <c r="C13" s="4045"/>
      <c r="D13" s="4046"/>
      <c r="E13" s="252" t="s">
        <v>280</v>
      </c>
      <c r="F13" s="253"/>
      <c r="G13" s="253"/>
      <c r="H13" s="253"/>
      <c r="I13" s="254"/>
      <c r="J13" s="1753"/>
      <c r="K13" s="1752"/>
      <c r="L13" s="1752"/>
      <c r="M13" s="1752"/>
      <c r="N13" s="1752"/>
      <c r="O13" s="1752"/>
      <c r="P13" s="1752"/>
      <c r="Q13" s="1752"/>
      <c r="R13" s="1752"/>
      <c r="S13" s="1752"/>
      <c r="T13" s="1752"/>
      <c r="U13" s="1752"/>
      <c r="V13" s="1752"/>
    </row>
    <row r="14" spans="1:22" ht="13.8">
      <c r="A14" s="4034" t="s">
        <v>281</v>
      </c>
      <c r="B14" s="4035">
        <v>30</v>
      </c>
      <c r="C14" s="4043"/>
      <c r="D14" s="4046"/>
      <c r="E14" s="252" t="s">
        <v>282</v>
      </c>
      <c r="F14" s="253"/>
      <c r="G14" s="253"/>
      <c r="H14" s="253"/>
      <c r="I14" s="254"/>
      <c r="J14" s="1753"/>
      <c r="K14" s="1752"/>
      <c r="L14" s="1752"/>
      <c r="M14" s="1752"/>
      <c r="N14" s="1752"/>
      <c r="O14" s="1752"/>
      <c r="P14" s="1752"/>
      <c r="Q14" s="1752"/>
      <c r="R14" s="1752"/>
      <c r="S14" s="1752"/>
      <c r="T14" s="1752"/>
      <c r="U14" s="1752"/>
      <c r="V14" s="1752"/>
    </row>
    <row r="15" spans="1:22" ht="13.8">
      <c r="A15" s="4034"/>
      <c r="B15" s="4035"/>
      <c r="C15" s="4044"/>
      <c r="D15" s="4046"/>
      <c r="E15" s="252" t="s">
        <v>283</v>
      </c>
      <c r="F15" s="253"/>
      <c r="G15" s="253"/>
      <c r="H15" s="253"/>
      <c r="I15" s="254"/>
      <c r="J15" s="1753"/>
      <c r="K15" s="1752"/>
      <c r="L15" s="1752"/>
      <c r="M15" s="1752"/>
      <c r="N15" s="1752"/>
      <c r="O15" s="1752"/>
      <c r="P15" s="1752"/>
      <c r="Q15" s="1752"/>
      <c r="R15" s="1752"/>
      <c r="S15" s="1752"/>
      <c r="T15" s="1752"/>
      <c r="U15" s="1752"/>
      <c r="V15" s="1752"/>
    </row>
    <row r="16" spans="1:22" ht="13.8">
      <c r="A16" s="4034"/>
      <c r="B16" s="4035"/>
      <c r="C16" s="4045"/>
      <c r="D16" s="4046"/>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0.7</v>
      </c>
      <c r="D18" s="258">
        <f>1-C18</f>
        <v>0.30000000000000004</v>
      </c>
      <c r="E18" s="4048" t="s">
        <v>2252</v>
      </c>
      <c r="F18" s="4049"/>
      <c r="G18" s="4049"/>
      <c r="H18" s="4049"/>
      <c r="I18" s="4049"/>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8472</v>
      </c>
      <c r="D19" s="262">
        <f ca="1">SUMIF(INDIRECT("'"&amp;D4&amp;"'"&amp;"!A:A"),结果表!B19,INDIRECT("'"&amp;D4&amp;"'"&amp;"!B:B"))</f>
        <v>11789.241400000001</v>
      </c>
      <c r="E19" s="259" t="s">
        <v>289</v>
      </c>
      <c r="F19" s="260" t="s">
        <v>288</v>
      </c>
      <c r="G19" s="263">
        <f ca="1">ROUND(C19*$C$18+D19*$D$18,0)</f>
        <v>9467</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7889</v>
      </c>
      <c r="D20" s="268">
        <f ca="1">SUMIF(INDIRECT("'"&amp;D4&amp;"'"&amp;"!A:A"),结果表!B20,INDIRECT("'"&amp;D4&amp;"'"&amp;"!B:B"))</f>
        <v>10978</v>
      </c>
      <c r="E20" s="265"/>
      <c r="F20" s="266" t="s">
        <v>291</v>
      </c>
      <c r="G20" s="269">
        <f ca="1">ROUND(C20*$C$18+D20*$D$18,0)</f>
        <v>8816</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7889</v>
      </c>
      <c r="D21" s="144">
        <f ca="1">SUMIF(INDIRECT("'"&amp;D4&amp;"'"&amp;"!A:A"),结果表!B21,INDIRECT("'"&amp;D4&amp;"'"&amp;"!B:B"))</f>
        <v>10978</v>
      </c>
      <c r="E21" s="265"/>
      <c r="F21" s="271" t="s">
        <v>293</v>
      </c>
      <c r="G21" s="273">
        <f ca="1">ROUND(C21*$C$18+D21*$D$18,0)</f>
        <v>8816</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0.39155351746931077</v>
      </c>
      <c r="E22" s="275"/>
      <c r="F22" s="276"/>
      <c r="G22" s="277">
        <f ca="1">ROUND(G19/('数据-汇总表'!D3/666.67),0)</f>
        <v>588</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4007"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4054"/>
      <c r="B25" s="1190" t="s">
        <v>297</v>
      </c>
      <c r="C25" s="281">
        <f>IF(B30=0,0,C30)</f>
        <v>0</v>
      </c>
      <c r="D25" s="282"/>
      <c r="E25" s="302"/>
      <c r="F25" s="302"/>
      <c r="G25" s="302"/>
      <c r="H25" s="302"/>
      <c r="I25" s="302"/>
      <c r="J25" s="1752"/>
      <c r="K25" s="1124" t="str">
        <f ca="1">项目基本情况!A17&amp;"国有建设用地使用权价格："&amp;O38&amp;"万元"</f>
        <v>划拨国有建设用地使用权价格：9467万元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大写金额：人民币玖仟肆佰陆拾柒万元整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单位面积地价：8816元/平方米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楼面地价：8816元/平方米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4" t="s">
        <v>302</v>
      </c>
      <c r="B30" s="300"/>
      <c r="C30" s="300"/>
      <c r="D30" s="301"/>
      <c r="E30" s="2745" t="s">
        <v>2253</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4050" t="s">
        <v>2254</v>
      </c>
      <c r="B31" s="4050"/>
      <c r="C31" s="4050"/>
      <c r="D31" s="4050"/>
      <c r="E31" s="4050"/>
      <c r="F31" s="4050"/>
      <c r="G31" s="4050"/>
      <c r="H31" s="4050"/>
      <c r="I31" s="4050"/>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6" t="s">
        <v>1221</v>
      </c>
      <c r="C32" s="257">
        <f ca="1">G19-C24</f>
        <v>9467</v>
      </c>
      <c r="D32" s="2747"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f ca="1">ROUND(C32*10000/'数据-汇总表'!E3,0)</f>
        <v>8816</v>
      </c>
      <c r="D33" s="1240" t="s">
        <v>1224</v>
      </c>
      <c r="E33" s="4007"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8816</v>
      </c>
      <c r="D34" s="1242" t="s">
        <v>1224</v>
      </c>
      <c r="E34" s="4008"/>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588</v>
      </c>
      <c r="D35" s="1245" t="s">
        <v>1226</v>
      </c>
      <c r="E35" s="4009"/>
      <c r="F35" s="292" t="s">
        <v>308</v>
      </c>
      <c r="G35" s="944"/>
      <c r="H35" s="943" t="s">
        <v>309</v>
      </c>
      <c r="I35" s="302"/>
      <c r="J35" s="1752"/>
      <c r="K35" s="4013" t="s">
        <v>316</v>
      </c>
      <c r="L35" s="4013" t="s">
        <v>317</v>
      </c>
      <c r="M35" s="1133" t="s">
        <v>318</v>
      </c>
      <c r="N35" s="4013" t="s">
        <v>319</v>
      </c>
      <c r="O35" s="4013" t="s">
        <v>320</v>
      </c>
      <c r="P35" s="1752"/>
      <c r="V35" s="1752"/>
    </row>
    <row r="36" spans="1:26" ht="16.5" customHeight="1">
      <c r="A36" s="294" t="s">
        <v>310</v>
      </c>
      <c r="B36" s="295" t="s">
        <v>299</v>
      </c>
      <c r="C36" s="296" t="s">
        <v>311</v>
      </c>
      <c r="D36" s="296" t="s">
        <v>312</v>
      </c>
      <c r="E36" s="297" t="s">
        <v>313</v>
      </c>
      <c r="F36" s="302"/>
      <c r="G36" s="302"/>
      <c r="H36" s="302"/>
      <c r="I36" s="302"/>
      <c r="J36" s="1754"/>
      <c r="K36" s="4014"/>
      <c r="L36" s="4014"/>
      <c r="M36" s="1135" t="s">
        <v>321</v>
      </c>
      <c r="N36" s="4014"/>
      <c r="O36" s="4014"/>
      <c r="P36" s="1752"/>
      <c r="V36" s="1752"/>
    </row>
    <row r="37" spans="1:26" ht="16.5" customHeight="1" thickBot="1">
      <c r="A37" s="1129" t="s">
        <v>314</v>
      </c>
      <c r="B37" s="298"/>
      <c r="C37" s="285"/>
      <c r="D37" s="285"/>
      <c r="E37" s="286"/>
      <c r="F37" s="302"/>
      <c r="G37" s="302"/>
      <c r="H37" s="302"/>
      <c r="I37" s="302"/>
      <c r="J37" s="1754"/>
      <c r="K37" s="4015"/>
      <c r="L37" s="4015"/>
      <c r="M37" s="1136"/>
      <c r="N37" s="4015"/>
      <c r="O37" s="4015"/>
      <c r="P37" s="1752"/>
      <c r="V37" s="1752"/>
    </row>
    <row r="38" spans="1:26" ht="16.5" customHeight="1" thickBot="1">
      <c r="A38" s="1129" t="s">
        <v>315</v>
      </c>
      <c r="B38" s="298"/>
      <c r="C38" s="285"/>
      <c r="D38" s="285"/>
      <c r="E38" s="286"/>
      <c r="F38" s="302"/>
      <c r="G38" s="302"/>
      <c r="H38" s="302"/>
      <c r="I38" s="302"/>
      <c r="J38" s="1754"/>
      <c r="K38" s="1137">
        <f>'数据-汇总表'!D3</f>
        <v>10738.85</v>
      </c>
      <c r="L38" s="1138">
        <f>'数据-汇总表'!E3</f>
        <v>10738.85</v>
      </c>
      <c r="M38" s="1138">
        <f ca="1">C34</f>
        <v>8816</v>
      </c>
      <c r="N38" s="1138">
        <f ca="1">C33</f>
        <v>8816</v>
      </c>
      <c r="O38" s="1139">
        <f ca="1">C32</f>
        <v>9467</v>
      </c>
      <c r="P38" s="1752"/>
      <c r="V38" s="1752"/>
    </row>
    <row r="39" spans="1:26" ht="16.5" customHeight="1" thickBot="1">
      <c r="A39" s="1134"/>
      <c r="B39" s="299"/>
      <c r="C39" s="300"/>
      <c r="D39" s="300"/>
      <c r="E39" s="301"/>
      <c r="F39" s="302"/>
      <c r="G39" s="302"/>
      <c r="H39" s="302"/>
      <c r="I39" s="302"/>
      <c r="J39" s="1754"/>
      <c r="K39" s="4026" t="str">
        <f>MID(A44,3,LEN(A44)-2)</f>
        <v/>
      </c>
      <c r="L39" s="4027"/>
      <c r="M39" s="4027"/>
      <c r="N39" s="4028"/>
      <c r="O39" s="1247" t="str">
        <f>C44</f>
        <v>——</v>
      </c>
      <c r="P39" s="1752"/>
      <c r="V39" s="1752"/>
    </row>
    <row r="40" spans="1:26" ht="18" thickBot="1">
      <c r="A40" s="100" t="s">
        <v>810</v>
      </c>
      <c r="B40" s="302"/>
      <c r="C40" s="302"/>
      <c r="D40" s="302"/>
      <c r="E40" s="302"/>
      <c r="F40" s="302"/>
      <c r="G40" s="302"/>
      <c r="H40" s="302"/>
      <c r="I40" s="302"/>
      <c r="J40" s="1754"/>
      <c r="K40" s="4026" t="str">
        <f>MID(A45,3,LEN(A45)-2)</f>
        <v/>
      </c>
      <c r="L40" s="4027"/>
      <c r="M40" s="4027"/>
      <c r="N40" s="4028"/>
      <c r="O40" s="1247" t="str">
        <f>C45</f>
        <v>——</v>
      </c>
      <c r="P40" s="1752"/>
      <c r="V40" s="1752"/>
    </row>
    <row r="41" spans="1:26" ht="16.2" thickBot="1">
      <c r="A41" s="303" t="s">
        <v>322</v>
      </c>
      <c r="B41" s="304"/>
      <c r="C41" s="305" t="s">
        <v>323</v>
      </c>
      <c r="D41" s="306" t="s">
        <v>324</v>
      </c>
      <c r="E41" s="306" t="s">
        <v>325</v>
      </c>
      <c r="F41" s="307" t="s">
        <v>326</v>
      </c>
      <c r="G41" s="302"/>
      <c r="H41" s="302"/>
      <c r="I41" s="302"/>
      <c r="J41" s="1754"/>
      <c r="K41" s="4026" t="str">
        <f>MID(A46,3,LEN(A46)-2)</f>
        <v/>
      </c>
      <c r="L41" s="4027"/>
      <c r="M41" s="4027"/>
      <c r="N41" s="4028"/>
      <c r="O41" s="1247" t="str">
        <f>C46</f>
        <v>——</v>
      </c>
      <c r="P41" s="1752"/>
      <c r="V41" s="1752"/>
    </row>
    <row r="42" spans="1:26" ht="31.2">
      <c r="A42" s="4055" t="s">
        <v>1585</v>
      </c>
      <c r="B42" s="4056"/>
      <c r="C42" s="255">
        <f ca="1">C32</f>
        <v>9467</v>
      </c>
      <c r="D42" s="308">
        <f ca="1">C33</f>
        <v>8816</v>
      </c>
      <c r="E42" s="308">
        <f ca="1">C34</f>
        <v>8816</v>
      </c>
      <c r="F42" s="309">
        <f ca="1">C35</f>
        <v>588</v>
      </c>
      <c r="G42" s="302"/>
      <c r="H42" s="302"/>
      <c r="I42" s="310"/>
      <c r="J42" s="1754"/>
      <c r="K42" s="1140" t="s">
        <v>327</v>
      </c>
      <c r="L42" s="1771" t="s">
        <v>328</v>
      </c>
      <c r="M42" s="1141" t="s">
        <v>329</v>
      </c>
      <c r="N42" s="1772" t="s">
        <v>330</v>
      </c>
      <c r="O42" s="1773" t="s">
        <v>331</v>
      </c>
      <c r="P42" s="1752"/>
      <c r="V42" s="1752"/>
    </row>
    <row r="43" spans="1:26" ht="17.399999999999999">
      <c r="A43" s="4065" t="s">
        <v>2012</v>
      </c>
      <c r="B43" s="4066"/>
      <c r="C43" s="255">
        <f>IF(H33="正常操作",G33+G34+G35,G34+G35)</f>
        <v>0</v>
      </c>
      <c r="D43" s="308" t="s">
        <v>17</v>
      </c>
      <c r="E43" s="308" t="s">
        <v>18</v>
      </c>
      <c r="F43" s="309" t="s">
        <v>18</v>
      </c>
      <c r="G43" s="2345" t="s">
        <v>877</v>
      </c>
      <c r="H43" s="302"/>
      <c r="I43" s="310"/>
      <c r="J43" s="1754"/>
      <c r="K43" s="1142" t="str">
        <f>C4</f>
        <v>比较法-工业</v>
      </c>
      <c r="L43" s="1143">
        <f ca="1">IF(L42="估价结果/万元",C19,C20)</f>
        <v>8472</v>
      </c>
      <c r="M43" s="1144">
        <f>C18</f>
        <v>0.7</v>
      </c>
      <c r="N43" s="1145">
        <f ca="1">IF(N42="测算结果/万元",G19,G20)</f>
        <v>9467</v>
      </c>
      <c r="O43" s="1146">
        <f ca="1">IF(O42="最终结果/万元",C32,C33)</f>
        <v>9467</v>
      </c>
      <c r="P43" s="1752"/>
      <c r="V43" s="1752"/>
    </row>
    <row r="44" spans="1:26" ht="18" thickBot="1">
      <c r="A44" s="4055" t="str">
        <f>IF(OR(项目基本情况!E8="抵押价格",项目基本情况!E8="已注销及未注销"),"3.抵押价格","——")</f>
        <v>——</v>
      </c>
      <c r="B44" s="4056"/>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11789.241400000001</v>
      </c>
      <c r="M44" s="1149">
        <f>D18</f>
        <v>0.30000000000000004</v>
      </c>
      <c r="N44" s="1150"/>
      <c r="O44" s="1151"/>
      <c r="P44" s="1752"/>
      <c r="V44" s="1752"/>
    </row>
    <row r="45" spans="1:26" ht="13.8">
      <c r="A45" s="4060" t="str">
        <f>IF(项目基本情况!E8="已注销及未注销","4.抵押担保权已注销时的抵押价格",IF(项目基本情况!E8="已注销","3.抵押担保权已注销时的抵押价格","——"))</f>
        <v>——</v>
      </c>
      <c r="B45" s="4061"/>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4057" t="str">
        <f>IF(项目基本情况!E9="抵押净值",IF(A45="——","4.抵押净值","5.抵押净值"),"——")</f>
        <v>——</v>
      </c>
      <c r="B46" s="4058"/>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4018" t="s">
        <v>340</v>
      </c>
      <c r="B63" s="4019"/>
      <c r="C63" s="4020"/>
      <c r="D63" s="332">
        <f ca="1">ROUND(C42*F63,0)</f>
        <v>9467</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4062" t="s">
        <v>344</v>
      </c>
      <c r="B64" s="4063"/>
      <c r="C64" s="4063"/>
      <c r="D64" s="4063"/>
      <c r="E64" s="4063"/>
      <c r="F64" s="4063"/>
      <c r="G64" s="4064"/>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4059" t="s">
        <v>352</v>
      </c>
      <c r="B66" s="4025"/>
      <c r="C66" s="4025"/>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986" t="s">
        <v>351</v>
      </c>
      <c r="M66" s="3987"/>
      <c r="N66" s="2110"/>
      <c r="O66" s="2111"/>
      <c r="P66" s="2112"/>
      <c r="Q66" s="1752"/>
      <c r="R66" s="1752"/>
      <c r="S66" s="1752"/>
      <c r="T66" s="1752"/>
      <c r="U66" s="1752"/>
      <c r="V66" s="1752"/>
    </row>
    <row r="67" spans="1:22" ht="25.5" customHeight="1">
      <c r="A67" s="343" t="s">
        <v>355</v>
      </c>
      <c r="B67" s="4037" t="s">
        <v>356</v>
      </c>
      <c r="C67" s="4037"/>
      <c r="D67" s="344">
        <v>0</v>
      </c>
      <c r="E67" s="39" t="s">
        <v>357</v>
      </c>
      <c r="F67" s="60" t="s">
        <v>15</v>
      </c>
      <c r="G67" s="4021"/>
      <c r="H67" s="2748" t="s">
        <v>2255</v>
      </c>
      <c r="I67" s="2750"/>
      <c r="J67" s="1759"/>
      <c r="K67" s="1731">
        <v>2</v>
      </c>
      <c r="L67" s="3991" t="s">
        <v>354</v>
      </c>
      <c r="M67" s="3991"/>
      <c r="N67" s="1194">
        <f>'数据-取费表'!B2</f>
        <v>45744</v>
      </c>
      <c r="O67" s="1194"/>
      <c r="P67" s="1194"/>
      <c r="Q67" s="1752"/>
      <c r="R67" s="1752"/>
      <c r="S67" s="1752"/>
      <c r="T67" s="1752"/>
      <c r="U67" s="1752"/>
      <c r="V67" s="1752"/>
    </row>
    <row r="68" spans="1:22" ht="25.5" customHeight="1">
      <c r="A68" s="345"/>
      <c r="B68" s="4037" t="s">
        <v>359</v>
      </c>
      <c r="C68" s="4037"/>
      <c r="D68" s="346"/>
      <c r="E68" s="75"/>
      <c r="F68" s="347"/>
      <c r="G68" s="4022"/>
      <c r="H68" s="2749" t="s">
        <v>2256</v>
      </c>
      <c r="I68" s="2750"/>
      <c r="J68" s="1759"/>
      <c r="K68" s="1731">
        <v>3</v>
      </c>
      <c r="L68" s="3991" t="s">
        <v>358</v>
      </c>
      <c r="M68" s="3991"/>
      <c r="N68" s="1162">
        <f ca="1">C42</f>
        <v>9467</v>
      </c>
      <c r="O68" s="1162"/>
      <c r="P68" s="1162"/>
      <c r="Q68" s="1752"/>
      <c r="R68" s="1752"/>
      <c r="S68" s="1752"/>
      <c r="T68" s="1752"/>
      <c r="U68" s="1752"/>
      <c r="V68" s="1752"/>
    </row>
    <row r="69" spans="1:22" ht="23.4" customHeight="1">
      <c r="A69" s="348"/>
      <c r="B69" s="4037" t="s">
        <v>360</v>
      </c>
      <c r="C69" s="4037"/>
      <c r="D69" s="349"/>
      <c r="E69" s="71"/>
      <c r="F69" s="347"/>
      <c r="G69" s="4023"/>
      <c r="H69" s="2749" t="s">
        <v>2257</v>
      </c>
      <c r="I69" s="2750"/>
      <c r="J69" s="1759"/>
      <c r="K69" s="1163">
        <v>4</v>
      </c>
      <c r="L69" s="3992" t="s">
        <v>2157</v>
      </c>
      <c r="M69" s="3993"/>
      <c r="N69" s="1164" t="str">
        <f>C44</f>
        <v>——</v>
      </c>
      <c r="O69" s="1164"/>
      <c r="P69" s="1164"/>
      <c r="Q69" s="1752"/>
      <c r="R69" s="1752"/>
      <c r="S69" s="1752"/>
      <c r="T69" s="1752"/>
      <c r="U69" s="1752"/>
      <c r="V69" s="1752"/>
    </row>
    <row r="70" spans="1:22" ht="24" customHeight="1">
      <c r="A70" s="350" t="s">
        <v>361</v>
      </c>
      <c r="B70" s="4037" t="s">
        <v>362</v>
      </c>
      <c r="C70" s="4037"/>
      <c r="D70" s="349">
        <f ca="1">ROUND(D63*'数据-取费表'!B41/(1+'数据-取费表'!C42),0)</f>
        <v>505</v>
      </c>
      <c r="E70" s="15" t="s">
        <v>363</v>
      </c>
      <c r="F70" s="351">
        <f>'数据-取费表'!B41</f>
        <v>5.6000000000000001E-2</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4036" t="s">
        <v>2284</v>
      </c>
      <c r="C71" s="4053"/>
      <c r="D71" s="349">
        <f ca="1">ROUND(D63*'数据-取费表'!B41/(1+'数据-取费表'!C42),0)</f>
        <v>505</v>
      </c>
      <c r="E71" s="15" t="s">
        <v>363</v>
      </c>
      <c r="F71" s="351">
        <f>'数据-取费表'!B41</f>
        <v>5.6000000000000001E-2</v>
      </c>
      <c r="G71" s="352"/>
      <c r="H71" s="302"/>
      <c r="I71" s="1161"/>
      <c r="J71" s="1759"/>
      <c r="K71" s="2520" t="s">
        <v>364</v>
      </c>
      <c r="L71" s="3994" t="s">
        <v>365</v>
      </c>
      <c r="M71" s="3994"/>
      <c r="N71" s="2520" t="s">
        <v>366</v>
      </c>
      <c r="O71" s="2520" t="s">
        <v>367</v>
      </c>
      <c r="P71" s="2520" t="s">
        <v>368</v>
      </c>
      <c r="Q71" s="1752"/>
      <c r="R71" s="1752"/>
      <c r="S71" s="1752"/>
      <c r="T71" s="1752"/>
      <c r="U71" s="1752"/>
      <c r="V71" s="1752"/>
    </row>
    <row r="72" spans="1:22" ht="12" customHeight="1">
      <c r="A72" s="350" t="s">
        <v>371</v>
      </c>
      <c r="B72" s="4036" t="s">
        <v>2285</v>
      </c>
      <c r="C72" s="4053"/>
      <c r="D72" s="349">
        <f ca="1">C86</f>
        <v>505</v>
      </c>
      <c r="E72" s="71" t="s">
        <v>372</v>
      </c>
      <c r="F72" s="351">
        <f>'数据-取费表'!B41</f>
        <v>5.6000000000000001E-2</v>
      </c>
      <c r="G72" s="352"/>
      <c r="H72" s="1167"/>
      <c r="I72" s="1161"/>
      <c r="J72" s="1759"/>
      <c r="K72" s="1731">
        <v>1</v>
      </c>
      <c r="L72" s="3990" t="s">
        <v>370</v>
      </c>
      <c r="M72" s="3990"/>
      <c r="N72" s="1165" t="b">
        <f>D66</f>
        <v>0</v>
      </c>
      <c r="O72" s="1636" t="str">
        <f>E66</f>
        <v>销售额×税（费）率</v>
      </c>
      <c r="P72" s="1166">
        <f>F66</f>
        <v>5.6000000000000001E-2</v>
      </c>
      <c r="Q72" s="1752"/>
      <c r="R72" s="1752"/>
      <c r="S72" s="1752"/>
      <c r="T72" s="1752"/>
      <c r="U72" s="1752"/>
      <c r="V72" s="1752"/>
    </row>
    <row r="73" spans="1:22" ht="24" customHeight="1">
      <c r="A73" s="4024" t="s">
        <v>374</v>
      </c>
      <c r="B73" s="4025"/>
      <c r="C73" s="4025"/>
      <c r="D73" s="353">
        <f ca="1">IF(H73="个人住宅",0,ROUND(D63*I73,0))</f>
        <v>5</v>
      </c>
      <c r="E73" s="15" t="s">
        <v>375</v>
      </c>
      <c r="F73" s="351" t="str">
        <f>IF(H73="正常",I73,"免征")</f>
        <v>免征</v>
      </c>
      <c r="G73" s="352"/>
      <c r="H73" s="184"/>
      <c r="I73" s="351">
        <f>'数据-取费表'!B49</f>
        <v>5.0000000000000001E-4</v>
      </c>
      <c r="J73" s="1759"/>
      <c r="K73" s="1731">
        <v>2</v>
      </c>
      <c r="L73" s="3990" t="s">
        <v>373</v>
      </c>
      <c r="M73" s="3990"/>
      <c r="N73" s="1165">
        <f t="shared" ref="N73:P74" ca="1" si="0">D73</f>
        <v>5</v>
      </c>
      <c r="O73" s="1636" t="str">
        <f t="shared" si="0"/>
        <v>销售额×税（费）率</v>
      </c>
      <c r="P73" s="1166" t="str">
        <f t="shared" si="0"/>
        <v>免征</v>
      </c>
      <c r="Q73" s="1752"/>
      <c r="R73" s="1752"/>
      <c r="S73" s="1752"/>
      <c r="T73" s="1752"/>
      <c r="U73" s="1752"/>
      <c r="V73" s="1752"/>
    </row>
    <row r="74" spans="1:22" ht="25.2">
      <c r="A74" s="4024" t="s">
        <v>377</v>
      </c>
      <c r="B74" s="4025"/>
      <c r="C74" s="4025"/>
      <c r="D74" s="353">
        <f ca="1">IF(H74="个人住宅",D75,D76)</f>
        <v>5358</v>
      </c>
      <c r="E74" s="15" t="s">
        <v>378</v>
      </c>
      <c r="F74" s="351" t="str">
        <f>IF(H74="正常",F76,"免征")</f>
        <v>免征</v>
      </c>
      <c r="G74" s="945" t="s">
        <v>379</v>
      </c>
      <c r="H74" s="354"/>
      <c r="I74" s="40"/>
      <c r="J74" s="1759"/>
      <c r="K74" s="1731">
        <v>3</v>
      </c>
      <c r="L74" s="3990" t="s">
        <v>376</v>
      </c>
      <c r="M74" s="3990"/>
      <c r="N74" s="1165">
        <f t="shared" ca="1" si="0"/>
        <v>5358</v>
      </c>
      <c r="O74" s="1636" t="str">
        <f t="shared" si="0"/>
        <v>增值额×税（费）率</v>
      </c>
      <c r="P74" s="1168" t="str">
        <f t="shared" si="0"/>
        <v>免征</v>
      </c>
      <c r="Q74" s="1752"/>
      <c r="R74" s="1752"/>
      <c r="S74" s="1752"/>
      <c r="T74" s="1752"/>
      <c r="U74" s="1752"/>
      <c r="V74" s="1752"/>
    </row>
    <row r="75" spans="1:22" ht="13.2">
      <c r="A75" s="350" t="s">
        <v>380</v>
      </c>
      <c r="B75" s="4005" t="s">
        <v>381</v>
      </c>
      <c r="C75" s="4006"/>
      <c r="D75" s="355">
        <v>0</v>
      </c>
      <c r="E75" s="39" t="s">
        <v>382</v>
      </c>
      <c r="F75" s="356"/>
      <c r="G75" s="352"/>
      <c r="H75" s="40"/>
      <c r="I75" s="40"/>
      <c r="J75" s="1759"/>
      <c r="K75" s="2514">
        <f>IF(H77="非个人房产","",4)</f>
        <v>4</v>
      </c>
      <c r="L75" s="3990" t="str">
        <f>IF(H77="非个人房产","——","个人所得税")</f>
        <v>个人所得税</v>
      </c>
      <c r="M75" s="3990"/>
      <c r="N75" s="1169">
        <f>D77</f>
        <v>0</v>
      </c>
      <c r="O75" s="1637" t="str">
        <f>E77</f>
        <v>差额计税</v>
      </c>
      <c r="P75" s="1170">
        <f>F77</f>
        <v>0.01</v>
      </c>
      <c r="Q75" s="1752"/>
      <c r="R75" s="1752"/>
      <c r="S75" s="1752"/>
      <c r="T75" s="1752"/>
      <c r="U75" s="1752"/>
      <c r="V75" s="1752"/>
    </row>
    <row r="76" spans="1:22" ht="25.2">
      <c r="A76" s="350" t="s">
        <v>361</v>
      </c>
      <c r="B76" s="4005" t="s">
        <v>384</v>
      </c>
      <c r="C76" s="4047"/>
      <c r="D76" s="353">
        <f ca="1">IF(H76="转让取得",C99,C115)</f>
        <v>5358</v>
      </c>
      <c r="E76" s="15" t="s">
        <v>385</v>
      </c>
      <c r="F76" s="51" t="s">
        <v>15</v>
      </c>
      <c r="G76" s="352"/>
      <c r="H76" s="354"/>
      <c r="I76" s="40"/>
      <c r="J76" s="1759"/>
      <c r="K76" s="2514" t="str">
        <f>IF(项目基本情况!K6="上海银行",IF(K75="",4,K75+1),"")</f>
        <v/>
      </c>
      <c r="L76" s="4001" t="str">
        <f>IF(项目基本情况!K6="上海银行","其他处置费用","")</f>
        <v/>
      </c>
      <c r="M76" s="4002"/>
      <c r="N76" s="1165" t="str">
        <f>IF(项目基本情况!K6="上海银行",N89,"")</f>
        <v/>
      </c>
      <c r="O76" s="4003" t="str">
        <f>IF(项目基本情况!K6="上海银行","包含处置中涉及的律师、诉讼、拍卖、评估等费用","")</f>
        <v/>
      </c>
      <c r="P76" s="4004"/>
      <c r="Q76" s="1752"/>
      <c r="R76" s="1752"/>
      <c r="S76" s="1752"/>
      <c r="T76" s="1752"/>
      <c r="U76" s="1752"/>
      <c r="V76" s="1752"/>
    </row>
    <row r="77" spans="1:22" ht="24.6" thickBot="1">
      <c r="A77" s="4016" t="s">
        <v>387</v>
      </c>
      <c r="B77" s="4017"/>
      <c r="C77" s="4017"/>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2258</v>
      </c>
      <c r="J77" s="1759"/>
      <c r="K77" s="4012">
        <f>IF(AND(K75="",K76=""),4,IF(项目基本情况!K6="上海银行",K76+1,K75+1))</f>
        <v>5</v>
      </c>
      <c r="L77" s="3990" t="s">
        <v>2158</v>
      </c>
      <c r="M77" s="2519" t="s">
        <v>383</v>
      </c>
      <c r="N77" s="1171"/>
      <c r="O77" s="1172">
        <f ca="1">SUMIF(N72:N76,"&lt;9e307")</f>
        <v>5363</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4012"/>
      <c r="L78" s="3990"/>
      <c r="M78" s="2519" t="s">
        <v>386</v>
      </c>
      <c r="N78" s="1171"/>
      <c r="O78" s="1172" t="str">
        <f ca="1">NUMBERSTRING(INT(O77*10000),2)&amp;"元整"</f>
        <v>伍仟叁佰陆拾叁万元整</v>
      </c>
      <c r="P78" s="1173"/>
      <c r="Q78" s="1752"/>
      <c r="R78" s="1752"/>
      <c r="S78" s="1752"/>
      <c r="T78" s="1752"/>
      <c r="U78" s="1752"/>
      <c r="V78" s="1752"/>
    </row>
    <row r="79" spans="1:22" ht="13.8" thickBot="1">
      <c r="A79" s="4067" t="s">
        <v>388</v>
      </c>
      <c r="B79" s="4067"/>
      <c r="C79" s="4067"/>
      <c r="D79" s="4067"/>
      <c r="E79" s="4067"/>
      <c r="F79" s="40"/>
      <c r="G79" s="40"/>
      <c r="H79" s="965"/>
      <c r="I79" s="302"/>
      <c r="J79" s="1759"/>
      <c r="K79" s="3988">
        <f>K77+1</f>
        <v>6</v>
      </c>
      <c r="L79" s="3990" t="s">
        <v>2159</v>
      </c>
      <c r="M79" s="2519" t="s">
        <v>383</v>
      </c>
      <c r="N79" s="1171"/>
      <c r="O79" s="1172" t="e">
        <f ca="1">N69-O77</f>
        <v>#VALUE!</v>
      </c>
      <c r="P79" s="1173"/>
      <c r="Q79" s="1752"/>
      <c r="R79" s="1752"/>
      <c r="S79" s="1752"/>
      <c r="T79" s="1752"/>
      <c r="U79" s="1752"/>
      <c r="V79" s="1752"/>
    </row>
    <row r="80" spans="1:22" ht="13.2">
      <c r="A80" s="3998" t="s">
        <v>389</v>
      </c>
      <c r="B80" s="3999"/>
      <c r="C80" s="956"/>
      <c r="D80" s="956" t="s">
        <v>390</v>
      </c>
      <c r="E80" s="357" t="s">
        <v>391</v>
      </c>
      <c r="F80" s="40"/>
      <c r="G80" s="40"/>
      <c r="H80" s="965"/>
      <c r="I80" s="302"/>
      <c r="J80" s="1752"/>
      <c r="K80" s="3989"/>
      <c r="L80" s="3990"/>
      <c r="M80" s="2519" t="s">
        <v>386</v>
      </c>
      <c r="N80" s="1171"/>
      <c r="O80" s="1172" t="e">
        <f ca="1">NUMBERSTRING(INT(O79*10000),2)&amp;"元整"</f>
        <v>#VALUE!</v>
      </c>
      <c r="P80" s="1173"/>
      <c r="Q80" s="1752"/>
      <c r="R80" s="1752"/>
      <c r="S80" s="1752"/>
      <c r="T80" s="1752"/>
      <c r="U80" s="1752"/>
      <c r="V80" s="1752"/>
    </row>
    <row r="81" spans="1:26" ht="13.8" thickBot="1">
      <c r="A81" s="368" t="s">
        <v>1352</v>
      </c>
      <c r="B81" s="358" t="s">
        <v>392</v>
      </c>
      <c r="C81" s="359">
        <f ca="1">ROUND((C82+C83)/(1+'数据-取费表'!C42),0)</f>
        <v>9016</v>
      </c>
      <c r="D81" s="360"/>
      <c r="E81" s="361"/>
      <c r="F81" s="40"/>
      <c r="G81" s="40"/>
      <c r="H81" s="965"/>
      <c r="I81" s="302"/>
      <c r="J81" s="1752"/>
      <c r="K81" s="2514">
        <f>K79+1</f>
        <v>7</v>
      </c>
      <c r="L81" s="4010" t="s">
        <v>2160</v>
      </c>
      <c r="M81" s="4011"/>
      <c r="N81" s="1175"/>
      <c r="O81" s="1176" t="e">
        <f ca="1">ROUND(O79*10000/'数据-汇总表'!E3,0)</f>
        <v>#VALUE!</v>
      </c>
      <c r="P81" s="1177"/>
      <c r="Q81" s="1752"/>
      <c r="R81" s="1752"/>
      <c r="S81" s="1752"/>
      <c r="T81" s="1752"/>
      <c r="U81" s="1752"/>
      <c r="V81" s="1752"/>
    </row>
    <row r="82" spans="1:26" ht="13.8" thickTop="1">
      <c r="A82" s="362" t="s">
        <v>1353</v>
      </c>
      <c r="B82" s="363" t="s">
        <v>393</v>
      </c>
      <c r="C82" s="364">
        <f ca="1">D63</f>
        <v>9467</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4000" t="s">
        <v>2148</v>
      </c>
      <c r="L83" s="2525" t="s">
        <v>2149</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25.2">
      <c r="A84" s="368" t="s">
        <v>1355</v>
      </c>
      <c r="B84" s="369" t="s">
        <v>395</v>
      </c>
      <c r="C84" s="370"/>
      <c r="D84" s="371" t="s">
        <v>13</v>
      </c>
      <c r="E84" s="2541" t="s">
        <v>2201</v>
      </c>
      <c r="F84" s="40"/>
      <c r="G84" s="40"/>
      <c r="H84" s="965"/>
      <c r="I84" s="302"/>
      <c r="J84" s="1752"/>
      <c r="K84" s="4000"/>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f ca="1">C81-C84</f>
        <v>9016</v>
      </c>
      <c r="D85" s="365" t="s">
        <v>13</v>
      </c>
      <c r="E85" s="366"/>
      <c r="F85" s="40"/>
      <c r="G85" s="40"/>
      <c r="H85" s="965"/>
      <c r="I85" s="302"/>
      <c r="J85" s="1752"/>
      <c r="K85" s="4000"/>
      <c r="L85" s="2525" t="s">
        <v>2152</v>
      </c>
      <c r="M85" s="2515"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f ca="1">IF(C85&lt;=0,0,ROUND(C85*D86,0))</f>
        <v>505</v>
      </c>
      <c r="D86" s="376">
        <f>'数据-取费表'!B41</f>
        <v>5.6000000000000001E-2</v>
      </c>
      <c r="E86" s="377"/>
      <c r="F86" s="40"/>
      <c r="G86" s="40"/>
      <c r="H86" s="965"/>
      <c r="I86" s="302"/>
      <c r="J86" s="1752"/>
      <c r="K86" s="4000"/>
      <c r="L86" s="2525" t="s">
        <v>2153</v>
      </c>
      <c r="M86" s="2515"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4000"/>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4.4" thickBot="1">
      <c r="A88" s="4039" t="s">
        <v>398</v>
      </c>
      <c r="B88" s="4040"/>
      <c r="C88" s="4040"/>
      <c r="D88" s="4040"/>
      <c r="E88" s="4040"/>
      <c r="F88" s="4040"/>
      <c r="G88" s="4040"/>
      <c r="H88" s="4040"/>
      <c r="I88" s="1184"/>
      <c r="J88" s="1760"/>
      <c r="K88" s="4000"/>
      <c r="L88" s="2525" t="s">
        <v>2156</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3.8">
      <c r="A89" s="3998" t="s">
        <v>389</v>
      </c>
      <c r="B89" s="3999"/>
      <c r="C89" s="956"/>
      <c r="D89" s="956" t="s">
        <v>390</v>
      </c>
      <c r="E89" s="378" t="s">
        <v>399</v>
      </c>
      <c r="F89" s="379"/>
      <c r="G89" s="379"/>
      <c r="H89" s="380"/>
      <c r="I89" s="1185"/>
      <c r="J89" s="1762"/>
      <c r="K89" s="4000"/>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9016</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54</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4036" t="s">
        <v>407</v>
      </c>
      <c r="F94" s="4037"/>
      <c r="G94" s="4037"/>
      <c r="H94" s="4038"/>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54</v>
      </c>
      <c r="D96" s="393">
        <f>'数据-取费表'!B43</f>
        <v>6.000000000000001E-3</v>
      </c>
      <c r="E96" s="3995" t="s">
        <v>1780</v>
      </c>
      <c r="F96" s="3996"/>
      <c r="G96" s="3996"/>
      <c r="H96" s="3997"/>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8962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165.96296296296296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f ca="1">ROUND(IF(C97&lt;=0,0,IF(C98&gt;=200%,C97*60%-C91*35%,IF(C98&gt;=100%,C97*50%-C91*15%,IF(C98&gt;=50%,C97*40%-C91*5%,IF(C98&lt;50%,C97*30%,0))))),0)</f>
        <v>5358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4039" t="s">
        <v>414</v>
      </c>
      <c r="B101" s="4040"/>
      <c r="C101" s="4040"/>
      <c r="D101" s="4040"/>
      <c r="E101" s="4040"/>
      <c r="F101" s="4040"/>
      <c r="G101" s="4040"/>
      <c r="H101" s="4040"/>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998" t="s">
        <v>389</v>
      </c>
      <c r="B102" s="3999"/>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9016</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54</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2" t="s">
        <v>2278</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4051" t="s">
        <v>2250</v>
      </c>
      <c r="H108" s="4052"/>
      <c r="I108" s="2611"/>
      <c r="J108" s="1757"/>
      <c r="K108" s="2982"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4029" t="s">
        <v>422</v>
      </c>
      <c r="F109" s="3996"/>
      <c r="G109" s="3996"/>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3">
        <v>0</v>
      </c>
      <c r="E110" s="4029" t="s">
        <v>424</v>
      </c>
      <c r="F110" s="3996"/>
      <c r="G110" s="3996"/>
      <c r="H110" s="3997"/>
      <c r="I110" s="9"/>
      <c r="J110" s="1757"/>
      <c r="K110" s="2983"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54</v>
      </c>
      <c r="D111" s="393">
        <f>'数据-取费表'!B43</f>
        <v>6.000000000000001E-3</v>
      </c>
      <c r="E111" s="3995" t="s">
        <v>1780</v>
      </c>
      <c r="F111" s="3996"/>
      <c r="G111" s="3996"/>
      <c r="H111" s="3997"/>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4029" t="s">
        <v>1799</v>
      </c>
      <c r="F112" s="3996"/>
      <c r="G112" s="3996"/>
      <c r="H112" s="3997"/>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8962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165.96296296296296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f ca="1">ROUND(IF(C113&lt;=0,0,IF(C114&gt;=200%,C113*60%-C104*35%,IF(C114&gt;=100%,C113*50%-C104*15%,IF(C114&gt;=50%,C113*40%-C104*5%,IF(C114&lt;50%,C113*30%,0))))),0)</f>
        <v>5358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tabSelected="1" topLeftCell="C1" workbookViewId="0">
      <selection activeCell="G22" sqref="G22"/>
    </sheetView>
  </sheetViews>
  <sheetFormatPr defaultRowHeight="14.4"/>
  <cols>
    <col min="2" max="2" width="7" customWidth="1"/>
    <col min="3" max="3" width="36.21875" customWidth="1"/>
    <col min="4" max="4" width="18.6640625" customWidth="1"/>
  </cols>
  <sheetData>
    <row r="2" spans="2:4">
      <c r="B2" s="4068" t="s">
        <v>3383</v>
      </c>
      <c r="C2" s="4068"/>
      <c r="D2" s="4068"/>
    </row>
    <row r="3" spans="2:4">
      <c r="B3" s="3705" t="s">
        <v>3267</v>
      </c>
      <c r="C3" s="3705" t="s">
        <v>2146</v>
      </c>
      <c r="D3" s="3705" t="s">
        <v>3384</v>
      </c>
    </row>
    <row r="4" spans="2:4">
      <c r="B4" s="3705">
        <v>1</v>
      </c>
      <c r="C4" s="3705" t="s">
        <v>3385</v>
      </c>
      <c r="D4" s="3706">
        <f ca="1">ROUND(结果表!G20*10738.85/10000,4)</f>
        <v>9467.3701999999994</v>
      </c>
    </row>
    <row r="5" spans="2:4">
      <c r="B5" s="3705">
        <v>2</v>
      </c>
      <c r="C5" s="3705" t="s">
        <v>3386</v>
      </c>
      <c r="D5" s="3706">
        <f>[2]双合盛!$B$30/10000</f>
        <v>46.840400000000002</v>
      </c>
    </row>
    <row r="6" spans="2:4">
      <c r="B6" s="3705">
        <v>3</v>
      </c>
      <c r="C6" s="3705" t="s">
        <v>3387</v>
      </c>
      <c r="D6" s="3706">
        <f>([2]双合盛!$G$43+[2]双合盛!$H$43+[2]双合盛!$B$49+[3]双合盛2025!$H$56)/10000</f>
        <v>26.7104</v>
      </c>
    </row>
    <row r="7" spans="2:4">
      <c r="B7" s="3705">
        <v>4</v>
      </c>
      <c r="C7" s="3705" t="s">
        <v>3388</v>
      </c>
      <c r="D7" s="3707">
        <v>0</v>
      </c>
    </row>
    <row r="8" spans="2:4">
      <c r="B8" s="3705">
        <v>5</v>
      </c>
      <c r="C8" s="3705" t="s">
        <v>3389</v>
      </c>
      <c r="D8" s="3707">
        <v>0</v>
      </c>
    </row>
    <row r="9" spans="2:4">
      <c r="B9" s="3705">
        <v>6</v>
      </c>
      <c r="C9" s="3705" t="s">
        <v>3390</v>
      </c>
      <c r="D9" s="3707">
        <v>0</v>
      </c>
    </row>
    <row r="10" spans="2:4">
      <c r="B10" s="3705">
        <v>7</v>
      </c>
      <c r="C10" s="3705" t="s">
        <v>3391</v>
      </c>
      <c r="D10" s="3706">
        <f>ROUND((349.6+204.4+123.9)*50/10000,4)</f>
        <v>3.3895</v>
      </c>
    </row>
    <row r="11" spans="2:4">
      <c r="B11" s="4069" t="s">
        <v>3392</v>
      </c>
      <c r="C11" s="4069"/>
      <c r="D11" s="3706">
        <f ca="1">ROUND(SUM(D4:D10),4)</f>
        <v>9544.3104999999996</v>
      </c>
    </row>
    <row r="12" spans="2:4">
      <c r="B12" s="4069" t="s">
        <v>3393</v>
      </c>
      <c r="C12" s="4069"/>
      <c r="D12" s="3705">
        <f ca="1">ROUND(D11*10000/'数据-基础表'!A3,0)</f>
        <v>8888</v>
      </c>
    </row>
    <row r="13" spans="2:4">
      <c r="B13" s="4069" t="s">
        <v>3394</v>
      </c>
      <c r="C13" s="4069"/>
      <c r="D13" s="3705">
        <f ca="1">ROUND(D12/15,0)</f>
        <v>593</v>
      </c>
    </row>
  </sheetData>
  <mergeCells count="4">
    <mergeCell ref="B2:D2"/>
    <mergeCell ref="B11:C11"/>
    <mergeCell ref="B12:C12"/>
    <mergeCell ref="B13:C13"/>
  </mergeCells>
  <phoneticPr fontId="22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-94</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-88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-88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6"/>
      <c r="M6" s="2936"/>
      <c r="N6" s="2936"/>
      <c r="O6" s="2936"/>
      <c r="P6" s="2936"/>
      <c r="Q6" s="2936"/>
      <c r="R6" s="2936"/>
      <c r="S6" s="2936"/>
      <c r="T6" s="2936"/>
      <c r="U6" s="2936"/>
      <c r="V6" s="2936"/>
      <c r="W6" s="2936"/>
      <c r="X6" s="2936"/>
      <c r="Y6" s="2936"/>
      <c r="Z6" s="2936"/>
    </row>
    <row r="7" spans="1:31" s="1836" customFormat="1" ht="14.4">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5" t="s">
        <v>1376</v>
      </c>
      <c r="B10" s="2301" t="s">
        <v>434</v>
      </c>
      <c r="C10" s="2501"/>
      <c r="D10" s="2501"/>
      <c r="E10" s="2501"/>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6"/>
      <c r="M11" s="2936"/>
      <c r="N11" s="2936"/>
      <c r="O11" s="2936"/>
      <c r="P11" s="2936"/>
      <c r="Q11" s="2936"/>
      <c r="R11" s="2936"/>
      <c r="S11" s="2936"/>
      <c r="T11" s="2936"/>
      <c r="U11" s="2936"/>
      <c r="V11" s="2936"/>
      <c r="W11" s="2936"/>
      <c r="X11" s="2936"/>
      <c r="Y11" s="2936"/>
      <c r="Z11" s="2936"/>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37"/>
      <c r="M12" s="2937"/>
      <c r="N12" s="2937"/>
      <c r="O12" s="2937"/>
      <c r="P12" s="2937"/>
      <c r="Q12" s="2937"/>
      <c r="R12" s="2937"/>
      <c r="S12" s="2937"/>
      <c r="T12" s="2937"/>
      <c r="U12" s="2937"/>
      <c r="V12" s="2937"/>
      <c r="W12" s="2937"/>
      <c r="X12" s="2937"/>
      <c r="Y12" s="2937"/>
      <c r="Z12" s="2937"/>
    </row>
    <row r="13" spans="1:31" s="1839"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0</v>
      </c>
      <c r="D14" s="2323"/>
      <c r="E14" s="2324"/>
      <c r="F14" s="2328">
        <f>'数据-取费表'!B33</f>
        <v>0.03</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215</v>
      </c>
      <c r="D16" s="2323">
        <f ca="1">IF(B1="",'数据-汇总表'!E3,INDIRECT("'数据-取费表'!K"&amp;$K$1)+INDIRECT("'数据-取费表'!S"&amp;$K$1))</f>
        <v>10738.85</v>
      </c>
      <c r="E16" s="51">
        <f>'数据-取费表'!B35</f>
        <v>200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215</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0</v>
      </c>
      <c r="D19" s="2333">
        <f ca="1">D16</f>
        <v>10738.85</v>
      </c>
      <c r="E19" s="2287">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-123.27379999999999</v>
      </c>
      <c r="D20" s="2333"/>
      <c r="E20" s="2287"/>
      <c r="F20" s="2334"/>
      <c r="G20" s="2532"/>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215</v>
      </c>
      <c r="D22" s="2323">
        <f ca="1">IF(B1="",'数据-汇总表'!E6,IF(INDIRECT("'数据-取费表'!c"&amp;$K$1)="住宅",INDIRECT("'数据-取费表'!s"&amp;$K$1),INDIRECT("'数据-取费表'!k"&amp;$K$1)+INDIRECT("'数据-取费表'!s"&amp;$K$1)))</f>
        <v>10738.85</v>
      </c>
      <c r="E22" s="51">
        <f>'数据-取费表'!B28</f>
        <v>200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5" t="s">
        <v>2109</v>
      </c>
      <c r="C23" s="2331">
        <f ca="1">ROUND((C18+C19+C20)*F23,0)</f>
        <v>2</v>
      </c>
      <c r="D23" s="454"/>
      <c r="E23" s="454"/>
      <c r="F23" s="2335">
        <f>'数据-取费表'!B37</f>
        <v>0.02</v>
      </c>
      <c r="G23" s="2291" t="s">
        <v>1782</v>
      </c>
      <c r="H23" s="2292"/>
      <c r="I23" s="2292"/>
      <c r="J23" s="2292"/>
      <c r="K23" s="2293"/>
      <c r="L23" s="2938"/>
      <c r="M23" s="2938"/>
      <c r="N23" s="2938"/>
      <c r="O23" s="1840"/>
      <c r="P23" s="1840"/>
      <c r="Q23" s="1840"/>
      <c r="R23" s="1840"/>
      <c r="S23" s="1840"/>
      <c r="T23" s="1840"/>
      <c r="U23" s="1840"/>
      <c r="V23" s="1840"/>
      <c r="W23" s="1840"/>
      <c r="X23" s="1840"/>
      <c r="Y23" s="1840"/>
      <c r="Z23" s="1840"/>
    </row>
    <row r="24" spans="1:26" s="1839" customFormat="1" ht="13.5" customHeight="1">
      <c r="A24" s="2329" t="s">
        <v>1388</v>
      </c>
      <c r="B24" s="2505" t="s">
        <v>2112</v>
      </c>
      <c r="C24" s="2331">
        <f>ROUND(C6*F24,0)</f>
        <v>0</v>
      </c>
      <c r="D24" s="461"/>
      <c r="E24" s="459"/>
      <c r="F24" s="2335">
        <f>'数据-取费表'!B38</f>
        <v>0.02</v>
      </c>
      <c r="G24" s="2300" t="s">
        <v>459</v>
      </c>
      <c r="H24" s="2294"/>
      <c r="I24" s="2294"/>
      <c r="J24" s="2294"/>
      <c r="K24" s="270"/>
      <c r="L24" s="2938"/>
      <c r="M24" s="2938"/>
      <c r="N24" s="2938"/>
      <c r="O24" s="1840"/>
      <c r="P24" s="1840"/>
      <c r="Q24" s="1840"/>
      <c r="R24" s="1840"/>
      <c r="S24" s="1840"/>
      <c r="T24" s="1840"/>
      <c r="U24" s="1840"/>
      <c r="V24" s="1840"/>
      <c r="W24" s="1840"/>
      <c r="X24" s="1840"/>
      <c r="Y24" s="1840"/>
      <c r="Z24" s="1840"/>
    </row>
    <row r="25" spans="1:26" s="1842"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39"/>
      <c r="M25" s="2939"/>
      <c r="N25" s="2939"/>
      <c r="O25" s="2939"/>
      <c r="P25" s="2939"/>
      <c r="Q25" s="2939"/>
      <c r="R25" s="2939"/>
      <c r="S25" s="2939"/>
      <c r="T25" s="2939"/>
      <c r="U25" s="2939"/>
      <c r="V25" s="2939"/>
      <c r="W25" s="2939"/>
      <c r="X25" s="2939"/>
      <c r="Y25" s="2939"/>
      <c r="Z25" s="2939"/>
    </row>
    <row r="26" spans="1:26" s="1841" customFormat="1" ht="13.5" customHeight="1">
      <c r="A26" s="2329" t="s">
        <v>1390</v>
      </c>
      <c r="B26" s="2506" t="s">
        <v>2111</v>
      </c>
      <c r="C26" s="2336">
        <f ca="1">C28</f>
        <v>0</v>
      </c>
      <c r="D26" s="453">
        <f ca="1">C27</f>
        <v>0</v>
      </c>
      <c r="E26" s="455" t="s">
        <v>455</v>
      </c>
      <c r="F26" s="457">
        <f ca="1">'数据-取费表'!B40</f>
        <v>4.3500000000000004E-2</v>
      </c>
      <c r="G26" s="2188" t="str">
        <f>IF('数据-取费表'!B22&lt;=1,"单利计息。","复利计息。")&amp;"后续开发成本、管理费用及销售费用产生的利息。"</f>
        <v>复利计息。后续开发成本、管理费用及销售费用产生的利息。</v>
      </c>
      <c r="H26" s="2296"/>
      <c r="I26" s="2296"/>
      <c r="J26" s="2296"/>
      <c r="K26" s="2297"/>
      <c r="L26" s="2938"/>
      <c r="M26" s="2938"/>
      <c r="N26" s="2938"/>
      <c r="O26" s="2938"/>
      <c r="P26" s="2938"/>
      <c r="Q26" s="2938"/>
      <c r="R26" s="2938"/>
      <c r="S26" s="2938"/>
      <c r="T26" s="2938"/>
      <c r="U26" s="2938"/>
      <c r="V26" s="2938"/>
      <c r="W26" s="2938"/>
      <c r="X26" s="2938"/>
      <c r="Y26" s="2938"/>
      <c r="Z26" s="2938"/>
    </row>
    <row r="27" spans="1:26" s="1843" customFormat="1" ht="13.5" customHeight="1">
      <c r="A27" s="769" t="s">
        <v>1385</v>
      </c>
      <c r="B27" s="2337" t="s">
        <v>456</v>
      </c>
      <c r="C27" s="2338">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4"/>
      <c r="I27" s="2294"/>
      <c r="J27" s="2294"/>
      <c r="K27" s="270"/>
      <c r="L27" s="2940"/>
      <c r="M27" s="2940"/>
      <c r="N27" s="2940"/>
      <c r="O27" s="2940"/>
      <c r="P27" s="2940"/>
      <c r="Q27" s="2940"/>
      <c r="R27" s="2940"/>
      <c r="S27" s="2940"/>
      <c r="T27" s="2940"/>
      <c r="U27" s="2940"/>
      <c r="V27" s="2940"/>
      <c r="W27" s="2940"/>
      <c r="X27" s="2940"/>
      <c r="Y27" s="2940"/>
      <c r="Z27" s="2940"/>
    </row>
    <row r="28" spans="1:26" s="1843" customFormat="1" ht="13.5" customHeight="1">
      <c r="A28" s="769" t="s">
        <v>1386</v>
      </c>
      <c r="B28" s="2337" t="s">
        <v>2113</v>
      </c>
      <c r="C28" s="2339">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4"/>
      <c r="I28" s="2294"/>
      <c r="J28" s="2294"/>
      <c r="K28" s="270"/>
      <c r="L28" s="2940"/>
      <c r="M28" s="2940"/>
      <c r="N28" s="2940"/>
      <c r="O28" s="2940"/>
      <c r="P28" s="2940"/>
      <c r="Q28" s="2940"/>
      <c r="R28" s="2940"/>
      <c r="S28" s="2940"/>
      <c r="T28" s="2940"/>
      <c r="U28" s="2940"/>
      <c r="V28" s="2940"/>
      <c r="W28" s="2940"/>
      <c r="X28" s="2940"/>
      <c r="Y28" s="2940"/>
      <c r="Z28" s="2940"/>
    </row>
    <row r="29" spans="1:26" s="1843" customFormat="1" ht="13.5" customHeight="1">
      <c r="A29" s="2340" t="s">
        <v>1391</v>
      </c>
      <c r="B29" s="2330" t="s">
        <v>457</v>
      </c>
      <c r="C29" s="2331">
        <f>ROUND(C6*F29/(1+'数据-取费表'!C42),0)</f>
        <v>0</v>
      </c>
      <c r="D29" s="454"/>
      <c r="E29" s="454"/>
      <c r="F29" s="2507">
        <f>'数据-取费表'!B41</f>
        <v>5.6000000000000001E-2</v>
      </c>
      <c r="G29" s="2300" t="s">
        <v>458</v>
      </c>
      <c r="H29" s="2292"/>
      <c r="I29" s="2292"/>
      <c r="J29" s="2292"/>
      <c r="K29" s="2293"/>
      <c r="L29" s="2940"/>
      <c r="M29" s="2940"/>
      <c r="N29" s="2940"/>
      <c r="O29" s="2940"/>
      <c r="P29" s="2940"/>
      <c r="Q29" s="2940"/>
      <c r="R29" s="2940"/>
      <c r="S29" s="2940"/>
      <c r="T29" s="2940"/>
      <c r="U29" s="2940"/>
      <c r="V29" s="2940"/>
      <c r="W29" s="2940"/>
      <c r="X29" s="2940"/>
      <c r="Y29" s="2940"/>
      <c r="Z29" s="2940"/>
    </row>
    <row r="30" spans="1:26" s="1844" customFormat="1" ht="13.5" customHeight="1">
      <c r="A30" s="1442" t="s">
        <v>1392</v>
      </c>
      <c r="B30" s="2341" t="s">
        <v>460</v>
      </c>
      <c r="C30" s="2336">
        <f ca="1">C31</f>
        <v>93.726200000000006</v>
      </c>
      <c r="D30" s="463">
        <f ca="1">C32</f>
        <v>0</v>
      </c>
      <c r="E30" s="455" t="s">
        <v>455</v>
      </c>
      <c r="F30" s="457"/>
      <c r="G30" s="2299" t="s">
        <v>2228</v>
      </c>
      <c r="H30" s="2292"/>
      <c r="I30" s="2292"/>
      <c r="J30" s="2292"/>
      <c r="K30" s="2293"/>
      <c r="L30" s="2941"/>
      <c r="M30" s="2941"/>
      <c r="N30" s="2941"/>
      <c r="O30" s="2941"/>
      <c r="P30" s="2941"/>
      <c r="Q30" s="2941"/>
      <c r="R30" s="2941"/>
      <c r="S30" s="2941"/>
      <c r="T30" s="2941"/>
      <c r="U30" s="2941"/>
      <c r="V30" s="2941"/>
      <c r="W30" s="2941"/>
      <c r="X30" s="2941"/>
      <c r="Y30" s="2941"/>
      <c r="Z30" s="2941"/>
    </row>
    <row r="31" spans="1:26" s="1843" customFormat="1" ht="13.5" customHeight="1">
      <c r="A31" s="769" t="s">
        <v>1385</v>
      </c>
      <c r="B31" s="2337"/>
      <c r="C31" s="436">
        <f ca="1">C18+C19+C20+C23+C24+C26+C29</f>
        <v>93.726200000000006</v>
      </c>
      <c r="D31" s="458"/>
      <c r="E31" s="459"/>
      <c r="F31" s="460"/>
      <c r="G31" s="252"/>
      <c r="H31" s="2294"/>
      <c r="I31" s="2294"/>
      <c r="J31" s="2294"/>
      <c r="K31" s="270"/>
      <c r="L31" s="2940"/>
      <c r="M31" s="2940"/>
      <c r="N31" s="2940"/>
      <c r="O31" s="2940"/>
      <c r="P31" s="2940"/>
      <c r="Q31" s="2940"/>
      <c r="R31" s="2940"/>
      <c r="S31" s="2940"/>
      <c r="T31" s="2940"/>
      <c r="U31" s="2940"/>
      <c r="V31" s="2940"/>
      <c r="W31" s="2940"/>
      <c r="X31" s="2940"/>
      <c r="Y31" s="2940"/>
      <c r="Z31" s="2940"/>
    </row>
    <row r="32" spans="1:26" s="1843" customFormat="1" ht="13.5" customHeight="1">
      <c r="A32" s="769" t="s">
        <v>1386</v>
      </c>
      <c r="B32" s="2337"/>
      <c r="C32" s="51">
        <f ca="1">ROUND(C25+D26,4)</f>
        <v>0</v>
      </c>
      <c r="D32" s="458"/>
      <c r="E32" s="459"/>
      <c r="F32" s="460"/>
      <c r="G32" s="252"/>
      <c r="H32" s="2294"/>
      <c r="I32" s="2294"/>
      <c r="J32" s="2294"/>
      <c r="K32" s="270"/>
      <c r="L32" s="2940"/>
      <c r="M32" s="2940"/>
      <c r="N32" s="2940"/>
      <c r="O32" s="2940"/>
      <c r="P32" s="2940"/>
      <c r="Q32" s="2940"/>
      <c r="R32" s="2940"/>
      <c r="S32" s="2940"/>
      <c r="T32" s="2940"/>
      <c r="U32" s="2940"/>
      <c r="V32" s="2940"/>
      <c r="W32" s="2940"/>
      <c r="X32" s="2940"/>
      <c r="Y32" s="2940"/>
      <c r="Z32" s="2940"/>
    </row>
    <row r="33" spans="1:26" s="1845" customFormat="1" ht="13.5" customHeight="1">
      <c r="A33" s="2504" t="s">
        <v>2108</v>
      </c>
      <c r="B33" s="2502" t="s">
        <v>2106</v>
      </c>
      <c r="C33" s="464">
        <f ca="1">C35</f>
        <v>14</v>
      </c>
      <c r="D33" s="453">
        <f ca="1">C34</f>
        <v>0.15</v>
      </c>
      <c r="E33" s="455" t="s">
        <v>455</v>
      </c>
      <c r="F33" s="465">
        <f ca="1">IF(B1="",'数据-取费表'!Q16,INDIRECT("'数据-取费表'!q"&amp;$K$1))</f>
        <v>0.15</v>
      </c>
      <c r="G33" s="2295"/>
      <c r="H33" s="2296"/>
      <c r="I33" s="2296"/>
      <c r="J33" s="2296"/>
      <c r="K33" s="2297"/>
      <c r="L33" s="2942"/>
      <c r="M33" s="2942"/>
      <c r="N33" s="2942"/>
      <c r="O33" s="2942"/>
      <c r="P33" s="2942"/>
      <c r="Q33" s="2942"/>
      <c r="R33" s="2942"/>
      <c r="S33" s="2942"/>
      <c r="T33" s="2942"/>
      <c r="U33" s="2942"/>
      <c r="V33" s="2942"/>
      <c r="W33" s="2942"/>
      <c r="X33" s="2942"/>
      <c r="Y33" s="2942"/>
      <c r="Z33" s="2942"/>
    </row>
    <row r="34" spans="1:26" s="1846" customFormat="1" ht="13.5" customHeight="1">
      <c r="A34" s="362" t="s">
        <v>1385</v>
      </c>
      <c r="B34" s="2342" t="s">
        <v>461</v>
      </c>
      <c r="C34" s="458">
        <f ca="1">ROUND((1+C25)*F33,4)</f>
        <v>0.15</v>
      </c>
      <c r="D34" s="458"/>
      <c r="E34" s="459"/>
      <c r="F34" s="466"/>
      <c r="G34" s="252" t="s">
        <v>1648</v>
      </c>
      <c r="H34" s="2294"/>
      <c r="I34" s="2294"/>
      <c r="J34" s="2294"/>
      <c r="K34" s="270"/>
      <c r="L34" s="2943"/>
      <c r="M34" s="2943"/>
      <c r="N34" s="2943"/>
      <c r="O34" s="2943"/>
      <c r="P34" s="2943"/>
      <c r="Q34" s="2943"/>
      <c r="R34" s="2943"/>
      <c r="S34" s="2943"/>
      <c r="T34" s="2943"/>
      <c r="U34" s="2943"/>
      <c r="V34" s="2943"/>
      <c r="W34" s="2943"/>
      <c r="X34" s="2943"/>
      <c r="Y34" s="2943"/>
      <c r="Z34" s="2943"/>
    </row>
    <row r="35" spans="1:26" s="1846" customFormat="1" ht="13.5" customHeight="1" thickBot="1">
      <c r="A35" s="1443" t="s">
        <v>1386</v>
      </c>
      <c r="B35" s="2503" t="s">
        <v>2114</v>
      </c>
      <c r="C35" s="1435">
        <f ca="1">ROUND((C18+C19+C20+C23+C24)*F33,0)</f>
        <v>14</v>
      </c>
      <c r="D35" s="1436"/>
      <c r="E35" s="2343"/>
      <c r="F35" s="1437"/>
      <c r="G35" s="2301"/>
      <c r="H35" s="2302"/>
      <c r="I35" s="2302"/>
      <c r="J35" s="2302"/>
      <c r="K35" s="2303"/>
      <c r="L35" s="2943"/>
      <c r="M35" s="2943"/>
      <c r="N35" s="2943"/>
      <c r="O35" s="2943"/>
      <c r="P35" s="2943"/>
      <c r="Q35" s="2943"/>
      <c r="R35" s="2943"/>
      <c r="S35" s="2943"/>
      <c r="T35" s="2943"/>
      <c r="U35" s="2943"/>
      <c r="V35" s="2943"/>
      <c r="W35" s="2943"/>
      <c r="X35" s="2943"/>
      <c r="Y35" s="2943"/>
      <c r="Z35" s="2943"/>
    </row>
    <row r="36" spans="1:26" s="1808" customFormat="1" ht="13.5" customHeight="1" thickBot="1">
      <c r="A36" s="275" t="s">
        <v>1373</v>
      </c>
      <c r="B36" s="2305"/>
      <c r="C36" s="2344">
        <f ca="1">ROUND((C6-C30-C33)/(1+D30+D33),0)</f>
        <v>-94</v>
      </c>
      <c r="D36" s="2305"/>
      <c r="E36" s="2305"/>
      <c r="F36" s="2305"/>
      <c r="G36" s="2304" t="s">
        <v>2115</v>
      </c>
      <c r="H36" s="2305"/>
      <c r="I36" s="2305"/>
      <c r="J36" s="2305"/>
      <c r="K36" s="2306"/>
      <c r="L36" s="2937"/>
      <c r="M36" s="2937"/>
      <c r="N36" s="2937"/>
      <c r="O36" s="2937"/>
      <c r="P36" s="2937"/>
      <c r="Q36" s="2937"/>
      <c r="R36" s="2937"/>
      <c r="S36" s="2937"/>
      <c r="T36" s="2937"/>
      <c r="U36" s="2937"/>
      <c r="V36" s="2937"/>
      <c r="W36" s="2937"/>
      <c r="X36" s="2937"/>
      <c r="Y36" s="2937"/>
      <c r="Z36" s="2937"/>
    </row>
    <row r="37" spans="1:26" s="1838" customFormat="1">
      <c r="A37" s="2944"/>
      <c r="C37" s="2945"/>
      <c r="E37" s="2944"/>
    </row>
    <row r="38" spans="1:26" s="1838" customFormat="1" ht="12.75" customHeight="1">
      <c r="A38" s="2944"/>
      <c r="C38" s="2945"/>
      <c r="E38" s="2944"/>
    </row>
    <row r="39" spans="1:26" s="1838" customFormat="1">
      <c r="A39" s="2944"/>
      <c r="C39" s="2945"/>
      <c r="E39" s="2944"/>
    </row>
    <row r="40" spans="1:26" s="1838" customFormat="1">
      <c r="A40" s="2944"/>
      <c r="C40" s="2945"/>
      <c r="E40" s="2944"/>
    </row>
    <row r="41" spans="1:26" s="1838" customFormat="1">
      <c r="A41" s="2944"/>
      <c r="C41" s="2945"/>
      <c r="E41" s="2944"/>
    </row>
    <row r="42" spans="1:26" s="1838" customFormat="1">
      <c r="A42" s="2944"/>
      <c r="C42" s="2945"/>
      <c r="E42" s="2944"/>
    </row>
    <row r="43" spans="1:26" s="1838" customFormat="1">
      <c r="A43" s="2944"/>
      <c r="C43" s="2945"/>
      <c r="E43" s="2944"/>
    </row>
    <row r="44" spans="1:26" s="1838" customFormat="1">
      <c r="A44" s="2944"/>
      <c r="C44" s="2945"/>
      <c r="E44" s="2944"/>
    </row>
    <row r="45" spans="1:26" s="1838" customFormat="1">
      <c r="A45" s="2944"/>
      <c r="C45" s="2945"/>
      <c r="E45" s="2944"/>
    </row>
    <row r="46" spans="1:26" s="1838" customFormat="1">
      <c r="A46" s="2944"/>
      <c r="C46" s="2945"/>
      <c r="E46" s="2944"/>
    </row>
    <row r="47" spans="1:26" s="1838" customFormat="1">
      <c r="A47" s="2944"/>
      <c r="C47" s="2945"/>
      <c r="E47" s="2944"/>
    </row>
    <row r="48" spans="1:26"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row r="212" spans="1:5" s="1838" customFormat="1">
      <c r="A212" s="2944"/>
      <c r="C212" s="2945"/>
      <c r="E212" s="2944"/>
    </row>
    <row r="213" spans="1:5" s="1838" customFormat="1">
      <c r="A213" s="2944"/>
      <c r="C213" s="2945"/>
      <c r="E213" s="2944"/>
    </row>
    <row r="214" spans="1:5" s="1838" customFormat="1">
      <c r="A214" s="2944"/>
      <c r="C214" s="2945"/>
      <c r="E214" s="2944"/>
    </row>
    <row r="215" spans="1:5" s="1838" customFormat="1">
      <c r="A215" s="2944"/>
      <c r="C215" s="2945"/>
      <c r="E215" s="2944"/>
    </row>
    <row r="216" spans="1:5" s="1838" customFormat="1">
      <c r="A216" s="2944"/>
      <c r="C216" s="2945"/>
      <c r="E216" s="2944"/>
    </row>
    <row r="217" spans="1:5" s="1838" customFormat="1">
      <c r="A217" s="2944"/>
      <c r="C217" s="2945"/>
      <c r="E217" s="2944"/>
    </row>
    <row r="218" spans="1:5" s="1838" customFormat="1">
      <c r="A218" s="2944"/>
      <c r="C218" s="2945"/>
      <c r="E218" s="2944"/>
    </row>
    <row r="219" spans="1:5" s="1838" customFormat="1">
      <c r="A219" s="2944"/>
      <c r="C219" s="2945"/>
      <c r="E219" s="2944"/>
    </row>
    <row r="220" spans="1:5" s="1838" customFormat="1">
      <c r="A220" s="2944"/>
      <c r="C220" s="2945"/>
      <c r="E220" s="2944"/>
    </row>
    <row r="221" spans="1:5" s="1838" customFormat="1">
      <c r="A221" s="2944"/>
      <c r="C221" s="2945"/>
      <c r="E221" s="2944"/>
    </row>
    <row r="222" spans="1:5" s="1838" customFormat="1">
      <c r="A222" s="2944"/>
      <c r="C222" s="2945"/>
      <c r="E222" s="2944"/>
    </row>
    <row r="223" spans="1:5" s="1838" customFormat="1">
      <c r="A223" s="2944"/>
      <c r="C223" s="2945"/>
      <c r="E223" s="2944"/>
    </row>
    <row r="224" spans="1:5" s="1838" customFormat="1">
      <c r="A224" s="2944"/>
      <c r="C224" s="2945"/>
      <c r="E224" s="2944"/>
    </row>
    <row r="225" spans="1:5" s="1838" customFormat="1">
      <c r="A225" s="2944"/>
      <c r="C225" s="2945"/>
      <c r="E225" s="2944"/>
    </row>
    <row r="226" spans="1:5" s="1838" customFormat="1">
      <c r="A226" s="2944"/>
      <c r="C226" s="2945"/>
      <c r="E226" s="2944"/>
    </row>
    <row r="227" spans="1:5" s="1838" customFormat="1">
      <c r="A227" s="2944"/>
      <c r="C227" s="2945"/>
      <c r="E227" s="2944"/>
    </row>
    <row r="228" spans="1:5" s="1838" customFormat="1">
      <c r="A228" s="2944"/>
      <c r="C228" s="2945"/>
      <c r="E228" s="2944"/>
    </row>
    <row r="229" spans="1:5" s="1838" customFormat="1">
      <c r="A229" s="2944"/>
      <c r="C229" s="2945"/>
      <c r="E229" s="2944"/>
    </row>
    <row r="230" spans="1:5" s="1838" customFormat="1">
      <c r="A230" s="2944"/>
      <c r="C230" s="2945"/>
      <c r="E230" s="2944"/>
    </row>
    <row r="231" spans="1:5" s="1838" customFormat="1">
      <c r="A231" s="2944"/>
      <c r="C231" s="2945"/>
      <c r="E231" s="2944"/>
    </row>
    <row r="232" spans="1:5" s="1838" customFormat="1">
      <c r="A232" s="2944"/>
      <c r="C232" s="2945"/>
      <c r="E232" s="2944"/>
    </row>
    <row r="233" spans="1:5" s="1838" customFormat="1">
      <c r="A233" s="2944"/>
      <c r="C233" s="2945"/>
      <c r="E233" s="2944"/>
    </row>
    <row r="234" spans="1:5" s="1838" customFormat="1">
      <c r="A234" s="2944"/>
      <c r="C234" s="2945"/>
      <c r="E234" s="2944"/>
    </row>
    <row r="235" spans="1:5" s="1838" customFormat="1">
      <c r="A235" s="2944"/>
      <c r="C235" s="2945"/>
      <c r="E235" s="2944"/>
    </row>
    <row r="236" spans="1:5" s="1838" customFormat="1">
      <c r="A236" s="2944"/>
      <c r="C236" s="2945"/>
      <c r="E236" s="2944"/>
    </row>
    <row r="237" spans="1:5" s="1838" customFormat="1">
      <c r="A237" s="2944"/>
      <c r="C237" s="2945"/>
      <c r="E237" s="2944"/>
    </row>
    <row r="238" spans="1:5" s="1838" customFormat="1">
      <c r="A238" s="2944"/>
      <c r="C238" s="2945"/>
      <c r="E238" s="2944"/>
    </row>
    <row r="239" spans="1:5" s="1838" customFormat="1">
      <c r="A239" s="2944"/>
      <c r="C239" s="2945"/>
      <c r="E239" s="2944"/>
    </row>
    <row r="240" spans="1:5" s="1838" customFormat="1">
      <c r="A240" s="2944"/>
      <c r="C240" s="2945"/>
      <c r="E240" s="2944"/>
    </row>
    <row r="241" spans="1:5" s="1838" customFormat="1">
      <c r="A241" s="2944"/>
      <c r="C241" s="2945"/>
      <c r="E241" s="2944"/>
    </row>
    <row r="242" spans="1:5" s="1838" customFormat="1">
      <c r="A242" s="2944"/>
      <c r="C242" s="2945"/>
      <c r="E242" s="2944"/>
    </row>
    <row r="243" spans="1:5" s="1838" customFormat="1">
      <c r="A243" s="2944"/>
      <c r="C243" s="2945"/>
      <c r="E243" s="2944"/>
    </row>
    <row r="244" spans="1:5" s="1838" customFormat="1">
      <c r="A244" s="2944"/>
      <c r="C244" s="2945"/>
      <c r="E244" s="2944"/>
    </row>
    <row r="245" spans="1:5" s="1838" customFormat="1">
      <c r="A245" s="2944"/>
      <c r="C245" s="2945"/>
      <c r="E245" s="2944"/>
    </row>
    <row r="246" spans="1:5" s="1838" customFormat="1">
      <c r="A246" s="2944"/>
      <c r="C246" s="2945"/>
      <c r="E246" s="2944"/>
    </row>
    <row r="247" spans="1:5" s="1838" customFormat="1">
      <c r="A247" s="2944"/>
      <c r="C247" s="2945"/>
      <c r="E247" s="2944"/>
    </row>
    <row r="248" spans="1:5" s="1838" customFormat="1">
      <c r="A248" s="2944"/>
      <c r="C248" s="2945"/>
      <c r="E248" s="2944"/>
    </row>
    <row r="249" spans="1:5" s="1838" customFormat="1">
      <c r="A249" s="2944"/>
      <c r="C249" s="2945"/>
      <c r="E249" s="2944"/>
    </row>
    <row r="250" spans="1:5" s="1838" customFormat="1">
      <c r="A250" s="2944"/>
      <c r="C250" s="2945"/>
      <c r="E250" s="2944"/>
    </row>
    <row r="251" spans="1:5" s="1838" customFormat="1">
      <c r="A251" s="2944"/>
      <c r="C251" s="2945"/>
      <c r="E251" s="2944"/>
    </row>
    <row r="252" spans="1:5" s="1838" customFormat="1">
      <c r="A252" s="2944"/>
      <c r="C252" s="2945"/>
      <c r="E252" s="2944"/>
    </row>
    <row r="253" spans="1:5" s="1838" customFormat="1">
      <c r="A253" s="2944"/>
      <c r="C253" s="2945"/>
      <c r="E253" s="2944"/>
    </row>
    <row r="254" spans="1:5" s="1838" customFormat="1">
      <c r="A254" s="2944"/>
      <c r="C254" s="2945"/>
      <c r="E254" s="2944"/>
    </row>
    <row r="255" spans="1:5" s="1838" customFormat="1">
      <c r="A255" s="2944"/>
      <c r="C255" s="2945"/>
      <c r="E255" s="2944"/>
    </row>
    <row r="256" spans="1:5" s="1838" customFormat="1">
      <c r="A256" s="2944"/>
      <c r="C256" s="2945"/>
      <c r="E256" s="2944"/>
    </row>
    <row r="257" spans="1:5" s="1838" customFormat="1">
      <c r="A257" s="2944"/>
      <c r="C257" s="2945"/>
      <c r="E257" s="2944"/>
    </row>
    <row r="258" spans="1:5" s="1838" customFormat="1">
      <c r="A258" s="2944"/>
      <c r="C258" s="2945"/>
      <c r="E258" s="2944"/>
    </row>
    <row r="259" spans="1:5" s="1838" customFormat="1">
      <c r="A259" s="2944"/>
      <c r="C259" s="2945"/>
      <c r="E259" s="2944"/>
    </row>
    <row r="260" spans="1:5" s="1838" customFormat="1">
      <c r="A260" s="2944"/>
      <c r="C260" s="2945"/>
      <c r="E260" s="2944"/>
    </row>
    <row r="261" spans="1:5" s="1838" customFormat="1">
      <c r="A261" s="2944"/>
      <c r="C261" s="2945"/>
      <c r="E261" s="2944"/>
    </row>
    <row r="262" spans="1:5" s="1838" customFormat="1">
      <c r="A262" s="2944"/>
      <c r="C262" s="2945"/>
      <c r="E262" s="2944"/>
    </row>
    <row r="263" spans="1:5" s="1838" customFormat="1">
      <c r="A263" s="2944"/>
      <c r="C263" s="2945"/>
      <c r="E263" s="2944"/>
    </row>
    <row r="264" spans="1:5" s="1838" customFormat="1">
      <c r="A264" s="2944"/>
      <c r="C264" s="2945"/>
      <c r="E264" s="2944"/>
    </row>
    <row r="265" spans="1:5" s="1838" customFormat="1">
      <c r="A265" s="2944"/>
      <c r="C265" s="2945"/>
      <c r="E265" s="2944"/>
    </row>
    <row r="266" spans="1:5" s="1838" customFormat="1">
      <c r="A266" s="2944"/>
      <c r="C266" s="2945"/>
      <c r="E266" s="2944"/>
    </row>
    <row r="267" spans="1:5" s="1838" customFormat="1">
      <c r="A267" s="2944"/>
      <c r="C267" s="2945"/>
      <c r="E267" s="2944"/>
    </row>
    <row r="268" spans="1:5" s="1838" customFormat="1">
      <c r="A268" s="2944"/>
      <c r="C268" s="2945"/>
      <c r="E268" s="2944"/>
    </row>
    <row r="269" spans="1:5" s="1838" customFormat="1">
      <c r="A269" s="2944"/>
      <c r="C269" s="2945"/>
      <c r="E269" s="2944"/>
    </row>
    <row r="270" spans="1:5" s="1838" customFormat="1">
      <c r="A270" s="2944"/>
      <c r="C270" s="2945"/>
      <c r="E270" s="2944"/>
    </row>
    <row r="271" spans="1:5" s="1838" customFormat="1">
      <c r="A271" s="2944"/>
      <c r="C271" s="2945"/>
      <c r="E271" s="2944"/>
    </row>
    <row r="272" spans="1:5" s="1838" customFormat="1">
      <c r="A272" s="2944"/>
      <c r="C272" s="2945"/>
      <c r="E272" s="2944"/>
    </row>
    <row r="273" spans="1:5" s="1838" customFormat="1">
      <c r="A273" s="2944"/>
      <c r="C273" s="2945"/>
      <c r="E273" s="2944"/>
    </row>
    <row r="274" spans="1:5" s="1838" customFormat="1">
      <c r="A274" s="2944"/>
      <c r="C274" s="2945"/>
      <c r="E274" s="2944"/>
    </row>
    <row r="275" spans="1:5" s="1838" customFormat="1">
      <c r="A275" s="2944"/>
      <c r="C275" s="2945"/>
      <c r="E275" s="2944"/>
    </row>
    <row r="276" spans="1:5" s="1838" customFormat="1">
      <c r="A276" s="2944"/>
      <c r="C276" s="2945"/>
      <c r="E276" s="2944"/>
    </row>
    <row r="277" spans="1:5" s="1838" customFormat="1">
      <c r="A277" s="2944"/>
      <c r="C277" s="2945"/>
      <c r="E277" s="2944"/>
    </row>
    <row r="278" spans="1:5" s="1838" customFormat="1">
      <c r="A278" s="2944"/>
      <c r="C278" s="2945"/>
      <c r="E278" s="2944"/>
    </row>
    <row r="279" spans="1:5" s="1838" customFormat="1">
      <c r="A279" s="2944"/>
      <c r="C279" s="2945"/>
      <c r="E279" s="2944"/>
    </row>
    <row r="280" spans="1:5" s="1838" customFormat="1">
      <c r="A280" s="2944"/>
      <c r="C280" s="2945"/>
      <c r="E280" s="2944"/>
    </row>
    <row r="281" spans="1:5" s="1838" customFormat="1">
      <c r="A281" s="2944"/>
      <c r="C281" s="2945"/>
      <c r="E281" s="2944"/>
    </row>
    <row r="282" spans="1:5" s="1838" customFormat="1">
      <c r="A282" s="2944"/>
      <c r="C282" s="2945"/>
      <c r="E282" s="2944"/>
    </row>
    <row r="283" spans="1:5" s="1838" customFormat="1">
      <c r="A283" s="2944"/>
      <c r="C283" s="2945"/>
      <c r="E283" s="2944"/>
    </row>
    <row r="284" spans="1:5" s="1838" customFormat="1">
      <c r="A284" s="2944"/>
      <c r="C284" s="2945"/>
      <c r="E284" s="2944"/>
    </row>
    <row r="285" spans="1:5" s="1838" customFormat="1">
      <c r="A285" s="2944"/>
      <c r="C285" s="2945"/>
      <c r="E285" s="2944"/>
    </row>
    <row r="286" spans="1:5" s="1838" customFormat="1">
      <c r="A286" s="2944"/>
      <c r="C286" s="2945"/>
      <c r="E286" s="2944"/>
    </row>
    <row r="287" spans="1:5" s="1838" customFormat="1">
      <c r="A287" s="2944"/>
      <c r="C287" s="2945"/>
      <c r="E287" s="2944"/>
    </row>
    <row r="288" spans="1:5" s="1838" customFormat="1">
      <c r="A288" s="2944"/>
      <c r="C288" s="2945"/>
      <c r="E288" s="2944"/>
    </row>
    <row r="289" spans="1:5" s="1838" customFormat="1">
      <c r="A289" s="2944"/>
      <c r="C289" s="2945"/>
      <c r="E289" s="2944"/>
    </row>
    <row r="290" spans="1:5" s="1838" customFormat="1">
      <c r="A290" s="2944"/>
      <c r="C290" s="2945"/>
      <c r="E290" s="2944"/>
    </row>
    <row r="291" spans="1:5" s="1838" customFormat="1">
      <c r="A291" s="2944"/>
      <c r="C291" s="2945"/>
      <c r="E291" s="2944"/>
    </row>
    <row r="292" spans="1:5" s="1838" customFormat="1">
      <c r="A292" s="2944"/>
      <c r="C292" s="2945"/>
      <c r="E292" s="2944"/>
    </row>
    <row r="293" spans="1:5" s="1838" customFormat="1">
      <c r="A293" s="2944"/>
      <c r="C293" s="2945"/>
      <c r="E293" s="2944"/>
    </row>
    <row r="294" spans="1:5" s="1838" customFormat="1">
      <c r="A294" s="2944"/>
      <c r="C294" s="2945"/>
      <c r="E294" s="2944"/>
    </row>
    <row r="295" spans="1:5" s="1838" customFormat="1">
      <c r="A295" s="2944"/>
      <c r="C295" s="2945"/>
      <c r="E295" s="2944"/>
    </row>
    <row r="296" spans="1:5" s="1838" customFormat="1">
      <c r="A296" s="2944"/>
      <c r="C296" s="2945"/>
      <c r="E296" s="2944"/>
    </row>
    <row r="297" spans="1:5" s="1838" customFormat="1">
      <c r="A297" s="2944"/>
      <c r="C297" s="2945"/>
      <c r="E297" s="2944"/>
    </row>
    <row r="298" spans="1:5" s="1838" customFormat="1">
      <c r="A298" s="2944"/>
      <c r="C298" s="2945"/>
      <c r="E298" s="2944"/>
    </row>
    <row r="299" spans="1:5" s="1838" customFormat="1">
      <c r="A299" s="2944"/>
      <c r="C299" s="2945"/>
      <c r="E299" s="2944"/>
    </row>
    <row r="300" spans="1:5" s="1838" customFormat="1">
      <c r="A300" s="2944"/>
      <c r="C300" s="2945"/>
      <c r="E300" s="2944"/>
    </row>
    <row r="301" spans="1:5" s="1838" customFormat="1">
      <c r="A301" s="2944"/>
      <c r="C301" s="2945"/>
      <c r="E301" s="2944"/>
    </row>
    <row r="302" spans="1:5" s="1838" customFormat="1">
      <c r="A302" s="2944"/>
      <c r="C302" s="2945"/>
      <c r="E302" s="2944"/>
    </row>
    <row r="303" spans="1:5" s="1838" customFormat="1">
      <c r="A303" s="2944"/>
      <c r="C303" s="2945"/>
      <c r="E303" s="2944"/>
    </row>
    <row r="304" spans="1:5" s="1838" customFormat="1">
      <c r="A304" s="2944"/>
      <c r="C304" s="2945"/>
      <c r="E304" s="2944"/>
    </row>
    <row r="305" spans="1:5" s="1838" customFormat="1">
      <c r="A305" s="2944"/>
      <c r="C305" s="2945"/>
      <c r="E305" s="2944"/>
    </row>
    <row r="306" spans="1:5" s="1838" customFormat="1">
      <c r="A306" s="2944"/>
      <c r="C306" s="2945"/>
      <c r="E306" s="2944"/>
    </row>
    <row r="307" spans="1:5" s="1838" customFormat="1">
      <c r="A307" s="2944"/>
      <c r="C307" s="2945"/>
      <c r="E307" s="2944"/>
    </row>
    <row r="308" spans="1:5" s="1838" customFormat="1">
      <c r="A308" s="2944"/>
      <c r="C308" s="2945"/>
      <c r="E308" s="2944"/>
    </row>
    <row r="309" spans="1:5" s="1838" customFormat="1">
      <c r="A309" s="2944"/>
      <c r="C309" s="2945"/>
      <c r="E309" s="2944"/>
    </row>
    <row r="310" spans="1:5" s="1838" customFormat="1">
      <c r="A310" s="2944"/>
      <c r="C310" s="2945"/>
      <c r="E310" s="2944"/>
    </row>
    <row r="311" spans="1:5" s="1838" customFormat="1">
      <c r="A311" s="2944"/>
      <c r="C311" s="2945"/>
      <c r="E311" s="2944"/>
    </row>
    <row r="312" spans="1:5" s="1838" customFormat="1">
      <c r="A312" s="2944"/>
      <c r="C312" s="2945"/>
      <c r="E312" s="2944"/>
    </row>
    <row r="313" spans="1:5" s="1838" customFormat="1">
      <c r="A313" s="2944"/>
      <c r="C313" s="2945"/>
      <c r="E313" s="2944"/>
    </row>
    <row r="314" spans="1:5" s="1838" customFormat="1">
      <c r="A314" s="2944"/>
      <c r="C314" s="2945"/>
      <c r="E314" s="2944"/>
    </row>
    <row r="315" spans="1:5" s="1838" customFormat="1">
      <c r="A315" s="2944"/>
      <c r="C315" s="2945"/>
      <c r="E315" s="2944"/>
    </row>
    <row r="316" spans="1:5" s="1838" customFormat="1">
      <c r="A316" s="2944"/>
      <c r="C316" s="2945"/>
      <c r="E316" s="2944"/>
    </row>
    <row r="317" spans="1:5" s="1838" customFormat="1">
      <c r="A317" s="2944"/>
      <c r="C317" s="2945"/>
      <c r="E317" s="2944"/>
    </row>
    <row r="318" spans="1:5" s="1838" customFormat="1">
      <c r="A318" s="2944"/>
      <c r="C318" s="2945"/>
      <c r="E318" s="2944"/>
    </row>
    <row r="319" spans="1:5" s="1838" customFormat="1">
      <c r="A319" s="2944"/>
      <c r="C319" s="2945"/>
      <c r="E319" s="2944"/>
    </row>
    <row r="320" spans="1:5" s="1838" customFormat="1">
      <c r="A320" s="2944"/>
      <c r="C320" s="2945"/>
      <c r="E320" s="2944"/>
    </row>
    <row r="321" spans="1:5" s="1838" customFormat="1">
      <c r="A321" s="2944"/>
      <c r="C321" s="2945"/>
      <c r="E321" s="2944"/>
    </row>
    <row r="322" spans="1:5" s="1838" customFormat="1">
      <c r="A322" s="2944"/>
      <c r="C322" s="2945"/>
      <c r="E322" s="2944"/>
    </row>
    <row r="323" spans="1:5" s="1838" customFormat="1">
      <c r="A323" s="2944"/>
      <c r="C323" s="2945"/>
      <c r="E323" s="2944"/>
    </row>
    <row r="324" spans="1:5" s="1838" customFormat="1">
      <c r="A324" s="2944"/>
      <c r="C324" s="2945"/>
      <c r="E324" s="2944"/>
    </row>
    <row r="325" spans="1:5" s="1838" customFormat="1">
      <c r="A325" s="2944"/>
      <c r="C325" s="2945"/>
      <c r="E325" s="2944"/>
    </row>
    <row r="326" spans="1:5" s="1838" customFormat="1">
      <c r="A326" s="2944"/>
      <c r="C326" s="2945"/>
      <c r="E326" s="2944"/>
    </row>
    <row r="327" spans="1:5" s="1838" customFormat="1">
      <c r="A327" s="2944"/>
      <c r="C327" s="2945"/>
      <c r="E327" s="2944"/>
    </row>
    <row r="328" spans="1:5" s="1838" customFormat="1">
      <c r="A328" s="2944"/>
      <c r="C328" s="2945"/>
      <c r="E328" s="2944"/>
    </row>
    <row r="329" spans="1:5" s="1838" customFormat="1">
      <c r="A329" s="2944"/>
      <c r="C329" s="2945"/>
      <c r="E329" s="2944"/>
    </row>
    <row r="330" spans="1:5" s="1838" customFormat="1">
      <c r="A330" s="2944"/>
      <c r="C330" s="2945"/>
      <c r="E330" s="2944"/>
    </row>
    <row r="331" spans="1:5" s="1838" customFormat="1">
      <c r="A331" s="2944"/>
      <c r="C331" s="2945"/>
      <c r="E331" s="2944"/>
    </row>
    <row r="332" spans="1:5" s="1838" customFormat="1">
      <c r="A332" s="2944"/>
      <c r="C332" s="2945"/>
      <c r="E332" s="2944"/>
    </row>
    <row r="333" spans="1:5" s="1838" customFormat="1">
      <c r="A333" s="2944"/>
      <c r="C333" s="2945"/>
      <c r="E333" s="2944"/>
    </row>
    <row r="334" spans="1:5" s="1838" customFormat="1">
      <c r="A334" s="2944"/>
      <c r="C334" s="2945"/>
      <c r="E334" s="2944"/>
    </row>
    <row r="335" spans="1:5" s="1838" customFormat="1">
      <c r="A335" s="2944"/>
      <c r="C335" s="2945"/>
      <c r="E335" s="2944"/>
    </row>
    <row r="336" spans="1:5" s="1838" customFormat="1">
      <c r="A336" s="2944"/>
      <c r="C336" s="2945"/>
      <c r="E336" s="2944"/>
    </row>
    <row r="337" spans="1:5" s="1838" customFormat="1">
      <c r="A337" s="2944"/>
      <c r="C337" s="2945"/>
      <c r="E337" s="2944"/>
    </row>
    <row r="338" spans="1:5" s="1838" customFormat="1">
      <c r="A338" s="2944"/>
      <c r="C338" s="2945"/>
      <c r="E338" s="2944"/>
    </row>
    <row r="339" spans="1:5" s="1838" customFormat="1">
      <c r="A339" s="2944"/>
      <c r="C339" s="2945"/>
      <c r="E339" s="2944"/>
    </row>
    <row r="340" spans="1:5" s="1838" customFormat="1">
      <c r="A340" s="2944"/>
      <c r="C340" s="2945"/>
      <c r="E340" s="2944"/>
    </row>
    <row r="341" spans="1:5" s="1838" customFormat="1">
      <c r="A341" s="2944"/>
      <c r="C341" s="2945"/>
      <c r="E341" s="2944"/>
    </row>
    <row r="342" spans="1:5" s="1838" customFormat="1">
      <c r="A342" s="2944"/>
      <c r="C342" s="2945"/>
      <c r="E342" s="2944"/>
    </row>
    <row r="343" spans="1:5" s="1838" customFormat="1">
      <c r="A343" s="2944"/>
      <c r="C343" s="2945"/>
      <c r="E343" s="2944"/>
    </row>
    <row r="344" spans="1:5" s="1838" customFormat="1">
      <c r="A344" s="2944"/>
      <c r="C344" s="2945"/>
      <c r="E344" s="2944"/>
    </row>
    <row r="345" spans="1:5" s="1838" customFormat="1">
      <c r="A345" s="2944"/>
      <c r="C345" s="2945"/>
      <c r="E345" s="2944"/>
    </row>
    <row r="346" spans="1:5" s="1838" customFormat="1">
      <c r="A346" s="2944"/>
      <c r="C346" s="2945"/>
      <c r="E346" s="2944"/>
    </row>
    <row r="347" spans="1:5" s="1838" customFormat="1">
      <c r="A347" s="2944"/>
      <c r="C347" s="2945"/>
      <c r="E347" s="2944"/>
    </row>
    <row r="348" spans="1:5" s="1838" customFormat="1">
      <c r="A348" s="2944"/>
      <c r="C348" s="2945"/>
      <c r="E348" s="2944"/>
    </row>
    <row r="349" spans="1:5" s="1838" customFormat="1">
      <c r="A349" s="2944"/>
      <c r="C349" s="2945"/>
      <c r="E349" s="2944"/>
    </row>
    <row r="350" spans="1:5" s="1838" customFormat="1">
      <c r="A350" s="2944"/>
      <c r="C350" s="2945"/>
      <c r="E350" s="2944"/>
    </row>
    <row r="351" spans="1:5" s="1838" customFormat="1">
      <c r="A351" s="2944"/>
      <c r="C351" s="2945"/>
      <c r="E351" s="2944"/>
    </row>
    <row r="352" spans="1:5" s="1838" customFormat="1">
      <c r="A352" s="2944"/>
      <c r="C352" s="2945"/>
      <c r="E352" s="2944"/>
    </row>
    <row r="353" spans="1:5" s="1838" customFormat="1">
      <c r="A353" s="2944"/>
      <c r="C353" s="2945"/>
      <c r="E353" s="2944"/>
    </row>
    <row r="354" spans="1:5" s="1838" customFormat="1">
      <c r="A354" s="2944"/>
      <c r="C354" s="2945"/>
      <c r="E354" s="2944"/>
    </row>
    <row r="355" spans="1:5" s="1838" customFormat="1">
      <c r="A355" s="2944"/>
      <c r="C355" s="2945"/>
      <c r="E355" s="2944"/>
    </row>
    <row r="356" spans="1:5" s="1838" customFormat="1">
      <c r="A356" s="2944"/>
      <c r="C356" s="2945"/>
      <c r="E356" s="2944"/>
    </row>
    <row r="357" spans="1:5" s="1838" customFormat="1">
      <c r="A357" s="2944"/>
      <c r="C357" s="2945"/>
      <c r="E357" s="2944"/>
    </row>
    <row r="358" spans="1:5" s="1838" customFormat="1">
      <c r="A358" s="2944"/>
      <c r="C358" s="2945"/>
      <c r="E358" s="2944"/>
    </row>
    <row r="359" spans="1:5" s="1838" customFormat="1">
      <c r="A359" s="2944"/>
      <c r="C359" s="2945"/>
      <c r="E359" s="2944"/>
    </row>
    <row r="360" spans="1:5" s="1838" customFormat="1">
      <c r="A360" s="2944"/>
      <c r="C360" s="2945"/>
      <c r="E360" s="2944"/>
    </row>
    <row r="361" spans="1:5" s="1838" customFormat="1">
      <c r="A361" s="2944"/>
      <c r="C361" s="2945"/>
      <c r="E361" s="2944"/>
    </row>
    <row r="362" spans="1:5" s="1838" customFormat="1">
      <c r="A362" s="2944"/>
      <c r="C362" s="2945"/>
      <c r="E362" s="2944"/>
    </row>
    <row r="363" spans="1:5" s="1838" customFormat="1">
      <c r="A363" s="2944"/>
      <c r="C363" s="2945"/>
      <c r="E363" s="2944"/>
    </row>
    <row r="364" spans="1:5" s="1838" customFormat="1">
      <c r="A364" s="2944"/>
      <c r="C364" s="2945"/>
      <c r="E364" s="2944"/>
    </row>
    <row r="365" spans="1:5" s="1838" customFormat="1">
      <c r="A365" s="2944"/>
      <c r="C365" s="2945"/>
      <c r="E365" s="2944"/>
    </row>
    <row r="366" spans="1:5" s="1838" customFormat="1">
      <c r="A366" s="2944"/>
      <c r="C366" s="2945"/>
      <c r="E366" s="2944"/>
    </row>
    <row r="367" spans="1:5" s="1838" customFormat="1">
      <c r="A367" s="2944"/>
      <c r="C367" s="2945"/>
      <c r="E367" s="2944"/>
    </row>
    <row r="368" spans="1:5" s="1838" customFormat="1">
      <c r="A368" s="2944"/>
      <c r="C368" s="2945"/>
      <c r="E368" s="2944"/>
    </row>
    <row r="369" spans="1:5" s="1838" customFormat="1">
      <c r="A369" s="2944"/>
      <c r="C369" s="2945"/>
      <c r="E369" s="2944"/>
    </row>
    <row r="370" spans="1:5" s="1838" customFormat="1">
      <c r="A370" s="2944"/>
      <c r="C370" s="2945"/>
      <c r="E370" s="2944"/>
    </row>
    <row r="371" spans="1:5" s="1838" customFormat="1">
      <c r="A371" s="2944"/>
      <c r="C371" s="2945"/>
      <c r="E371" s="2944"/>
    </row>
    <row r="372" spans="1:5" s="1838" customFormat="1">
      <c r="A372" s="2944"/>
      <c r="C372" s="2945"/>
      <c r="E372" s="2944"/>
    </row>
    <row r="373" spans="1:5" s="1838" customFormat="1">
      <c r="A373" s="2944"/>
      <c r="C373" s="2945"/>
      <c r="E373" s="2944"/>
    </row>
    <row r="374" spans="1:5" s="1838" customFormat="1">
      <c r="A374" s="2944"/>
      <c r="C374" s="2945"/>
      <c r="E374" s="2944"/>
    </row>
    <row r="375" spans="1:5" s="1838" customFormat="1">
      <c r="A375" s="2944"/>
      <c r="C375" s="2945"/>
      <c r="E375" s="2944"/>
    </row>
    <row r="376" spans="1:5" s="1838" customFormat="1">
      <c r="A376" s="2944"/>
      <c r="C376" s="2945"/>
      <c r="E376" s="2944"/>
    </row>
    <row r="377" spans="1:5" s="1838" customFormat="1">
      <c r="A377" s="2944"/>
      <c r="C377" s="2945"/>
      <c r="E377" s="2944"/>
    </row>
    <row r="378" spans="1:5" s="1838" customFormat="1">
      <c r="A378" s="2944"/>
      <c r="C378" s="2945"/>
      <c r="E378" s="2944"/>
    </row>
    <row r="379" spans="1:5" s="1838" customFormat="1">
      <c r="A379" s="2944"/>
      <c r="C379" s="2945"/>
      <c r="E379" s="2944"/>
    </row>
    <row r="380" spans="1:5" s="1838" customFormat="1">
      <c r="A380" s="2944"/>
      <c r="C380" s="2945"/>
      <c r="E380" s="2944"/>
    </row>
    <row r="381" spans="1:5" s="1838" customFormat="1">
      <c r="A381" s="2944"/>
      <c r="C381" s="2945"/>
      <c r="E381" s="2944"/>
    </row>
    <row r="382" spans="1:5" s="1838" customFormat="1">
      <c r="A382" s="2944"/>
      <c r="C382" s="2945"/>
      <c r="E382" s="2944"/>
    </row>
    <row r="383" spans="1:5" s="1838" customFormat="1">
      <c r="A383" s="2944"/>
      <c r="C383" s="2945"/>
      <c r="E383" s="2944"/>
    </row>
    <row r="384" spans="1:5" s="1838" customFormat="1">
      <c r="A384" s="2944"/>
      <c r="C384" s="2945"/>
      <c r="E384" s="2944"/>
    </row>
    <row r="385" spans="1:5" s="1838" customFormat="1">
      <c r="A385" s="2944"/>
      <c r="C385" s="2945"/>
      <c r="E385" s="2944"/>
    </row>
    <row r="386" spans="1:5" s="1838" customFormat="1">
      <c r="A386" s="2944"/>
      <c r="C386" s="2945"/>
      <c r="E386" s="2944"/>
    </row>
    <row r="387" spans="1:5" s="1838" customFormat="1">
      <c r="A387" s="2944"/>
      <c r="C387" s="2945"/>
      <c r="E387" s="2944"/>
    </row>
    <row r="388" spans="1:5" s="1838" customFormat="1">
      <c r="A388" s="2944"/>
      <c r="C388" s="2945"/>
      <c r="E388" s="2944"/>
    </row>
    <row r="389" spans="1:5" s="1838" customFormat="1">
      <c r="A389" s="2944"/>
      <c r="C389" s="2945"/>
      <c r="E389" s="2944"/>
    </row>
    <row r="390" spans="1:5" s="1838" customFormat="1">
      <c r="A390" s="2944"/>
      <c r="C390" s="2945"/>
      <c r="E390" s="2944"/>
    </row>
    <row r="391" spans="1:5" s="1838" customFormat="1">
      <c r="A391" s="2944"/>
      <c r="C391" s="2945"/>
      <c r="E391" s="2944"/>
    </row>
    <row r="392" spans="1:5" s="1838" customFormat="1">
      <c r="A392" s="2944"/>
      <c r="C392" s="2945"/>
      <c r="E392" s="2944"/>
    </row>
    <row r="393" spans="1:5" s="1838" customFormat="1">
      <c r="A393" s="2944"/>
      <c r="C393" s="2945"/>
      <c r="E393" s="2944"/>
    </row>
    <row r="394" spans="1:5" s="1838" customFormat="1">
      <c r="A394" s="2944"/>
      <c r="C394" s="2945"/>
      <c r="E394" s="2944"/>
    </row>
    <row r="395" spans="1:5" s="1838" customFormat="1">
      <c r="A395" s="2944"/>
      <c r="C395" s="2945"/>
      <c r="E395" s="2944"/>
    </row>
    <row r="396" spans="1:5" s="1838" customFormat="1">
      <c r="A396" s="2944"/>
      <c r="C396" s="2945"/>
      <c r="E396" s="2944"/>
    </row>
    <row r="397" spans="1:5" s="1838" customFormat="1">
      <c r="A397" s="2944"/>
      <c r="C397" s="2945"/>
      <c r="E397" s="2944"/>
    </row>
    <row r="398" spans="1:5" s="1838" customFormat="1">
      <c r="A398" s="2944"/>
      <c r="C398" s="2945"/>
      <c r="E398" s="2944"/>
    </row>
    <row r="399" spans="1:5" s="1838" customFormat="1">
      <c r="A399" s="2944"/>
      <c r="C399" s="2945"/>
      <c r="E399" s="2944"/>
    </row>
    <row r="400" spans="1:5" s="1838" customFormat="1">
      <c r="A400" s="2944"/>
      <c r="C400" s="2945"/>
      <c r="E400" s="2944"/>
    </row>
    <row r="401" spans="1:5" s="1838" customFormat="1">
      <c r="A401" s="2944"/>
      <c r="C401" s="2945"/>
      <c r="E401" s="2944"/>
    </row>
    <row r="402" spans="1:5" s="1838" customFormat="1">
      <c r="A402" s="2944"/>
      <c r="C402" s="2945"/>
      <c r="E402" s="2944"/>
    </row>
    <row r="403" spans="1:5" s="1838" customFormat="1">
      <c r="A403" s="2944"/>
      <c r="C403" s="2945"/>
      <c r="E403" s="2944"/>
    </row>
    <row r="404" spans="1:5" s="1838" customFormat="1">
      <c r="A404" s="2944"/>
      <c r="C404" s="2945"/>
      <c r="E404" s="2944"/>
    </row>
    <row r="405" spans="1:5" s="1838" customFormat="1">
      <c r="A405" s="2944"/>
      <c r="C405" s="2945"/>
      <c r="E405" s="2944"/>
    </row>
    <row r="406" spans="1:5" s="1838" customFormat="1">
      <c r="A406" s="2944"/>
      <c r="C406" s="2945"/>
      <c r="E406" s="2944"/>
    </row>
    <row r="407" spans="1:5" s="1838" customFormat="1">
      <c r="A407" s="2944"/>
      <c r="C407" s="2945"/>
      <c r="E407" s="2944"/>
    </row>
    <row r="408" spans="1:5" s="1838" customFormat="1">
      <c r="A408" s="2944"/>
      <c r="C408" s="2945"/>
      <c r="E408" s="2944"/>
    </row>
    <row r="409" spans="1:5" s="1838" customFormat="1">
      <c r="A409" s="2944"/>
      <c r="C409" s="2945"/>
      <c r="E409" s="2944"/>
    </row>
    <row r="410" spans="1:5" s="1838" customFormat="1">
      <c r="A410" s="2944"/>
      <c r="C410" s="2945"/>
      <c r="E410" s="2944"/>
    </row>
    <row r="411" spans="1:5" s="1838" customFormat="1">
      <c r="A411" s="2944"/>
      <c r="C411" s="2945"/>
      <c r="E411" s="2944"/>
    </row>
    <row r="412" spans="1:5" s="1838" customFormat="1">
      <c r="A412" s="2944"/>
      <c r="C412" s="2945"/>
      <c r="E412" s="2944"/>
    </row>
    <row r="413" spans="1:5" s="1838" customFormat="1">
      <c r="A413" s="2944"/>
      <c r="C413" s="2945"/>
      <c r="E413" s="2944"/>
    </row>
    <row r="414" spans="1:5" s="1838" customFormat="1">
      <c r="A414" s="2944"/>
      <c r="C414" s="2945"/>
      <c r="E414" s="2944"/>
    </row>
    <row r="415" spans="1:5" s="1838" customFormat="1">
      <c r="A415" s="2944"/>
      <c r="C415" s="2945"/>
      <c r="E415" s="2944"/>
    </row>
    <row r="416" spans="1:5" s="1838" customFormat="1">
      <c r="A416" s="2944"/>
      <c r="C416" s="2945"/>
      <c r="E416" s="2944"/>
    </row>
    <row r="417" spans="1:5" s="1838" customFormat="1">
      <c r="A417" s="2944"/>
      <c r="C417" s="2945"/>
      <c r="E417" s="2944"/>
    </row>
    <row r="418" spans="1:5" s="1838" customFormat="1">
      <c r="A418" s="2944"/>
      <c r="C418" s="2945"/>
      <c r="E418" s="2944"/>
    </row>
    <row r="419" spans="1:5" s="1838" customFormat="1">
      <c r="A419" s="2944"/>
      <c r="C419" s="2945"/>
      <c r="E419" s="2944"/>
    </row>
    <row r="420" spans="1:5" s="1838" customFormat="1">
      <c r="A420" s="2944"/>
      <c r="C420" s="2945"/>
      <c r="E420" s="2944"/>
    </row>
    <row r="421" spans="1:5" s="1838" customFormat="1">
      <c r="A421" s="2944"/>
      <c r="C421" s="2945"/>
      <c r="E421" s="2944"/>
    </row>
    <row r="422" spans="1:5" s="1838" customFormat="1">
      <c r="A422" s="2944"/>
      <c r="C422" s="2945"/>
      <c r="E422" s="2944"/>
    </row>
    <row r="423" spans="1:5" s="1838" customFormat="1">
      <c r="A423" s="2944"/>
      <c r="C423" s="2945"/>
      <c r="E423" s="2944"/>
    </row>
    <row r="424" spans="1:5" s="1838" customFormat="1">
      <c r="A424" s="2944"/>
      <c r="C424" s="2945"/>
      <c r="E424" s="2944"/>
    </row>
    <row r="425" spans="1:5" s="1838" customFormat="1">
      <c r="A425" s="2944"/>
      <c r="C425" s="2945"/>
      <c r="E425" s="2944"/>
    </row>
    <row r="426" spans="1:5" s="1838" customFormat="1">
      <c r="A426" s="2944"/>
      <c r="C426" s="2945"/>
      <c r="E426" s="2944"/>
    </row>
    <row r="427" spans="1:5" s="1838" customFormat="1">
      <c r="A427" s="2944"/>
      <c r="C427" s="2945"/>
      <c r="E427" s="2944"/>
    </row>
    <row r="428" spans="1:5" s="1838" customFormat="1">
      <c r="A428" s="2944"/>
      <c r="C428" s="2945"/>
      <c r="E428" s="2944"/>
    </row>
    <row r="429" spans="1:5" s="1838" customFormat="1">
      <c r="A429" s="2944"/>
      <c r="C429" s="2945"/>
      <c r="E429" s="2944"/>
    </row>
    <row r="430" spans="1:5" s="1838" customFormat="1">
      <c r="A430" s="2944"/>
      <c r="C430" s="2945"/>
      <c r="E430" s="2944"/>
    </row>
    <row r="431" spans="1:5" s="1838" customFormat="1">
      <c r="A431" s="2944"/>
      <c r="C431" s="2945"/>
      <c r="E431" s="2944"/>
    </row>
    <row r="432" spans="1:5" s="1838" customFormat="1">
      <c r="A432" s="2944"/>
      <c r="C432" s="2945"/>
      <c r="E432" s="2944"/>
    </row>
    <row r="433" spans="1:5" s="1838" customFormat="1">
      <c r="A433" s="2944"/>
      <c r="C433" s="2945"/>
      <c r="E433" s="2944"/>
    </row>
    <row r="434" spans="1:5" s="1838" customFormat="1">
      <c r="A434" s="2944"/>
      <c r="C434" s="2945"/>
      <c r="E434" s="2944"/>
    </row>
    <row r="435" spans="1:5" s="1838" customFormat="1">
      <c r="A435" s="2944"/>
      <c r="C435" s="2945"/>
      <c r="E435" s="2944"/>
    </row>
    <row r="436" spans="1:5" s="1838" customFormat="1">
      <c r="A436" s="2944"/>
      <c r="C436" s="2945"/>
      <c r="E436" s="2944"/>
    </row>
    <row r="437" spans="1:5" s="1838" customFormat="1">
      <c r="A437" s="2944"/>
      <c r="C437" s="2945"/>
      <c r="E437" s="2944"/>
    </row>
    <row r="438" spans="1:5" s="1838" customFormat="1">
      <c r="A438" s="2944"/>
      <c r="C438" s="2945"/>
      <c r="E438" s="2944"/>
    </row>
    <row r="439" spans="1:5" s="1838" customFormat="1">
      <c r="A439" s="2944"/>
      <c r="C439" s="2945"/>
      <c r="E439" s="2944"/>
    </row>
    <row r="440" spans="1:5" s="1838" customFormat="1">
      <c r="A440" s="2944"/>
      <c r="C440" s="2945"/>
      <c r="E440" s="2944"/>
    </row>
    <row r="441" spans="1:5" s="1838" customFormat="1">
      <c r="A441" s="2944"/>
      <c r="C441" s="2945"/>
      <c r="E441" s="2944"/>
    </row>
    <row r="442" spans="1:5" s="1838" customFormat="1">
      <c r="A442" s="2944"/>
      <c r="C442" s="2945"/>
      <c r="E442" s="2944"/>
    </row>
    <row r="443" spans="1:5" s="1838" customFormat="1">
      <c r="A443" s="2944"/>
      <c r="C443" s="2945"/>
      <c r="E443" s="2944"/>
    </row>
    <row r="444" spans="1:5" s="1838" customFormat="1">
      <c r="A444" s="2944"/>
      <c r="C444" s="2945"/>
      <c r="E444" s="2944"/>
    </row>
    <row r="445" spans="1:5" s="1838" customFormat="1">
      <c r="A445" s="2944"/>
      <c r="C445" s="2945"/>
      <c r="E445" s="2944"/>
    </row>
    <row r="446" spans="1:5" s="1838" customFormat="1">
      <c r="A446" s="2944"/>
      <c r="C446" s="2945"/>
      <c r="E446" s="2944"/>
    </row>
    <row r="447" spans="1:5" s="1838" customFormat="1">
      <c r="A447" s="2944"/>
      <c r="C447" s="2945"/>
      <c r="E447" s="2944"/>
    </row>
    <row r="448" spans="1:5" s="1838" customFormat="1">
      <c r="A448" s="2944"/>
      <c r="C448" s="2945"/>
      <c r="E448" s="2944"/>
    </row>
    <row r="449" spans="1:5" s="1838" customFormat="1">
      <c r="A449" s="2944"/>
      <c r="C449" s="2945"/>
      <c r="E449" s="2944"/>
    </row>
    <row r="450" spans="1:5" s="1838" customFormat="1">
      <c r="A450" s="2944"/>
      <c r="C450" s="2945"/>
      <c r="E450" s="2944"/>
    </row>
    <row r="451" spans="1:5" s="1838" customFormat="1">
      <c r="A451" s="2944"/>
      <c r="C451" s="2945"/>
      <c r="E451" s="2944"/>
    </row>
    <row r="452" spans="1:5" s="1838" customFormat="1">
      <c r="A452" s="2944"/>
      <c r="C452" s="2945"/>
      <c r="E452" s="2944"/>
    </row>
    <row r="453" spans="1:5" s="1838" customFormat="1">
      <c r="A453" s="2944"/>
      <c r="C453" s="2945"/>
      <c r="E453" s="2944"/>
    </row>
    <row r="454" spans="1:5" s="1838" customFormat="1">
      <c r="A454" s="2944"/>
      <c r="C454" s="2945"/>
      <c r="E454" s="2944"/>
    </row>
    <row r="455" spans="1:5" s="1838" customFormat="1">
      <c r="A455" s="2944"/>
      <c r="C455" s="2945"/>
      <c r="E455" s="2944"/>
    </row>
    <row r="456" spans="1:5" s="1838" customFormat="1">
      <c r="A456" s="2944"/>
      <c r="C456" s="2945"/>
      <c r="E456" s="2944"/>
    </row>
    <row r="457" spans="1:5" s="1838" customFormat="1">
      <c r="A457" s="2944"/>
      <c r="C457" s="2945"/>
      <c r="E457" s="2944"/>
    </row>
    <row r="458" spans="1:5" s="1838" customFormat="1">
      <c r="A458" s="2944"/>
      <c r="C458" s="2945"/>
      <c r="E458" s="2944"/>
    </row>
    <row r="459" spans="1:5" s="1838" customFormat="1">
      <c r="A459" s="2944"/>
      <c r="C459" s="2945"/>
      <c r="E459" s="2944"/>
    </row>
    <row r="460" spans="1:5" s="1838" customFormat="1">
      <c r="A460" s="2944"/>
      <c r="C460" s="2945"/>
      <c r="E460" s="2944"/>
    </row>
    <row r="461" spans="1:5" s="1838" customFormat="1">
      <c r="A461" s="2944"/>
      <c r="C461" s="2945"/>
      <c r="E461" s="2944"/>
    </row>
    <row r="462" spans="1:5" s="1838" customFormat="1">
      <c r="A462" s="2944"/>
      <c r="C462" s="2945"/>
      <c r="E462" s="2944"/>
    </row>
    <row r="463" spans="1:5" s="1838" customFormat="1">
      <c r="A463" s="2944"/>
      <c r="C463" s="2945"/>
      <c r="E463" s="2944"/>
    </row>
    <row r="464" spans="1:5" s="1838" customFormat="1">
      <c r="A464" s="2944"/>
      <c r="C464" s="2945"/>
      <c r="E464" s="2944"/>
    </row>
    <row r="465" spans="1:5" s="1838" customFormat="1">
      <c r="A465" s="2944"/>
      <c r="C465" s="2945"/>
      <c r="E465" s="2944"/>
    </row>
    <row r="466" spans="1:5" s="1838" customFormat="1">
      <c r="A466" s="2944"/>
      <c r="C466" s="2945"/>
      <c r="E466" s="2944"/>
    </row>
    <row r="467" spans="1:5" s="1838" customFormat="1">
      <c r="A467" s="2944"/>
      <c r="C467" s="2945"/>
      <c r="E467" s="2944"/>
    </row>
    <row r="468" spans="1:5" s="1838" customFormat="1">
      <c r="A468" s="2944"/>
      <c r="C468" s="2945"/>
      <c r="E468" s="2944"/>
    </row>
    <row r="469" spans="1:5" s="1838" customFormat="1">
      <c r="A469" s="2944"/>
      <c r="C469" s="2945"/>
      <c r="E469" s="2944"/>
    </row>
    <row r="470" spans="1:5" s="1838" customFormat="1">
      <c r="A470" s="2944"/>
      <c r="C470" s="2945"/>
      <c r="E470" s="2944"/>
    </row>
    <row r="471" spans="1:5" s="1838" customFormat="1">
      <c r="A471" s="2944"/>
      <c r="C471" s="2945"/>
      <c r="E471" s="2944"/>
    </row>
    <row r="472" spans="1:5" s="1838" customFormat="1">
      <c r="A472" s="2944"/>
      <c r="C472" s="2945"/>
      <c r="E472" s="2944"/>
    </row>
    <row r="473" spans="1:5" s="1838" customFormat="1">
      <c r="A473" s="2944"/>
      <c r="C473" s="2945"/>
      <c r="E473" s="2944"/>
    </row>
    <row r="474" spans="1:5" s="1838" customFormat="1">
      <c r="A474" s="2944"/>
      <c r="C474" s="2945"/>
      <c r="E474" s="2944"/>
    </row>
    <row r="475" spans="1:5" s="1838" customFormat="1">
      <c r="A475" s="2944"/>
      <c r="C475" s="2945"/>
      <c r="E475" s="2944"/>
    </row>
    <row r="476" spans="1:5" s="1838" customFormat="1">
      <c r="A476" s="2944"/>
      <c r="C476" s="2945"/>
      <c r="E476" s="2944"/>
    </row>
    <row r="477" spans="1:5" s="1838" customFormat="1">
      <c r="A477" s="2944"/>
      <c r="C477" s="2945"/>
      <c r="E477" s="2944"/>
    </row>
    <row r="478" spans="1:5" s="1838" customFormat="1">
      <c r="A478" s="2944"/>
      <c r="C478" s="2945"/>
      <c r="E478" s="2944"/>
    </row>
    <row r="479" spans="1:5" s="1838" customFormat="1">
      <c r="A479" s="2944"/>
      <c r="C479" s="2945"/>
      <c r="E479" s="2944"/>
    </row>
    <row r="480" spans="1:5" s="1838" customFormat="1">
      <c r="A480" s="2944"/>
      <c r="C480" s="2945"/>
      <c r="E480" s="2944"/>
    </row>
    <row r="481" spans="1:5" s="1838" customFormat="1">
      <c r="A481" s="2944"/>
      <c r="C481" s="2945"/>
      <c r="E481" s="2944"/>
    </row>
    <row r="482" spans="1:5" s="1838" customFormat="1">
      <c r="A482" s="2944"/>
      <c r="C482" s="2945"/>
      <c r="E482" s="2944"/>
    </row>
    <row r="483" spans="1:5" s="1838" customFormat="1">
      <c r="A483" s="2944"/>
      <c r="C483" s="2945"/>
      <c r="E483" s="2944"/>
    </row>
    <row r="484" spans="1:5" s="1838" customFormat="1">
      <c r="A484" s="2944"/>
      <c r="C484" s="2945"/>
      <c r="E484" s="2944"/>
    </row>
    <row r="485" spans="1:5" s="1838" customFormat="1">
      <c r="A485" s="2944"/>
      <c r="C485" s="2945"/>
      <c r="E485" s="2944"/>
    </row>
    <row r="486" spans="1:5" s="1838" customFormat="1">
      <c r="A486" s="2944"/>
      <c r="C486" s="2945"/>
      <c r="E486" s="2944"/>
    </row>
    <row r="487" spans="1:5" s="1838" customFormat="1">
      <c r="A487" s="2944"/>
      <c r="C487" s="2945"/>
      <c r="E487" s="2944"/>
    </row>
    <row r="488" spans="1:5" s="1838" customFormat="1">
      <c r="A488" s="2944"/>
      <c r="C488" s="2945"/>
      <c r="E488" s="2944"/>
    </row>
    <row r="489" spans="1:5" s="1838" customFormat="1">
      <c r="A489" s="2944"/>
      <c r="C489" s="2945"/>
      <c r="E489" s="2944"/>
    </row>
    <row r="490" spans="1:5" s="1838" customFormat="1">
      <c r="A490" s="2944"/>
      <c r="C490" s="2945"/>
      <c r="E490" s="2944"/>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897" t="str">
        <f>项目基本情况!B1</f>
        <v>北京市划拨国有建设用地使用权市场价格预评估</v>
      </c>
      <c r="C37" s="3897"/>
      <c r="D37" s="3897"/>
      <c r="E37" s="3897"/>
      <c r="F37" s="3897"/>
      <c r="G37" s="3897"/>
      <c r="H37" s="3897"/>
      <c r="I37" s="3897"/>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-1447.1135696303297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-1348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-1348</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-90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6"/>
      <c r="M6" s="2936"/>
      <c r="N6" s="2936"/>
      <c r="O6" s="2936"/>
      <c r="P6" s="2936"/>
      <c r="Q6" s="2936"/>
      <c r="R6" s="2936"/>
      <c r="S6" s="2936"/>
      <c r="T6" s="2936"/>
      <c r="U6" s="2936"/>
      <c r="V6" s="2936"/>
      <c r="W6" s="2936"/>
      <c r="X6" s="2936"/>
      <c r="Y6" s="2936"/>
      <c r="Z6" s="2936"/>
    </row>
    <row r="7" spans="1:41" s="1836" customFormat="1" ht="14.4">
      <c r="A7" s="421" t="s">
        <v>430</v>
      </c>
      <c r="B7" s="422" t="s">
        <v>431</v>
      </c>
      <c r="C7" s="3053"/>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6"/>
      <c r="M11" s="2936"/>
      <c r="N11" s="2936"/>
      <c r="O11" s="2936"/>
      <c r="P11" s="2936"/>
      <c r="Q11" s="2936"/>
      <c r="R11" s="2936"/>
      <c r="S11" s="2936"/>
      <c r="T11" s="2936"/>
      <c r="U11" s="2936"/>
      <c r="V11" s="2936"/>
      <c r="W11" s="2936"/>
      <c r="X11" s="2936"/>
      <c r="Y11" s="2936"/>
      <c r="Z11" s="2936"/>
    </row>
    <row r="12" spans="1:41" s="1808" customFormat="1" ht="13.5" customHeight="1">
      <c r="A12" s="421" t="s">
        <v>430</v>
      </c>
      <c r="B12" s="430" t="s">
        <v>431</v>
      </c>
      <c r="C12" s="431" t="s">
        <v>435</v>
      </c>
      <c r="D12" s="432" t="s">
        <v>436</v>
      </c>
      <c r="E12" s="432" t="s">
        <v>437</v>
      </c>
      <c r="F12" s="432" t="s">
        <v>438</v>
      </c>
      <c r="G12" s="430"/>
      <c r="H12" s="433"/>
      <c r="I12" s="433"/>
      <c r="J12" s="433"/>
      <c r="K12" s="434"/>
      <c r="L12" s="2937"/>
      <c r="M12" s="2937"/>
      <c r="N12" s="2937"/>
      <c r="O12" s="2937"/>
      <c r="P12" s="2937"/>
      <c r="Q12" s="2937"/>
      <c r="R12" s="2937"/>
      <c r="S12" s="2937"/>
      <c r="T12" s="2937"/>
      <c r="U12" s="2937"/>
      <c r="V12" s="2937"/>
      <c r="W12" s="2937"/>
      <c r="X12" s="2937"/>
      <c r="Y12" s="2937"/>
      <c r="Z12" s="2937"/>
    </row>
    <row r="13" spans="1:41" s="1839" customFormat="1" ht="13.5" customHeight="1">
      <c r="A13" s="1440" t="s">
        <v>1377</v>
      </c>
      <c r="B13" s="435" t="s">
        <v>439</v>
      </c>
      <c r="C13" s="436">
        <f ca="1">IF(B1="",'数据-取费表'!M16,INDIRECT("'数据-取费表'!M"&amp;$K$1)+INDIRECT("'数据-取费表'!t"&amp;$K$1))</f>
        <v>2148</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64</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215</v>
      </c>
      <c r="D16" s="437">
        <f ca="1">IF(B1="",'数据-汇总表'!E3,INDIRECT("'数据-取费表'!K"&amp;$K$1)+INDIRECT("'数据-取费表'!S"&amp;$K$1))</f>
        <v>10738.85</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32</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2459</v>
      </c>
      <c r="D18" s="447"/>
      <c r="E18" s="448"/>
      <c r="F18" s="448"/>
      <c r="G18" s="1195" t="s">
        <v>1783</v>
      </c>
      <c r="H18" s="433"/>
      <c r="I18" s="433"/>
      <c r="J18" s="433"/>
      <c r="K18" s="434"/>
      <c r="L18" s="2939"/>
      <c r="M18" s="2939"/>
      <c r="N18" s="2939"/>
      <c r="O18" s="2939"/>
      <c r="P18" s="2939"/>
      <c r="Q18" s="2939"/>
      <c r="R18" s="2939"/>
      <c r="S18" s="2939"/>
      <c r="T18" s="2939"/>
      <c r="U18" s="2939"/>
      <c r="V18" s="2939"/>
      <c r="W18" s="2939"/>
      <c r="X18" s="2939"/>
      <c r="Y18" s="2939"/>
      <c r="Z18" s="2939"/>
    </row>
    <row r="19" spans="1:26" s="1842" customFormat="1" ht="13.5" customHeight="1">
      <c r="A19" s="1441" t="s">
        <v>1383</v>
      </c>
      <c r="B19" s="445" t="s">
        <v>453</v>
      </c>
      <c r="C19" s="446">
        <f ca="1">ROUND(C18*F19,0)</f>
        <v>49</v>
      </c>
      <c r="D19" s="447"/>
      <c r="E19" s="448"/>
      <c r="F19" s="452">
        <f>'数据-取费表'!B37</f>
        <v>0.02</v>
      </c>
      <c r="G19" s="430" t="s">
        <v>463</v>
      </c>
      <c r="H19" s="433"/>
      <c r="I19" s="433"/>
      <c r="J19" s="433"/>
      <c r="K19" s="434"/>
      <c r="L19" s="2941"/>
      <c r="M19" s="2941"/>
      <c r="N19" s="2941"/>
      <c r="O19" s="2939"/>
      <c r="P19" s="2939"/>
      <c r="Q19" s="2939"/>
      <c r="R19" s="2939"/>
      <c r="S19" s="2939"/>
      <c r="T19" s="2939"/>
      <c r="U19" s="2939"/>
      <c r="V19" s="2939"/>
      <c r="W19" s="2939"/>
      <c r="X19" s="2939"/>
      <c r="Y19" s="2939"/>
      <c r="Z19" s="2939"/>
    </row>
    <row r="20" spans="1:26" s="1844" customFormat="1" ht="13.5" customHeight="1">
      <c r="A20" s="1441" t="s">
        <v>1384</v>
      </c>
      <c r="B20" s="447" t="s">
        <v>454</v>
      </c>
      <c r="C20" s="456">
        <f ca="1">ROUND(IF('数据-取费表'!B22&lt;=1,(C18+C19)*F20*'数据-取费表'!B20/2,(C18+C19)*(POWER((1+F20),'数据-取费表'!B20/2)-1)),0)</f>
        <v>27</v>
      </c>
      <c r="D20" s="448">
        <f ca="1">ROUND(((1+F20)^'数据-取费表'!B20)-1,4)</f>
        <v>2.1499999999999998E-2</v>
      </c>
      <c r="E20" s="448"/>
      <c r="F20" s="457">
        <f ca="1">'数据-取费表'!B40</f>
        <v>4.3500000000000004E-2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7" t="s">
        <v>1800</v>
      </c>
      <c r="M20" s="2948"/>
      <c r="N20" s="2948"/>
      <c r="O20" s="2948"/>
      <c r="P20" s="2948"/>
      <c r="Q20" s="2941"/>
      <c r="R20" s="2941"/>
      <c r="S20" s="2941"/>
      <c r="T20" s="2941"/>
      <c r="U20" s="2941"/>
      <c r="V20" s="2941"/>
      <c r="W20" s="2941"/>
      <c r="X20" s="2941"/>
      <c r="Y20" s="2941"/>
      <c r="Z20" s="2941"/>
    </row>
    <row r="21" spans="1:26" s="1843" customFormat="1" ht="13.5" customHeight="1">
      <c r="A21" s="1441" t="s">
        <v>2296</v>
      </c>
      <c r="B21" s="2502" t="s">
        <v>2107</v>
      </c>
      <c r="C21" s="464">
        <f ca="1">ROUND((C18+C19)*F21,0)</f>
        <v>376</v>
      </c>
      <c r="D21" s="3025"/>
      <c r="E21" s="448"/>
      <c r="F21" s="465">
        <f ca="1">IF(B1="",'数据-取费表'!Q16,INDIRECT("'数据-取费表'!q"&amp;$K$1))</f>
        <v>0.15</v>
      </c>
      <c r="G21" s="430"/>
      <c r="H21" s="433"/>
      <c r="I21" s="433"/>
      <c r="J21" s="433"/>
      <c r="K21" s="434"/>
      <c r="L21" s="2940"/>
      <c r="M21" s="2940"/>
      <c r="N21" s="2940"/>
      <c r="O21" s="2940"/>
      <c r="P21" s="2940"/>
      <c r="Q21" s="2940"/>
      <c r="R21" s="2940"/>
      <c r="S21" s="2940"/>
      <c r="T21" s="2940"/>
      <c r="U21" s="2940"/>
      <c r="V21" s="2940"/>
      <c r="W21" s="2940"/>
      <c r="X21" s="2940"/>
      <c r="Y21" s="2940"/>
      <c r="Z21" s="2940"/>
    </row>
    <row r="22" spans="1:26" s="1844" customFormat="1" ht="13.5" customHeight="1">
      <c r="A22" s="1441" t="s">
        <v>1388</v>
      </c>
      <c r="B22" s="462" t="s">
        <v>464</v>
      </c>
      <c r="C22" s="469"/>
      <c r="D22" s="469"/>
      <c r="E22" s="470"/>
      <c r="F22" s="3027">
        <f ca="1">IF(B1="",'数据-取费表'!N16,INDIRECT("'数据-取费表'!N"&amp;$K$1))</f>
        <v>0.6</v>
      </c>
      <c r="G22" s="430"/>
      <c r="H22" s="433"/>
      <c r="I22" s="433"/>
      <c r="J22" s="433"/>
      <c r="K22" s="434"/>
      <c r="L22" s="2941"/>
      <c r="M22" s="2941"/>
      <c r="N22" s="2941"/>
      <c r="O22" s="2941"/>
      <c r="P22" s="2941"/>
      <c r="Q22" s="2941"/>
      <c r="R22" s="2941"/>
      <c r="S22" s="2941"/>
      <c r="T22" s="2941"/>
      <c r="U22" s="2941"/>
      <c r="V22" s="2941"/>
      <c r="W22" s="2941"/>
      <c r="X22" s="2941"/>
      <c r="Y22" s="2941"/>
      <c r="Z22" s="2941"/>
    </row>
    <row r="23" spans="1:26" s="1844" customFormat="1" ht="13.5" customHeight="1" thickBot="1">
      <c r="A23" s="3028" t="s">
        <v>1389</v>
      </c>
      <c r="B23" s="3029" t="s">
        <v>2297</v>
      </c>
      <c r="C23" s="3030">
        <f ca="1">ROUND((C18+C19+C20+C21)*F22,0)</f>
        <v>1747</v>
      </c>
      <c r="D23" s="3031"/>
      <c r="E23" s="3032"/>
      <c r="F23" s="471"/>
      <c r="G23" s="422"/>
      <c r="H23" s="3033"/>
      <c r="I23" s="3033"/>
      <c r="J23" s="3033"/>
      <c r="K23" s="3034"/>
      <c r="L23" s="2941"/>
      <c r="M23" s="2941"/>
      <c r="N23" s="2941"/>
      <c r="O23" s="2941"/>
      <c r="P23" s="2941"/>
      <c r="Q23" s="2941"/>
      <c r="R23" s="2941"/>
      <c r="S23" s="2941"/>
      <c r="T23" s="2941"/>
      <c r="U23" s="2941"/>
      <c r="V23" s="2941"/>
      <c r="W23" s="2941"/>
      <c r="X23" s="2941"/>
      <c r="Y23" s="2941"/>
      <c r="Z23" s="2941"/>
    </row>
    <row r="24" spans="1:26" s="1844" customFormat="1" ht="13.5" customHeight="1" thickBot="1">
      <c r="A24" s="4070" t="s">
        <v>1394</v>
      </c>
      <c r="B24" s="4071"/>
      <c r="C24" s="3035">
        <f>ROUND(C6*F24/(1+'数据-取费表'!B42),0)</f>
        <v>0</v>
      </c>
      <c r="D24" s="3036"/>
      <c r="E24" s="3037"/>
      <c r="F24" s="3038">
        <f>'数据-取费表'!B41</f>
        <v>5.6000000000000001E-2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4" customFormat="1" ht="13.5" customHeight="1" thickBot="1">
      <c r="A25" s="4070" t="s">
        <v>2294</v>
      </c>
      <c r="B25" s="4071"/>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9" customFormat="1" ht="13.5" customHeight="1" thickBot="1">
      <c r="A26" s="4070" t="s">
        <v>2295</v>
      </c>
      <c r="B26" s="4071"/>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4072" t="s">
        <v>2293</v>
      </c>
      <c r="B27" s="4073"/>
      <c r="C27" s="3043">
        <f ca="1">(C6-C23-C24-C25)/((1+F26)*(1+D20+F21))</f>
        <v>-1447.1135696303297</v>
      </c>
      <c r="D27" s="3044"/>
      <c r="E27" s="3044"/>
      <c r="F27" s="3044"/>
      <c r="G27" s="3045" t="s">
        <v>2229</v>
      </c>
      <c r="H27" s="3044"/>
      <c r="I27" s="3044"/>
      <c r="J27" s="3044"/>
      <c r="K27" s="3046"/>
    </row>
    <row r="28" spans="1:26" s="1838" customFormat="1">
      <c r="A28" s="2944"/>
      <c r="C28" s="2945"/>
      <c r="E28" s="2944"/>
    </row>
    <row r="29" spans="1:26" s="1838" customFormat="1" ht="12.75" customHeight="1">
      <c r="A29" s="2944"/>
      <c r="C29" s="2945"/>
      <c r="E29" s="2944"/>
    </row>
    <row r="30" spans="1:26" s="1838" customFormat="1">
      <c r="A30" s="2944"/>
      <c r="C30" s="2945"/>
      <c r="E30" s="2944"/>
    </row>
    <row r="31" spans="1:26" s="1838" customFormat="1">
      <c r="A31" s="2944"/>
      <c r="C31" s="2945"/>
      <c r="E31" s="2944"/>
    </row>
    <row r="32" spans="1:26" s="1838" customFormat="1">
      <c r="A32" s="2944"/>
      <c r="C32" s="2945"/>
      <c r="E32" s="2944"/>
    </row>
    <row r="33" spans="1:5" s="1838" customFormat="1">
      <c r="A33" s="2944"/>
      <c r="C33" s="2945"/>
      <c r="E33" s="2944"/>
    </row>
    <row r="34" spans="1:5" s="1838" customFormat="1">
      <c r="A34" s="2944"/>
      <c r="C34" s="2945"/>
      <c r="E34" s="2944"/>
    </row>
    <row r="35" spans="1:5" s="1838" customFormat="1">
      <c r="A35" s="2944"/>
      <c r="C35" s="2945"/>
      <c r="E35" s="2944"/>
    </row>
    <row r="36" spans="1:5" s="1838" customFormat="1">
      <c r="A36" s="2944"/>
      <c r="C36" s="2945"/>
      <c r="E36" s="2944"/>
    </row>
    <row r="37" spans="1:5" s="1838" customFormat="1">
      <c r="A37" s="2944"/>
      <c r="C37" s="2945"/>
      <c r="E37" s="2944"/>
    </row>
    <row r="38" spans="1:5" s="1838" customFormat="1">
      <c r="A38" s="2944"/>
      <c r="C38" s="2945"/>
      <c r="E38" s="2944"/>
    </row>
    <row r="39" spans="1:5" s="1838" customFormat="1">
      <c r="A39" s="2944"/>
      <c r="C39" s="2945"/>
      <c r="E39" s="2944"/>
    </row>
    <row r="40" spans="1:5" s="1838" customFormat="1">
      <c r="A40" s="2944"/>
      <c r="C40" s="2945"/>
      <c r="E40" s="2944"/>
    </row>
    <row r="41" spans="1:5" s="1838" customFormat="1">
      <c r="A41" s="2944"/>
      <c r="C41" s="2945"/>
      <c r="E41" s="2944"/>
    </row>
    <row r="42" spans="1:5" s="1838" customFormat="1">
      <c r="A42" s="2944"/>
      <c r="C42" s="2945"/>
      <c r="E42" s="2944"/>
    </row>
    <row r="43" spans="1:5" s="1838" customFormat="1">
      <c r="A43" s="2944"/>
      <c r="C43" s="2945"/>
      <c r="E43" s="2944"/>
    </row>
    <row r="44" spans="1:5" s="1838" customFormat="1">
      <c r="A44" s="2944"/>
      <c r="C44" s="2945"/>
      <c r="E44" s="2944"/>
    </row>
    <row r="45" spans="1:5" s="1838" customFormat="1">
      <c r="A45" s="2944"/>
      <c r="C45" s="2945"/>
      <c r="E45" s="2944"/>
    </row>
    <row r="46" spans="1:5" s="1838" customFormat="1">
      <c r="A46" s="2944"/>
      <c r="C46" s="2945"/>
      <c r="E46" s="2944"/>
    </row>
    <row r="47" spans="1:5" s="1838" customFormat="1">
      <c r="A47" s="2944"/>
      <c r="C47" s="2945"/>
      <c r="E47" s="2944"/>
    </row>
    <row r="48" spans="1:5"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9"/>
      <c r="M1" s="2950"/>
      <c r="N1" s="2950"/>
      <c r="O1" s="2950"/>
      <c r="P1" s="1855"/>
      <c r="Q1" s="1855"/>
      <c r="R1" s="1855"/>
      <c r="S1" s="1855"/>
      <c r="T1" s="1855"/>
      <c r="U1" s="1855"/>
      <c r="V1" s="1855"/>
      <c r="W1" s="1855"/>
      <c r="X1" s="1855"/>
      <c r="Y1" s="1855"/>
      <c r="Z1" s="1855"/>
      <c r="AA1" s="1855"/>
      <c r="AB1" s="1855"/>
      <c r="AC1" s="2951"/>
      <c r="AD1" s="1196"/>
    </row>
    <row r="2" spans="1:30" s="1197" customFormat="1" ht="28.5" customHeight="1">
      <c r="A2" s="410" t="s">
        <v>427</v>
      </c>
      <c r="B2" s="478" t="e">
        <f>F67</f>
        <v>#DIV/0!</v>
      </c>
      <c r="C2" s="2959"/>
      <c r="D2" s="2959"/>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c r="AD2" s="1196"/>
    </row>
    <row r="3" spans="1:30" s="1197" customFormat="1" ht="28.5" customHeight="1">
      <c r="A3" s="1237" t="s">
        <v>1217</v>
      </c>
      <c r="B3" s="480" t="e">
        <f>ROUND(B2*10000/'数据-汇总表'!E3,0)</f>
        <v>#DIV/0!</v>
      </c>
      <c r="C3" s="2960"/>
      <c r="D3" s="2964"/>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2952"/>
      <c r="AC3" s="1785"/>
    </row>
    <row r="4" spans="1:30" s="1197" customFormat="1" ht="28.5" customHeight="1">
      <c r="A4" s="481" t="s">
        <v>469</v>
      </c>
      <c r="B4" s="414" t="e">
        <f>IF(B48="单位面积地价",C50,ROUND(B2*10000/'数据-汇总表'!D3,0))</f>
        <v>#DIV/0!</v>
      </c>
      <c r="C4" s="2960"/>
      <c r="D4" s="2964"/>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4097" t="s">
        <v>471</v>
      </c>
      <c r="D6" s="4098"/>
      <c r="E6" s="4097" t="s">
        <v>472</v>
      </c>
      <c r="F6" s="4098"/>
      <c r="G6" s="4097" t="s">
        <v>473</v>
      </c>
      <c r="H6" s="4098"/>
      <c r="I6" s="4097" t="s">
        <v>474</v>
      </c>
      <c r="J6" s="4098"/>
      <c r="K6" s="484" t="s">
        <v>475</v>
      </c>
      <c r="L6" s="1856"/>
      <c r="M6" s="1855"/>
      <c r="N6" s="1855"/>
      <c r="O6" s="1857"/>
      <c r="P6" s="4099" t="s">
        <v>476</v>
      </c>
      <c r="Q6" s="4100"/>
      <c r="R6" s="4083" t="s">
        <v>472</v>
      </c>
      <c r="S6" s="4084"/>
      <c r="T6" s="4083" t="s">
        <v>473</v>
      </c>
      <c r="U6" s="4084"/>
      <c r="V6" s="4105" t="s">
        <v>474</v>
      </c>
      <c r="W6" s="4105"/>
      <c r="X6" s="1380"/>
      <c r="Y6" s="4083" t="s">
        <v>476</v>
      </c>
      <c r="Z6" s="4084"/>
      <c r="AA6" s="4078" t="s">
        <v>472</v>
      </c>
      <c r="AB6" s="4079" t="s">
        <v>473</v>
      </c>
      <c r="AC6" s="4078" t="s">
        <v>474</v>
      </c>
    </row>
    <row r="7" spans="1:30" ht="21">
      <c r="A7" s="485"/>
      <c r="B7" s="486"/>
      <c r="C7" s="4108" t="s">
        <v>2190</v>
      </c>
      <c r="D7" s="4109"/>
      <c r="E7" s="4108" t="s">
        <v>2191</v>
      </c>
      <c r="F7" s="4109"/>
      <c r="G7" s="4108" t="s">
        <v>2192</v>
      </c>
      <c r="H7" s="4109"/>
      <c r="I7" s="4108" t="s">
        <v>2193</v>
      </c>
      <c r="J7" s="4109"/>
      <c r="K7" s="484"/>
      <c r="L7" s="1856"/>
      <c r="M7" s="1855"/>
      <c r="N7" s="1855"/>
      <c r="O7" s="1857"/>
      <c r="P7" s="4101"/>
      <c r="Q7" s="4102"/>
      <c r="R7" s="4085"/>
      <c r="S7" s="4086"/>
      <c r="T7" s="4085"/>
      <c r="U7" s="4086"/>
      <c r="V7" s="4105"/>
      <c r="W7" s="4105"/>
      <c r="X7" s="1380"/>
      <c r="Y7" s="4085"/>
      <c r="Z7" s="4086"/>
      <c r="AA7" s="4079"/>
      <c r="AB7" s="4079"/>
      <c r="AC7" s="4079"/>
    </row>
    <row r="8" spans="1:30" ht="21.6" thickBot="1">
      <c r="A8" s="485"/>
      <c r="B8" s="486"/>
      <c r="C8" s="4110" t="s">
        <v>2194</v>
      </c>
      <c r="D8" s="4111"/>
      <c r="E8" s="4110" t="s">
        <v>2194</v>
      </c>
      <c r="F8" s="4111"/>
      <c r="G8" s="4106" t="s">
        <v>2194</v>
      </c>
      <c r="H8" s="4107"/>
      <c r="I8" s="4106" t="s">
        <v>2194</v>
      </c>
      <c r="J8" s="4107"/>
      <c r="K8" s="484" t="s">
        <v>477</v>
      </c>
      <c r="L8" s="1856"/>
      <c r="M8" s="1855"/>
      <c r="N8" s="1855"/>
      <c r="O8" s="1857"/>
      <c r="P8" s="4103"/>
      <c r="Q8" s="4104"/>
      <c r="R8" s="4085"/>
      <c r="S8" s="4086"/>
      <c r="T8" s="4087"/>
      <c r="U8" s="4088"/>
      <c r="V8" s="4105"/>
      <c r="W8" s="4105"/>
      <c r="X8" s="1380"/>
      <c r="Y8" s="4087"/>
      <c r="Z8" s="4088"/>
      <c r="AA8" s="4080"/>
      <c r="AB8" s="4080"/>
      <c r="AC8" s="4080"/>
    </row>
    <row r="9" spans="1:30" s="1118" customFormat="1" ht="21.6" thickBot="1">
      <c r="A9" s="2391"/>
      <c r="B9" s="2398" t="s">
        <v>478</v>
      </c>
      <c r="C9" s="2390">
        <f>'数据-取费表'!B2</f>
        <v>45744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4081" t="s">
        <v>479</v>
      </c>
      <c r="Q9" s="4090"/>
      <c r="R9" s="1381" t="s">
        <v>5</v>
      </c>
      <c r="S9" s="1382">
        <f t="shared" ref="S9:S17" si="0">F9</f>
        <v>0</v>
      </c>
      <c r="T9" s="1381" t="s">
        <v>5</v>
      </c>
      <c r="U9" s="1382">
        <f t="shared" ref="U9:U17" si="1">H9</f>
        <v>0</v>
      </c>
      <c r="V9" s="1381" t="s">
        <v>5</v>
      </c>
      <c r="W9" s="1382">
        <f t="shared" ref="W9:W17" si="2">J9</f>
        <v>0</v>
      </c>
      <c r="X9" s="1383"/>
      <c r="Y9" s="4081" t="s">
        <v>479</v>
      </c>
      <c r="Z9" s="4082"/>
      <c r="AA9" s="1384" t="e">
        <f>D9/F9</f>
        <v>#DIV/0!</v>
      </c>
      <c r="AB9" s="1384" t="e">
        <f>D9/H9</f>
        <v>#DIV/0!</v>
      </c>
      <c r="AC9" s="1384" t="e">
        <f>D9/J9</f>
        <v>#DIV/0!</v>
      </c>
    </row>
    <row r="10" spans="1:30" s="1118" customFormat="1" ht="21.6"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4081" t="s">
        <v>482</v>
      </c>
      <c r="Q10" s="4082"/>
      <c r="R10" s="1381" t="s">
        <v>5</v>
      </c>
      <c r="S10" s="1382">
        <f t="shared" si="0"/>
        <v>0</v>
      </c>
      <c r="T10" s="1381" t="s">
        <v>5</v>
      </c>
      <c r="U10" s="1382">
        <f t="shared" si="1"/>
        <v>0</v>
      </c>
      <c r="V10" s="1381" t="s">
        <v>5</v>
      </c>
      <c r="W10" s="1382">
        <f t="shared" si="2"/>
        <v>0</v>
      </c>
      <c r="X10" s="1383"/>
      <c r="Y10" s="4081" t="s">
        <v>482</v>
      </c>
      <c r="Z10" s="4082"/>
      <c r="AA10" s="1384" t="e">
        <f t="shared" ref="AA10:AA47" si="3">D10/F10</f>
        <v>#DIV/0!</v>
      </c>
      <c r="AB10" s="1384" t="e">
        <f t="shared" ref="AB10:AB47" si="4">D10/H10</f>
        <v>#DIV/0!</v>
      </c>
      <c r="AC10" s="1384" t="e">
        <f t="shared" ref="AC10:AC47" si="5">D10/J10</f>
        <v>#DIV/0!</v>
      </c>
    </row>
    <row r="11" spans="1:30" s="1118" customFormat="1" ht="21">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4089" t="s">
        <v>484</v>
      </c>
      <c r="Q11" s="1050" t="str">
        <f t="shared" ref="Q11:Q17" si="6">B11</f>
        <v>用途</v>
      </c>
      <c r="R11" s="1381" t="s">
        <v>5</v>
      </c>
      <c r="S11" s="1382">
        <f t="shared" si="0"/>
        <v>100</v>
      </c>
      <c r="T11" s="1381" t="s">
        <v>5</v>
      </c>
      <c r="U11" s="1382">
        <f t="shared" si="1"/>
        <v>100</v>
      </c>
      <c r="V11" s="1381" t="s">
        <v>5</v>
      </c>
      <c r="W11" s="1382">
        <f t="shared" si="2"/>
        <v>100</v>
      </c>
      <c r="X11" s="1383"/>
      <c r="Y11" s="4035" t="s">
        <v>485</v>
      </c>
      <c r="Z11" s="1049" t="str">
        <f t="shared" ref="Z11:Z17" si="7">Q11</f>
        <v>用途</v>
      </c>
      <c r="AA11" s="1384">
        <f t="shared" si="3"/>
        <v>1</v>
      </c>
      <c r="AB11" s="1384">
        <f t="shared" si="4"/>
        <v>1</v>
      </c>
      <c r="AC11" s="1384">
        <f t="shared" si="5"/>
        <v>1</v>
      </c>
    </row>
    <row r="12" spans="1:30" s="1199" customFormat="1" ht="28.8">
      <c r="A12" s="2394"/>
      <c r="B12" s="2399"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4089"/>
      <c r="Q12" s="1050" t="str">
        <f t="shared" si="6"/>
        <v>土地使用年限（年）</v>
      </c>
      <c r="R12" s="1381" t="s">
        <v>5</v>
      </c>
      <c r="S12" s="1382">
        <f t="shared" si="0"/>
        <v>100</v>
      </c>
      <c r="T12" s="1381" t="s">
        <v>5</v>
      </c>
      <c r="U12" s="1382">
        <f t="shared" si="1"/>
        <v>100</v>
      </c>
      <c r="V12" s="1381" t="s">
        <v>5</v>
      </c>
      <c r="W12" s="1382">
        <f t="shared" si="2"/>
        <v>100</v>
      </c>
      <c r="X12" s="1383"/>
      <c r="Y12" s="4035"/>
      <c r="Z12" s="1049" t="str">
        <f t="shared" si="7"/>
        <v>土地使用年限（年）</v>
      </c>
      <c r="AA12" s="1384">
        <f t="shared" si="3"/>
        <v>1</v>
      </c>
      <c r="AB12" s="1384">
        <f t="shared" si="4"/>
        <v>1</v>
      </c>
      <c r="AC12" s="1384">
        <f t="shared" si="5"/>
        <v>1</v>
      </c>
    </row>
    <row r="13" spans="1:30" ht="21">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4089"/>
      <c r="Q13" s="1050" t="str">
        <f t="shared" si="6"/>
        <v>容积率</v>
      </c>
      <c r="R13" s="1381" t="s">
        <v>5</v>
      </c>
      <c r="S13" s="1382" t="e">
        <f t="shared" si="0"/>
        <v>#N/A</v>
      </c>
      <c r="T13" s="1381" t="s">
        <v>5</v>
      </c>
      <c r="U13" s="1382" t="e">
        <f t="shared" si="1"/>
        <v>#N/A</v>
      </c>
      <c r="V13" s="1381" t="s">
        <v>5</v>
      </c>
      <c r="W13" s="1382" t="e">
        <f t="shared" si="2"/>
        <v>#N/A</v>
      </c>
      <c r="X13" s="1383"/>
      <c r="Y13" s="4035"/>
      <c r="Z13" s="1049" t="str">
        <f t="shared" si="7"/>
        <v>容积率</v>
      </c>
      <c r="AA13" s="1384" t="e">
        <f t="shared" si="3"/>
        <v>#N/A</v>
      </c>
      <c r="AB13" s="1384" t="e">
        <f t="shared" si="4"/>
        <v>#N/A</v>
      </c>
      <c r="AC13" s="1384" t="e">
        <f t="shared" si="5"/>
        <v>#N/A</v>
      </c>
    </row>
    <row r="14" spans="1:30" s="1118" customFormat="1" ht="21">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4089"/>
      <c r="Q14" s="1050" t="str">
        <f t="shared" si="6"/>
        <v>配建</v>
      </c>
      <c r="R14" s="1381" t="s">
        <v>5</v>
      </c>
      <c r="S14" s="1382">
        <f t="shared" si="0"/>
        <v>100</v>
      </c>
      <c r="T14" s="1381" t="s">
        <v>5</v>
      </c>
      <c r="U14" s="1382">
        <f t="shared" si="1"/>
        <v>100</v>
      </c>
      <c r="V14" s="1381" t="s">
        <v>5</v>
      </c>
      <c r="W14" s="1382">
        <f t="shared" si="2"/>
        <v>100</v>
      </c>
      <c r="X14" s="1383"/>
      <c r="Y14" s="4035"/>
      <c r="Z14" s="1049" t="str">
        <f t="shared" si="7"/>
        <v>配建</v>
      </c>
      <c r="AA14" s="1384">
        <f>D14/F14</f>
        <v>1</v>
      </c>
      <c r="AB14" s="1384">
        <f>D14/H14</f>
        <v>1</v>
      </c>
      <c r="AC14" s="1384">
        <f>D14/J14</f>
        <v>1</v>
      </c>
    </row>
    <row r="15" spans="1:30" ht="2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4089"/>
      <c r="Q15" s="1050">
        <f t="shared" si="6"/>
        <v>111</v>
      </c>
      <c r="R15" s="1381" t="s">
        <v>5</v>
      </c>
      <c r="S15" s="1382">
        <f t="shared" si="0"/>
        <v>100</v>
      </c>
      <c r="T15" s="1381" t="s">
        <v>5</v>
      </c>
      <c r="U15" s="1382">
        <f t="shared" si="1"/>
        <v>100</v>
      </c>
      <c r="V15" s="1381" t="s">
        <v>5</v>
      </c>
      <c r="W15" s="1382">
        <f t="shared" si="2"/>
        <v>100</v>
      </c>
      <c r="X15" s="1383"/>
      <c r="Y15" s="4035"/>
      <c r="Z15" s="1049">
        <f t="shared" si="7"/>
        <v>111</v>
      </c>
      <c r="AA15" s="1384">
        <f>D15/F15</f>
        <v>1</v>
      </c>
      <c r="AB15" s="1384">
        <f>D15/H15</f>
        <v>1</v>
      </c>
      <c r="AC15" s="1384">
        <f>D15/J15</f>
        <v>1</v>
      </c>
    </row>
    <row r="16" spans="1:30" ht="21.6"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4089"/>
      <c r="Q16" s="1050">
        <f t="shared" si="6"/>
        <v>111</v>
      </c>
      <c r="R16" s="1381" t="s">
        <v>5</v>
      </c>
      <c r="S16" s="1382">
        <f t="shared" si="0"/>
        <v>100</v>
      </c>
      <c r="T16" s="1381" t="s">
        <v>5</v>
      </c>
      <c r="U16" s="1382">
        <f t="shared" si="1"/>
        <v>100</v>
      </c>
      <c r="V16" s="1381" t="s">
        <v>5</v>
      </c>
      <c r="W16" s="1382">
        <f t="shared" si="2"/>
        <v>100</v>
      </c>
      <c r="X16" s="1383"/>
      <c r="Y16" s="4035"/>
      <c r="Z16" s="1049">
        <f t="shared" si="7"/>
        <v>111</v>
      </c>
      <c r="AA16" s="1384">
        <f>D16/F16</f>
        <v>1</v>
      </c>
      <c r="AB16" s="1384">
        <f>D16/H16</f>
        <v>1</v>
      </c>
      <c r="AC16" s="1384">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4091" t="s">
        <v>489</v>
      </c>
      <c r="Q17" s="1385" t="str">
        <f t="shared" si="6"/>
        <v>居住社区成熟度</v>
      </c>
      <c r="R17" s="1386" t="s">
        <v>5</v>
      </c>
      <c r="S17" s="1387">
        <f t="shared" si="0"/>
        <v>100</v>
      </c>
      <c r="T17" s="1386" t="s">
        <v>5</v>
      </c>
      <c r="U17" s="1387">
        <f t="shared" si="1"/>
        <v>100</v>
      </c>
      <c r="V17" s="1386" t="s">
        <v>5</v>
      </c>
      <c r="W17" s="1387">
        <f t="shared" si="2"/>
        <v>100</v>
      </c>
      <c r="X17" s="1380"/>
      <c r="Y17" s="4091"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4092"/>
      <c r="Q18" s="1385"/>
      <c r="R18" s="1386"/>
      <c r="S18" s="1387"/>
      <c r="T18" s="1386"/>
      <c r="U18" s="1387"/>
      <c r="V18" s="1386"/>
      <c r="W18" s="1387"/>
      <c r="X18" s="1380"/>
      <c r="Y18" s="4092"/>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4092"/>
      <c r="Q19" s="1385" t="str">
        <f>B19</f>
        <v>商业繁华度</v>
      </c>
      <c r="R19" s="1386" t="s">
        <v>5</v>
      </c>
      <c r="S19" s="1387">
        <f>F19</f>
        <v>100</v>
      </c>
      <c r="T19" s="1386" t="s">
        <v>5</v>
      </c>
      <c r="U19" s="1387">
        <f>H19</f>
        <v>100</v>
      </c>
      <c r="V19" s="1386" t="s">
        <v>5</v>
      </c>
      <c r="W19" s="1387">
        <f>J19</f>
        <v>100</v>
      </c>
      <c r="X19" s="1380"/>
      <c r="Y19" s="4092"/>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4092"/>
      <c r="Q20" s="1385"/>
      <c r="R20" s="1386"/>
      <c r="S20" s="1387"/>
      <c r="T20" s="1386"/>
      <c r="U20" s="1387"/>
      <c r="V20" s="1386"/>
      <c r="W20" s="1387"/>
      <c r="X20" s="1380"/>
      <c r="Y20" s="4092"/>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4092"/>
      <c r="Q21" s="1385" t="str">
        <f>B21</f>
        <v>办公集聚程度</v>
      </c>
      <c r="R21" s="1386" t="s">
        <v>5</v>
      </c>
      <c r="S21" s="1387">
        <f>F21</f>
        <v>100</v>
      </c>
      <c r="T21" s="1386" t="s">
        <v>5</v>
      </c>
      <c r="U21" s="1387">
        <f>H21</f>
        <v>100</v>
      </c>
      <c r="V21" s="1386" t="s">
        <v>5</v>
      </c>
      <c r="W21" s="1387">
        <f>J21</f>
        <v>100</v>
      </c>
      <c r="X21" s="1380"/>
      <c r="Y21" s="4092"/>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4092"/>
      <c r="Q22" s="1385"/>
      <c r="R22" s="1386"/>
      <c r="S22" s="1387"/>
      <c r="T22" s="1386"/>
      <c r="U22" s="1387"/>
      <c r="V22" s="1386"/>
      <c r="W22" s="1387"/>
      <c r="X22" s="1380"/>
      <c r="Y22" s="4092"/>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4092"/>
      <c r="Q23" s="1385" t="str">
        <f>B23</f>
        <v>交通便捷度</v>
      </c>
      <c r="R23" s="1386" t="s">
        <v>5</v>
      </c>
      <c r="S23" s="1387">
        <f>F23</f>
        <v>100</v>
      </c>
      <c r="T23" s="1386" t="s">
        <v>5</v>
      </c>
      <c r="U23" s="1387">
        <f>H23</f>
        <v>100</v>
      </c>
      <c r="V23" s="1386" t="s">
        <v>5</v>
      </c>
      <c r="W23" s="1387">
        <f>J23</f>
        <v>100</v>
      </c>
      <c r="X23" s="1380"/>
      <c r="Y23" s="4092"/>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4092"/>
      <c r="Q24" s="1385"/>
      <c r="R24" s="1386"/>
      <c r="S24" s="1387"/>
      <c r="T24" s="1386"/>
      <c r="U24" s="1387"/>
      <c r="V24" s="1386"/>
      <c r="W24" s="1387"/>
      <c r="X24" s="1380"/>
      <c r="Y24" s="4092"/>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4092"/>
      <c r="Q25" s="1385" t="str">
        <f t="shared" ref="Q25:Q39" si="8">B25</f>
        <v>区域土地利用方向</v>
      </c>
      <c r="R25" s="1386" t="s">
        <v>5</v>
      </c>
      <c r="S25" s="1387">
        <f>F25</f>
        <v>100</v>
      </c>
      <c r="T25" s="1386" t="s">
        <v>5</v>
      </c>
      <c r="U25" s="1387">
        <f>H25</f>
        <v>100</v>
      </c>
      <c r="V25" s="1386" t="s">
        <v>5</v>
      </c>
      <c r="W25" s="1387">
        <f>J25</f>
        <v>100</v>
      </c>
      <c r="X25" s="1380"/>
      <c r="Y25" s="4092"/>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4092"/>
      <c r="Q26" s="1385"/>
      <c r="R26" s="1386"/>
      <c r="S26" s="1387"/>
      <c r="T26" s="1386"/>
      <c r="U26" s="1387"/>
      <c r="V26" s="1386"/>
      <c r="W26" s="1387"/>
      <c r="X26" s="1380"/>
      <c r="Y26" s="4092"/>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4092"/>
      <c r="Q27" s="1385" t="str">
        <f t="shared" si="8"/>
        <v>自然及人文环境状况</v>
      </c>
      <c r="R27" s="1386" t="s">
        <v>5</v>
      </c>
      <c r="S27" s="1387">
        <f>F27</f>
        <v>100</v>
      </c>
      <c r="T27" s="1386" t="s">
        <v>5</v>
      </c>
      <c r="U27" s="1387">
        <f>H27</f>
        <v>100</v>
      </c>
      <c r="V27" s="1386" t="s">
        <v>5</v>
      </c>
      <c r="W27" s="1387">
        <f>J27</f>
        <v>100</v>
      </c>
      <c r="X27" s="1380"/>
      <c r="Y27" s="4092"/>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4092"/>
      <c r="Q28" s="1385"/>
      <c r="R28" s="1386"/>
      <c r="S28" s="1387"/>
      <c r="T28" s="1386"/>
      <c r="U28" s="1387"/>
      <c r="V28" s="1386"/>
      <c r="W28" s="1387"/>
      <c r="X28" s="1380"/>
      <c r="Y28" s="4092"/>
      <c r="Z28" s="1388"/>
      <c r="AA28" s="1389">
        <v>1</v>
      </c>
      <c r="AB28" s="1389">
        <v>1</v>
      </c>
      <c r="AC28" s="1389">
        <v>1</v>
      </c>
    </row>
    <row r="29" spans="1:29" s="1118" customFormat="1" ht="41.4">
      <c r="A29" s="547"/>
      <c r="B29" s="2198"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4092"/>
      <c r="Q29" s="1050" t="str">
        <f t="shared" si="8"/>
        <v>公共配套设施</v>
      </c>
      <c r="R29" s="1381" t="s">
        <v>5</v>
      </c>
      <c r="S29" s="1382">
        <f>F29</f>
        <v>100</v>
      </c>
      <c r="T29" s="1381" t="s">
        <v>5</v>
      </c>
      <c r="U29" s="1382">
        <f>H29</f>
        <v>100</v>
      </c>
      <c r="V29" s="1381" t="s">
        <v>5</v>
      </c>
      <c r="W29" s="1382">
        <f>J29</f>
        <v>100</v>
      </c>
      <c r="X29" s="1383"/>
      <c r="Y29" s="4092"/>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4092"/>
      <c r="Q30" s="1050"/>
      <c r="R30" s="1381"/>
      <c r="S30" s="1382"/>
      <c r="T30" s="1381"/>
      <c r="U30" s="1382"/>
      <c r="V30" s="1381"/>
      <c r="W30" s="1382"/>
      <c r="X30" s="1383"/>
      <c r="Y30" s="4092"/>
      <c r="Z30" s="1049"/>
      <c r="AA30" s="1389">
        <v>1</v>
      </c>
      <c r="AB30" s="1389">
        <v>1</v>
      </c>
      <c r="AC30" s="1389">
        <v>1</v>
      </c>
    </row>
    <row r="31" spans="1:29" s="1118" customFormat="1" ht="27.6">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4092"/>
      <c r="Q31" s="2191" t="str">
        <f>B31</f>
        <v>基础设施水平</v>
      </c>
      <c r="R31" s="1381" t="s">
        <v>5</v>
      </c>
      <c r="S31" s="1382">
        <f>F31</f>
        <v>100</v>
      </c>
      <c r="T31" s="1381" t="s">
        <v>5</v>
      </c>
      <c r="U31" s="1382">
        <f>H31</f>
        <v>100</v>
      </c>
      <c r="V31" s="1381" t="s">
        <v>5</v>
      </c>
      <c r="W31" s="1382">
        <f>J31</f>
        <v>100</v>
      </c>
      <c r="X31" s="1383"/>
      <c r="Y31" s="4092"/>
      <c r="Z31" s="2190" t="str">
        <f>Q31</f>
        <v>基础设施水平</v>
      </c>
      <c r="AA31" s="1389">
        <f>D31/F31</f>
        <v>1</v>
      </c>
      <c r="AB31" s="1389">
        <f>D31/H31</f>
        <v>1</v>
      </c>
      <c r="AC31" s="1389">
        <f>D31/J31</f>
        <v>1</v>
      </c>
    </row>
    <row r="32" spans="1:29" s="1118" customFormat="1" ht="21">
      <c r="A32" s="547"/>
      <c r="B32" s="536"/>
      <c r="C32" s="549"/>
      <c r="D32" s="527"/>
      <c r="E32" s="2199"/>
      <c r="F32" s="525"/>
      <c r="G32" s="549"/>
      <c r="H32" s="525"/>
      <c r="I32" s="549"/>
      <c r="J32" s="525"/>
      <c r="K32" s="501"/>
      <c r="L32" s="1858"/>
      <c r="M32" s="1855"/>
      <c r="N32" s="1855"/>
      <c r="O32" s="1860"/>
      <c r="P32" s="4092"/>
      <c r="Q32" s="2191"/>
      <c r="R32" s="1381"/>
      <c r="S32" s="1382"/>
      <c r="T32" s="1381"/>
      <c r="U32" s="1382"/>
      <c r="V32" s="1381"/>
      <c r="W32" s="1382"/>
      <c r="X32" s="1383"/>
      <c r="Y32" s="4092"/>
      <c r="Z32" s="2190"/>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4092"/>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4092"/>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4092"/>
      <c r="Q34" s="1385" t="str">
        <f t="shared" si="8"/>
        <v>毗邻道路的类型与等级</v>
      </c>
      <c r="R34" s="1386" t="s">
        <v>5</v>
      </c>
      <c r="S34" s="1387">
        <f t="shared" si="9"/>
        <v>100</v>
      </c>
      <c r="T34" s="1386" t="s">
        <v>5</v>
      </c>
      <c r="U34" s="1387">
        <f t="shared" si="10"/>
        <v>100</v>
      </c>
      <c r="V34" s="1386" t="s">
        <v>5</v>
      </c>
      <c r="W34" s="1387">
        <f t="shared" si="11"/>
        <v>100</v>
      </c>
      <c r="X34" s="1380"/>
      <c r="Y34" s="4092"/>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4092"/>
      <c r="Q35" s="1385"/>
      <c r="R35" s="1386"/>
      <c r="S35" s="1387"/>
      <c r="T35" s="1386"/>
      <c r="U35" s="1387"/>
      <c r="V35" s="1386"/>
      <c r="W35" s="1387"/>
      <c r="X35" s="1380"/>
      <c r="Y35" s="4092"/>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4092"/>
      <c r="Q36" s="1385" t="str">
        <f t="shared" si="8"/>
        <v>土地级别</v>
      </c>
      <c r="R36" s="1386" t="s">
        <v>5</v>
      </c>
      <c r="S36" s="1387">
        <f t="shared" si="9"/>
        <v>100</v>
      </c>
      <c r="T36" s="1386" t="s">
        <v>5</v>
      </c>
      <c r="U36" s="1387">
        <f t="shared" si="10"/>
        <v>100</v>
      </c>
      <c r="V36" s="1386" t="s">
        <v>5</v>
      </c>
      <c r="W36" s="1387">
        <f t="shared" si="11"/>
        <v>100</v>
      </c>
      <c r="X36" s="1380"/>
      <c r="Y36" s="4092"/>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4092"/>
      <c r="Q37" s="1385">
        <f t="shared" si="8"/>
        <v>111</v>
      </c>
      <c r="R37" s="1386" t="s">
        <v>5</v>
      </c>
      <c r="S37" s="1387">
        <f t="shared" si="9"/>
        <v>100</v>
      </c>
      <c r="T37" s="1386" t="s">
        <v>5</v>
      </c>
      <c r="U37" s="1387">
        <f t="shared" si="10"/>
        <v>100</v>
      </c>
      <c r="V37" s="1386" t="s">
        <v>5</v>
      </c>
      <c r="W37" s="1387">
        <f t="shared" si="11"/>
        <v>100</v>
      </c>
      <c r="X37" s="1380"/>
      <c r="Y37" s="4092"/>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4093" t="s">
        <v>499</v>
      </c>
      <c r="Q38" s="1385">
        <f t="shared" si="8"/>
        <v>111</v>
      </c>
      <c r="R38" s="1386" t="s">
        <v>5</v>
      </c>
      <c r="S38" s="1387">
        <f t="shared" si="9"/>
        <v>100</v>
      </c>
      <c r="T38" s="1386" t="s">
        <v>5</v>
      </c>
      <c r="U38" s="1387">
        <f t="shared" si="10"/>
        <v>100</v>
      </c>
      <c r="V38" s="1386" t="s">
        <v>5</v>
      </c>
      <c r="W38" s="1387">
        <f t="shared" si="11"/>
        <v>100</v>
      </c>
      <c r="X38" s="1380"/>
      <c r="Y38" s="4094"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4094"/>
      <c r="Q39" s="1385">
        <f t="shared" si="8"/>
        <v>111</v>
      </c>
      <c r="R39" s="1390" t="s">
        <v>5</v>
      </c>
      <c r="S39" s="1391">
        <f t="shared" si="9"/>
        <v>100</v>
      </c>
      <c r="T39" s="1390" t="s">
        <v>5</v>
      </c>
      <c r="U39" s="1391">
        <f t="shared" si="10"/>
        <v>100</v>
      </c>
      <c r="V39" s="1390" t="s">
        <v>5</v>
      </c>
      <c r="W39" s="1391">
        <f t="shared" si="11"/>
        <v>100</v>
      </c>
      <c r="X39" s="1392"/>
      <c r="Y39" s="4094"/>
      <c r="Z39" s="1393">
        <f t="shared" si="12"/>
        <v>111</v>
      </c>
      <c r="AA39" s="1389">
        <f t="shared" si="3"/>
        <v>1</v>
      </c>
      <c r="AB39" s="1389">
        <f t="shared" si="4"/>
        <v>1</v>
      </c>
      <c r="AC39" s="1389">
        <f t="shared" si="5"/>
        <v>1</v>
      </c>
    </row>
    <row r="40" spans="1:29" ht="21">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4094"/>
      <c r="Q40" s="1385" t="str">
        <f>B40</f>
        <v>宗地面积</v>
      </c>
      <c r="R40" s="1386" t="s">
        <v>5</v>
      </c>
      <c r="S40" s="1387" t="e">
        <f t="shared" si="9"/>
        <v>#N/A</v>
      </c>
      <c r="T40" s="1386" t="s">
        <v>5</v>
      </c>
      <c r="U40" s="1387" t="e">
        <f t="shared" si="10"/>
        <v>#N/A</v>
      </c>
      <c r="V40" s="1386" t="s">
        <v>5</v>
      </c>
      <c r="W40" s="1387" t="e">
        <f t="shared" si="11"/>
        <v>#N/A</v>
      </c>
      <c r="X40" s="1380"/>
      <c r="Y40" s="4094"/>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4094"/>
      <c r="Q41" s="1385" t="str">
        <f t="shared" ref="Q41:Q47" si="13">B41</f>
        <v>宗地形状</v>
      </c>
      <c r="R41" s="1386" t="s">
        <v>5</v>
      </c>
      <c r="S41" s="1387">
        <f t="shared" si="9"/>
        <v>100</v>
      </c>
      <c r="T41" s="1386" t="s">
        <v>5</v>
      </c>
      <c r="U41" s="1387">
        <f t="shared" si="10"/>
        <v>100</v>
      </c>
      <c r="V41" s="1386" t="s">
        <v>5</v>
      </c>
      <c r="W41" s="1387">
        <f t="shared" si="11"/>
        <v>100</v>
      </c>
      <c r="X41" s="1380"/>
      <c r="Y41" s="4094"/>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4094"/>
      <c r="Q42" s="1385" t="str">
        <f t="shared" si="13"/>
        <v>临街宽度及深度</v>
      </c>
      <c r="R42" s="1386" t="s">
        <v>5</v>
      </c>
      <c r="S42" s="1387">
        <f t="shared" si="9"/>
        <v>100</v>
      </c>
      <c r="T42" s="1386" t="s">
        <v>5</v>
      </c>
      <c r="U42" s="1387">
        <f t="shared" si="10"/>
        <v>100</v>
      </c>
      <c r="V42" s="1386" t="s">
        <v>5</v>
      </c>
      <c r="W42" s="1387">
        <f t="shared" si="11"/>
        <v>100</v>
      </c>
      <c r="X42" s="1380"/>
      <c r="Y42" s="4094"/>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4094"/>
      <c r="Q43" s="1385" t="str">
        <f t="shared" si="13"/>
        <v>宗地开发程度</v>
      </c>
      <c r="R43" s="1381" t="s">
        <v>5</v>
      </c>
      <c r="S43" s="1382">
        <f t="shared" si="9"/>
        <v>100</v>
      </c>
      <c r="T43" s="1381" t="s">
        <v>5</v>
      </c>
      <c r="U43" s="1382">
        <f t="shared" si="10"/>
        <v>100</v>
      </c>
      <c r="V43" s="1381" t="s">
        <v>5</v>
      </c>
      <c r="W43" s="1382">
        <f t="shared" si="11"/>
        <v>100</v>
      </c>
      <c r="X43" s="1383"/>
      <c r="Y43" s="4094"/>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4094" t="s">
        <v>499</v>
      </c>
      <c r="Q44" s="1385" t="str">
        <f t="shared" si="13"/>
        <v>工程地质条件</v>
      </c>
      <c r="R44" s="1386" t="s">
        <v>5</v>
      </c>
      <c r="S44" s="1387">
        <f t="shared" si="9"/>
        <v>100</v>
      </c>
      <c r="T44" s="1386" t="s">
        <v>5</v>
      </c>
      <c r="U44" s="1387">
        <f t="shared" si="10"/>
        <v>100</v>
      </c>
      <c r="V44" s="1386" t="s">
        <v>5</v>
      </c>
      <c r="W44" s="1387">
        <f t="shared" si="11"/>
        <v>100</v>
      </c>
      <c r="X44" s="1380"/>
      <c r="Y44" s="4094"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4094"/>
      <c r="Q45" s="1385">
        <f t="shared" si="13"/>
        <v>111</v>
      </c>
      <c r="R45" s="1386" t="s">
        <v>5</v>
      </c>
      <c r="S45" s="1387">
        <f t="shared" si="9"/>
        <v>100</v>
      </c>
      <c r="T45" s="1386" t="s">
        <v>5</v>
      </c>
      <c r="U45" s="1387">
        <f t="shared" si="10"/>
        <v>100</v>
      </c>
      <c r="V45" s="1386" t="s">
        <v>5</v>
      </c>
      <c r="W45" s="1387">
        <f t="shared" si="11"/>
        <v>100</v>
      </c>
      <c r="X45" s="1380"/>
      <c r="Y45" s="4094"/>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4094"/>
      <c r="Q46" s="1385">
        <f t="shared" si="13"/>
        <v>111</v>
      </c>
      <c r="R46" s="1386" t="s">
        <v>5</v>
      </c>
      <c r="S46" s="1387">
        <f t="shared" si="9"/>
        <v>100</v>
      </c>
      <c r="T46" s="1386" t="s">
        <v>5</v>
      </c>
      <c r="U46" s="1387">
        <f t="shared" si="10"/>
        <v>100</v>
      </c>
      <c r="V46" s="1386" t="s">
        <v>5</v>
      </c>
      <c r="W46" s="1387">
        <f t="shared" si="11"/>
        <v>100</v>
      </c>
      <c r="X46" s="1380"/>
      <c r="Y46" s="4094"/>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4094"/>
      <c r="Q47" s="1385">
        <f t="shared" si="13"/>
        <v>111</v>
      </c>
      <c r="R47" s="1390" t="s">
        <v>5</v>
      </c>
      <c r="S47" s="1391">
        <f t="shared" si="9"/>
        <v>100</v>
      </c>
      <c r="T47" s="1390" t="s">
        <v>5</v>
      </c>
      <c r="U47" s="1391">
        <f t="shared" si="10"/>
        <v>100</v>
      </c>
      <c r="V47" s="1390" t="s">
        <v>5</v>
      </c>
      <c r="W47" s="1391">
        <f t="shared" si="11"/>
        <v>100</v>
      </c>
      <c r="X47" s="1392"/>
      <c r="Y47" s="4094"/>
      <c r="Z47" s="1393">
        <f t="shared" si="12"/>
        <v>111</v>
      </c>
      <c r="AA47" s="1389">
        <f t="shared" si="3"/>
        <v>1</v>
      </c>
      <c r="AB47" s="1389">
        <f t="shared" si="4"/>
        <v>1</v>
      </c>
      <c r="AC47" s="1389">
        <f t="shared" si="5"/>
        <v>1</v>
      </c>
    </row>
    <row r="48" spans="1:29" ht="21">
      <c r="A48" s="577" t="s">
        <v>505</v>
      </c>
      <c r="B48" s="578" t="s">
        <v>2195</v>
      </c>
      <c r="C48" s="579" t="s">
        <v>0</v>
      </c>
      <c r="D48" s="580"/>
      <c r="E48" s="581"/>
      <c r="F48" s="582"/>
      <c r="G48" s="583"/>
      <c r="H48" s="584"/>
      <c r="I48" s="581"/>
      <c r="J48" s="584"/>
      <c r="K48" s="1201"/>
      <c r="L48" s="1867"/>
      <c r="M48" s="1855"/>
      <c r="N48" s="1855"/>
      <c r="O48" s="1868"/>
      <c r="P48" s="4089" t="str">
        <f>A48</f>
        <v>成交单价</v>
      </c>
      <c r="Q48" s="4089"/>
      <c r="R48" s="4105">
        <f>E48</f>
        <v>0</v>
      </c>
      <c r="S48" s="4105"/>
      <c r="T48" s="4105">
        <f>G48</f>
        <v>0</v>
      </c>
      <c r="U48" s="4105"/>
      <c r="V48" s="4105">
        <f>I48</f>
        <v>0</v>
      </c>
      <c r="W48" s="4105"/>
      <c r="X48" s="1375"/>
      <c r="Y48" s="1394"/>
      <c r="Z48" s="1375"/>
      <c r="AA48" s="1375"/>
      <c r="AB48" s="1375"/>
      <c r="AC48" s="1375"/>
    </row>
    <row r="49" spans="1:29" ht="21.6" thickBot="1">
      <c r="A49" s="585" t="s">
        <v>1975</v>
      </c>
      <c r="B49" s="586"/>
      <c r="C49" s="587" t="e">
        <f>R50</f>
        <v>#DIV/0!</v>
      </c>
      <c r="D49" s="2756" t="s">
        <v>2259</v>
      </c>
      <c r="E49" s="587" t="e">
        <f>R49</f>
        <v>#DIV/0!</v>
      </c>
      <c r="F49" s="2757"/>
      <c r="G49" s="588" t="e">
        <f>T49</f>
        <v>#DIV/0!</v>
      </c>
      <c r="H49" s="2757"/>
      <c r="I49" s="587" t="e">
        <f>V49</f>
        <v>#DIV/0!</v>
      </c>
      <c r="J49" s="2757"/>
      <c r="K49" s="2758">
        <f>F49+H49+J49</f>
        <v>0</v>
      </c>
      <c r="L49" s="1867"/>
      <c r="M49" s="1855"/>
      <c r="N49" s="1855"/>
      <c r="O49" s="1868"/>
      <c r="P49" s="4089" t="str">
        <f>A49</f>
        <v>比较价格（元/平方米）</v>
      </c>
      <c r="Q49" s="4089"/>
      <c r="R49" s="4113" t="e">
        <f>ROUND(PRODUCT(R48,AA9:AA47),0)</f>
        <v>#DIV/0!</v>
      </c>
      <c r="S49" s="4113"/>
      <c r="T49" s="4113" t="e">
        <f>ROUND(PRODUCT(T48,AB9:AB47),0)</f>
        <v>#DIV/0!</v>
      </c>
      <c r="U49" s="4113"/>
      <c r="V49" s="4113" t="e">
        <f>ROUND(PRODUCT(V48,AC9:AC47),0)</f>
        <v>#DIV/0!</v>
      </c>
      <c r="W49" s="4113"/>
      <c r="X49" s="1375"/>
      <c r="Y49" s="1375"/>
      <c r="Z49" s="1375"/>
      <c r="AA49" s="1375"/>
      <c r="AB49" s="1375"/>
      <c r="AC49" s="1375"/>
    </row>
    <row r="50" spans="1:29" ht="21.6" thickBot="1">
      <c r="A50" s="589" t="s">
        <v>2196</v>
      </c>
      <c r="B50" s="590"/>
      <c r="C50" s="591" t="e">
        <f>R50</f>
        <v>#DIV/0!</v>
      </c>
      <c r="D50" s="591"/>
      <c r="E50" s="591"/>
      <c r="F50" s="591"/>
      <c r="G50" s="591"/>
      <c r="H50" s="591"/>
      <c r="I50" s="591"/>
      <c r="J50" s="591"/>
      <c r="K50" s="1202"/>
      <c r="L50" s="1867"/>
      <c r="M50" s="1855"/>
      <c r="N50" s="1855"/>
      <c r="O50" s="1868"/>
      <c r="P50" s="4095" t="str">
        <f>A50</f>
        <v>估价对象XX用房的比较价格（楼面单价，元/平方米）</v>
      </c>
      <c r="Q50" s="4096"/>
      <c r="R50" s="4112" t="e">
        <f>ROUND(IF(D49="简单平均",AVERAGE(R49:W49),R49*F49+T49*H49+V49*J49),0)</f>
        <v>#DIV/0!</v>
      </c>
      <c r="S50" s="4112"/>
      <c r="T50" s="4112"/>
      <c r="U50" s="4112"/>
      <c r="V50" s="4112"/>
      <c r="W50" s="4112"/>
      <c r="X50" s="1375"/>
      <c r="Y50" s="1375"/>
      <c r="Z50" s="1375"/>
      <c r="AA50" s="1375"/>
      <c r="AB50" s="1375"/>
      <c r="AC50" s="1375"/>
    </row>
    <row r="51" spans="1:29" ht="21">
      <c r="A51" s="2953"/>
      <c r="B51" s="2953"/>
      <c r="C51" s="2953"/>
      <c r="D51" s="2953"/>
      <c r="E51" s="2953"/>
      <c r="F51" s="2953"/>
      <c r="G51" s="2955"/>
      <c r="H51" s="2953"/>
      <c r="I51" s="2953"/>
      <c r="J51" s="2953"/>
      <c r="K51" s="2956"/>
      <c r="L51" s="1872"/>
      <c r="M51" s="1855"/>
      <c r="N51" s="1855"/>
      <c r="O51" s="1868"/>
      <c r="P51" s="1868"/>
      <c r="Q51" s="1868"/>
      <c r="R51" s="1868"/>
      <c r="S51" s="1868"/>
      <c r="T51" s="1868"/>
      <c r="U51" s="1868"/>
      <c r="V51" s="1868"/>
      <c r="W51" s="1868"/>
      <c r="X51" s="1868"/>
      <c r="Y51" s="1868"/>
      <c r="Z51" s="1868"/>
      <c r="AA51" s="1868"/>
      <c r="AB51" s="1868"/>
      <c r="AC51" s="1868"/>
    </row>
    <row r="52" spans="1:29" ht="21">
      <c r="A52" s="2953"/>
      <c r="B52" s="2953"/>
      <c r="C52" s="2953"/>
      <c r="D52" s="2953"/>
      <c r="E52" s="2953"/>
      <c r="F52" s="2953"/>
      <c r="G52" s="2953"/>
      <c r="H52" s="2953"/>
      <c r="I52" s="2953"/>
      <c r="J52" s="2953"/>
      <c r="K52" s="2956"/>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57"/>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4074" t="s">
        <v>1639</v>
      </c>
      <c r="H57" s="4075"/>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10738.85</v>
      </c>
      <c r="F58" s="604" t="e">
        <f t="shared" ref="F58:F66" si="14">ROUND(B58*E58/10000,0)</f>
        <v>#DIV/0!</v>
      </c>
      <c r="G58" s="4076"/>
      <c r="H58" s="4077"/>
      <c r="I58" s="1373">
        <v>1</v>
      </c>
      <c r="J58" s="1373">
        <v>1</v>
      </c>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3" t="s">
        <v>1640</v>
      </c>
      <c r="H59" s="1704">
        <f>项目基本情况!B43</f>
        <v>0</v>
      </c>
      <c r="I59" s="1373">
        <f>SUMIF(修正!$A$57:$A$68,H59,修正!B57:B68)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4"/>
      <c r="H60" s="1704">
        <f>项目基本情况!B43</f>
        <v>0</v>
      </c>
      <c r="I60" s="1373">
        <f>SUMIF(修正!$A$57:$A$68,H60,修正!C57:C68)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4"/>
      <c r="H61" s="1704">
        <f>项目基本情况!B43</f>
        <v>0</v>
      </c>
      <c r="I61" s="1373">
        <f>SUMIF(修正!$A$57:$A$68,H61,修正!D57:D68)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58"/>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58"/>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58"/>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58"/>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58"/>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10738.85</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2025-3-1</v>
      </c>
      <c r="D69" s="2278">
        <f>EDATE(C69,-3)</f>
        <v>45627</v>
      </c>
      <c r="E69" s="2278">
        <f t="shared" ref="E69:N69" si="17">EDATE(D69,-3)</f>
        <v>45536</v>
      </c>
      <c r="F69" s="2278">
        <f t="shared" si="17"/>
        <v>45444</v>
      </c>
      <c r="G69" s="2278">
        <f t="shared" si="17"/>
        <v>45352</v>
      </c>
      <c r="H69" s="2278">
        <f t="shared" si="17"/>
        <v>45261</v>
      </c>
      <c r="I69" s="2278">
        <f t="shared" si="17"/>
        <v>45170</v>
      </c>
      <c r="J69" s="2278">
        <f t="shared" si="17"/>
        <v>45078</v>
      </c>
      <c r="K69" s="2278">
        <f t="shared" si="17"/>
        <v>44986</v>
      </c>
      <c r="L69" s="2278">
        <f t="shared" si="17"/>
        <v>44896</v>
      </c>
      <c r="M69" s="2278">
        <f t="shared" si="17"/>
        <v>44805</v>
      </c>
      <c r="N69" s="2278">
        <f t="shared" si="17"/>
        <v>44713</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5" t="str">
        <f>YEAR(C69)&amp;"-"&amp;ROUNDUP(MONTH(C69)/3,0)</f>
        <v>2025-1</v>
      </c>
      <c r="D71" s="2280" t="str">
        <f>YEAR(D69)&amp;"-"&amp;ROUNDUP(MONTH(D69)/3,0)</f>
        <v>2024-4</v>
      </c>
      <c r="E71" s="2280" t="str">
        <f t="shared" ref="E71:N71" si="18">YEAR(E69)&amp;"-"&amp;ROUNDUP(MONTH(E69)/3,0)</f>
        <v>2024-3</v>
      </c>
      <c r="F71" s="2280" t="str">
        <f t="shared" si="18"/>
        <v>2024-2</v>
      </c>
      <c r="G71" s="2280" t="str">
        <f t="shared" si="18"/>
        <v>2024-1</v>
      </c>
      <c r="H71" s="2280" t="str">
        <f t="shared" si="18"/>
        <v>2023-4</v>
      </c>
      <c r="I71" s="2280" t="str">
        <f t="shared" si="18"/>
        <v>2023-3</v>
      </c>
      <c r="J71" s="2280" t="str">
        <f t="shared" si="18"/>
        <v>2023-2</v>
      </c>
      <c r="K71" s="2280" t="str">
        <f t="shared" si="18"/>
        <v>2023-1</v>
      </c>
      <c r="L71" s="2280" t="str">
        <f t="shared" si="18"/>
        <v>2022-4</v>
      </c>
      <c r="M71" s="2280" t="str">
        <f t="shared" si="18"/>
        <v>2022-3</v>
      </c>
      <c r="N71" s="2280" t="str">
        <f t="shared" si="18"/>
        <v>2022-2</v>
      </c>
      <c r="O71" s="1881"/>
      <c r="P71" s="1882"/>
      <c r="Q71" s="1883"/>
      <c r="R71" s="1883"/>
      <c r="S71" s="1883"/>
      <c r="T71" s="1883"/>
      <c r="U71" s="1883"/>
      <c r="V71" s="1883"/>
      <c r="W71" s="1883"/>
      <c r="X71" s="1883"/>
      <c r="Y71" s="1883"/>
      <c r="Z71" s="1883"/>
      <c r="AA71" s="1883"/>
      <c r="AB71" s="1883"/>
      <c r="AC71" s="1883"/>
    </row>
    <row r="72" spans="1:29" s="1118"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4" t="s">
        <v>1833</v>
      </c>
      <c r="C103" s="2205" t="s">
        <v>1834</v>
      </c>
      <c r="D103" s="2205" t="s">
        <v>1835</v>
      </c>
      <c r="E103" s="2205" t="s">
        <v>1836</v>
      </c>
      <c r="F103" s="2205" t="s">
        <v>1837</v>
      </c>
      <c r="G103" s="2205"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7"/>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8"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B19" zoomScale="70" zoomScaleNormal="50" zoomScaleSheetLayoutView="70" workbookViewId="0">
      <selection activeCell="L40" sqref="L40"/>
    </sheetView>
  </sheetViews>
  <sheetFormatPr defaultColWidth="9" defaultRowHeight="13.8"/>
  <cols>
    <col min="1" max="1" width="13.33203125" style="1198" customWidth="1"/>
    <col min="2" max="2" width="15.77734375" style="1198" customWidth="1"/>
    <col min="3" max="3" width="17" style="1198" customWidth="1"/>
    <col min="4" max="4" width="12.21875" style="1198" customWidth="1"/>
    <col min="5" max="5" width="20.21875" style="1198" customWidth="1"/>
    <col min="6" max="6" width="12.21875" style="1198" customWidth="1"/>
    <col min="7" max="7" width="19.88671875" style="1198" customWidth="1"/>
    <col min="8" max="8" width="12.21875" style="1198" customWidth="1"/>
    <col min="9" max="9" width="17.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8472</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1218</v>
      </c>
      <c r="B3" s="480">
        <f>ROUND(B2*10000/'数据-汇总表'!E3,0)</f>
        <v>7889</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7889</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526</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4.4">
      <c r="A6" s="482" t="s">
        <v>470</v>
      </c>
      <c r="B6" s="483"/>
      <c r="C6" s="4097" t="s">
        <v>471</v>
      </c>
      <c r="D6" s="4098"/>
      <c r="E6" s="4119" t="s">
        <v>472</v>
      </c>
      <c r="F6" s="4120"/>
      <c r="G6" s="4097" t="s">
        <v>473</v>
      </c>
      <c r="H6" s="4098"/>
      <c r="I6" s="4097" t="s">
        <v>474</v>
      </c>
      <c r="J6" s="4098"/>
      <c r="K6" s="484" t="s">
        <v>475</v>
      </c>
      <c r="L6" s="1856"/>
      <c r="M6" s="1857"/>
      <c r="N6" s="1857"/>
      <c r="O6" s="1857"/>
      <c r="P6" s="4099" t="s">
        <v>476</v>
      </c>
      <c r="Q6" s="4100"/>
      <c r="R6" s="4083" t="s">
        <v>472</v>
      </c>
      <c r="S6" s="4084"/>
      <c r="T6" s="4083" t="s">
        <v>473</v>
      </c>
      <c r="U6" s="4084"/>
      <c r="V6" s="4105" t="s">
        <v>474</v>
      </c>
      <c r="W6" s="4105"/>
      <c r="X6" s="1380"/>
      <c r="Y6" s="4083" t="s">
        <v>476</v>
      </c>
      <c r="Z6" s="4084"/>
      <c r="AA6" s="4078" t="s">
        <v>472</v>
      </c>
      <c r="AB6" s="4079" t="s">
        <v>473</v>
      </c>
      <c r="AC6" s="4078" t="s">
        <v>474</v>
      </c>
    </row>
    <row r="7" spans="1:29">
      <c r="A7" s="485"/>
      <c r="B7" s="486"/>
      <c r="C7" s="4108" t="s">
        <v>2190</v>
      </c>
      <c r="D7" s="4109"/>
      <c r="E7" s="4121" t="str">
        <f>'案例（企业）'!B3</f>
        <v>海淀区清河安宁庄东路1号</v>
      </c>
      <c r="F7" s="4122"/>
      <c r="G7" s="4108" t="str">
        <f>'案例（企业）'!B4</f>
        <v>丰台区南四环中路10号</v>
      </c>
      <c r="H7" s="4109"/>
      <c r="I7" s="4108" t="str">
        <f>'案例（企业）'!B5</f>
        <v>顺义区南法信地区刘家河村顺余东路1号</v>
      </c>
      <c r="J7" s="4109"/>
      <c r="K7" s="484"/>
      <c r="L7" s="1856"/>
      <c r="M7" s="1857"/>
      <c r="N7" s="1857"/>
      <c r="O7" s="1857"/>
      <c r="P7" s="4101"/>
      <c r="Q7" s="4102"/>
      <c r="R7" s="4085"/>
      <c r="S7" s="4086"/>
      <c r="T7" s="4085"/>
      <c r="U7" s="4086"/>
      <c r="V7" s="4105"/>
      <c r="W7" s="4105"/>
      <c r="X7" s="1380"/>
      <c r="Y7" s="4085"/>
      <c r="Z7" s="4086"/>
      <c r="AA7" s="4079"/>
      <c r="AB7" s="4079"/>
      <c r="AC7" s="4079"/>
    </row>
    <row r="8" spans="1:29" ht="15" thickBot="1">
      <c r="A8" s="487"/>
      <c r="B8" s="488"/>
      <c r="C8" s="4106" t="s">
        <v>2194</v>
      </c>
      <c r="D8" s="4107"/>
      <c r="E8" s="4123" t="s">
        <v>2194</v>
      </c>
      <c r="F8" s="4124"/>
      <c r="G8" s="4106" t="s">
        <v>2194</v>
      </c>
      <c r="H8" s="4107"/>
      <c r="I8" s="4106" t="s">
        <v>2194</v>
      </c>
      <c r="J8" s="4107"/>
      <c r="K8" s="484" t="s">
        <v>477</v>
      </c>
      <c r="L8" s="1856"/>
      <c r="M8" s="1857"/>
      <c r="N8" s="1857"/>
      <c r="O8" s="1857"/>
      <c r="P8" s="4103"/>
      <c r="Q8" s="4104"/>
      <c r="R8" s="4085"/>
      <c r="S8" s="4086"/>
      <c r="T8" s="4087"/>
      <c r="U8" s="4088"/>
      <c r="V8" s="4105"/>
      <c r="W8" s="4105"/>
      <c r="X8" s="1380"/>
      <c r="Y8" s="4087"/>
      <c r="Z8" s="4088"/>
      <c r="AA8" s="4080"/>
      <c r="AB8" s="4080"/>
      <c r="AC8" s="4080"/>
    </row>
    <row r="9" spans="1:29" s="1118" customFormat="1" ht="15" thickBot="1">
      <c r="A9" s="2391"/>
      <c r="B9" s="2398" t="s">
        <v>478</v>
      </c>
      <c r="C9" s="489">
        <f>'数据-取费表'!B2</f>
        <v>45744</v>
      </c>
      <c r="D9" s="490">
        <v>100</v>
      </c>
      <c r="E9" s="491">
        <f>'案例（企业）'!L3</f>
        <v>43410</v>
      </c>
      <c r="F9" s="492">
        <f>SUMIF(66:66,YEAR(E9)&amp;"-"&amp;INT((MONTH(E9)+2)/3),67:67)</f>
        <v>84.09</v>
      </c>
      <c r="G9" s="493">
        <f>'案例（企业）'!L4</f>
        <v>43349</v>
      </c>
      <c r="H9" s="490">
        <f>SUMIF(66:66,YEAR(G9)&amp;"-"&amp;INT((MONTH(G9)+2)/3),67:67)</f>
        <v>82.65</v>
      </c>
      <c r="I9" s="493">
        <f>'案例（企业）'!L6</f>
        <v>45247</v>
      </c>
      <c r="J9" s="490">
        <f>SUMIF(66:66,YEAR(I9)&amp;"-"&amp;INT((MONTH(I9)+2)/3),67:67)</f>
        <v>98.19</v>
      </c>
      <c r="K9" s="494"/>
      <c r="L9" s="1858"/>
      <c r="M9" s="1859"/>
      <c r="N9" s="1859"/>
      <c r="O9" s="1859"/>
      <c r="P9" s="4081" t="s">
        <v>479</v>
      </c>
      <c r="Q9" s="4090"/>
      <c r="R9" s="1381" t="s">
        <v>5</v>
      </c>
      <c r="S9" s="1382">
        <f t="shared" ref="S9:S17" si="0">F9</f>
        <v>84.09</v>
      </c>
      <c r="T9" s="1381" t="s">
        <v>5</v>
      </c>
      <c r="U9" s="1382">
        <f t="shared" ref="U9:U17" si="1">H9</f>
        <v>82.65</v>
      </c>
      <c r="V9" s="1381" t="s">
        <v>5</v>
      </c>
      <c r="W9" s="1382">
        <f t="shared" ref="W9:W17" si="2">J9</f>
        <v>98.19</v>
      </c>
      <c r="X9" s="1383"/>
      <c r="Y9" s="4081" t="s">
        <v>479</v>
      </c>
      <c r="Z9" s="4082"/>
      <c r="AA9" s="1384">
        <f>D9/F9</f>
        <v>1.1892020454275181</v>
      </c>
      <c r="AB9" s="1384">
        <f>D9/H9</f>
        <v>1.2099213551119177</v>
      </c>
      <c r="AC9" s="1384">
        <f>D9/J9</f>
        <v>1.0184336490477646</v>
      </c>
    </row>
    <row r="10" spans="1:29" s="1118" customFormat="1" ht="15" thickBot="1">
      <c r="A10" s="2392"/>
      <c r="B10" s="2399" t="s">
        <v>480</v>
      </c>
      <c r="C10" s="495" t="s">
        <v>481</v>
      </c>
      <c r="D10" s="490">
        <v>100</v>
      </c>
      <c r="E10" s="495" t="s">
        <v>3298</v>
      </c>
      <c r="F10" s="492">
        <f>SUMIF(69:69,E10,70:70)-SUMIF(69:69,C10,70:70)+100</f>
        <v>100</v>
      </c>
      <c r="G10" s="495" t="s">
        <v>3298</v>
      </c>
      <c r="H10" s="490">
        <f>SUMIF(69:69,G10,70:70)-SUMIF(69:69,C10,70:70)+100</f>
        <v>100</v>
      </c>
      <c r="I10" s="495" t="s">
        <v>3298</v>
      </c>
      <c r="J10" s="490">
        <f>SUMIF(69:69,I10,70:70)-SUMIF(69:69,C10,70:70)+100</f>
        <v>100</v>
      </c>
      <c r="K10" s="494"/>
      <c r="L10" s="1858"/>
      <c r="M10" s="1859"/>
      <c r="N10" s="1859"/>
      <c r="O10" s="1859"/>
      <c r="P10" s="4081" t="s">
        <v>482</v>
      </c>
      <c r="Q10" s="4082"/>
      <c r="R10" s="1381" t="s">
        <v>5</v>
      </c>
      <c r="S10" s="1382">
        <f t="shared" si="0"/>
        <v>100</v>
      </c>
      <c r="T10" s="1381" t="s">
        <v>5</v>
      </c>
      <c r="U10" s="1382">
        <f t="shared" si="1"/>
        <v>100</v>
      </c>
      <c r="V10" s="1381" t="s">
        <v>5</v>
      </c>
      <c r="W10" s="1382">
        <f t="shared" si="2"/>
        <v>100</v>
      </c>
      <c r="X10" s="1383"/>
      <c r="Y10" s="4081" t="s">
        <v>482</v>
      </c>
      <c r="Z10" s="4082"/>
      <c r="AA10" s="1384">
        <f t="shared" ref="AA10:AA42" si="3">D10/F10</f>
        <v>1</v>
      </c>
      <c r="AB10" s="1384">
        <f t="shared" ref="AB10:AB42" si="4">D10/H10</f>
        <v>1</v>
      </c>
      <c r="AC10" s="1384">
        <f t="shared" ref="AC10:AC42" si="5">D10/J10</f>
        <v>1</v>
      </c>
    </row>
    <row r="11" spans="1:29" s="1118" customFormat="1" ht="14.4">
      <c r="A11" s="2393"/>
      <c r="B11" s="2400"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8"/>
      <c r="M11" s="1859"/>
      <c r="N11" s="1859"/>
      <c r="O11" s="1860"/>
      <c r="P11" s="4089" t="s">
        <v>484</v>
      </c>
      <c r="Q11" s="1050" t="str">
        <f t="shared" ref="Q11:Q17" si="6">B11</f>
        <v>用途</v>
      </c>
      <c r="R11" s="1381" t="s">
        <v>5</v>
      </c>
      <c r="S11" s="1382">
        <f t="shared" si="0"/>
        <v>100</v>
      </c>
      <c r="T11" s="1381" t="s">
        <v>5</v>
      </c>
      <c r="U11" s="1382">
        <f t="shared" si="1"/>
        <v>100</v>
      </c>
      <c r="V11" s="1381" t="s">
        <v>5</v>
      </c>
      <c r="W11" s="1382">
        <f t="shared" si="2"/>
        <v>100</v>
      </c>
      <c r="X11" s="1383"/>
      <c r="Y11" s="4035" t="s">
        <v>485</v>
      </c>
      <c r="Z11" s="1049" t="str">
        <f t="shared" ref="Z11:Z17" si="7">Q11</f>
        <v>用途</v>
      </c>
      <c r="AA11" s="1384">
        <f t="shared" si="3"/>
        <v>1</v>
      </c>
      <c r="AB11" s="1384">
        <f t="shared" si="4"/>
        <v>1</v>
      </c>
      <c r="AC11" s="1384">
        <f t="shared" si="5"/>
        <v>1</v>
      </c>
    </row>
    <row r="12" spans="1:29" s="1199" customFormat="1" ht="28.8">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4089"/>
      <c r="Q12" s="1050" t="str">
        <f t="shared" si="6"/>
        <v>土地使用年限（年）</v>
      </c>
      <c r="R12" s="1381" t="s">
        <v>5</v>
      </c>
      <c r="S12" s="1382">
        <f t="shared" si="0"/>
        <v>100</v>
      </c>
      <c r="T12" s="1381" t="s">
        <v>5</v>
      </c>
      <c r="U12" s="1382">
        <f t="shared" si="1"/>
        <v>100</v>
      </c>
      <c r="V12" s="1381" t="s">
        <v>5</v>
      </c>
      <c r="W12" s="1382">
        <f t="shared" si="2"/>
        <v>100</v>
      </c>
      <c r="X12" s="1383"/>
      <c r="Y12" s="4035"/>
      <c r="Z12" s="1049"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4089"/>
      <c r="Q13" s="1050" t="str">
        <f t="shared" si="6"/>
        <v>容积率</v>
      </c>
      <c r="R13" s="1381" t="s">
        <v>5</v>
      </c>
      <c r="S13" s="1382">
        <f t="shared" si="0"/>
        <v>100</v>
      </c>
      <c r="T13" s="1381" t="s">
        <v>5</v>
      </c>
      <c r="U13" s="1382">
        <f t="shared" si="1"/>
        <v>100</v>
      </c>
      <c r="V13" s="1381" t="s">
        <v>5</v>
      </c>
      <c r="W13" s="1382">
        <f t="shared" si="2"/>
        <v>100</v>
      </c>
      <c r="X13" s="1383"/>
      <c r="Y13" s="4035"/>
      <c r="Z13" s="1049"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4089"/>
      <c r="Q15" s="1050">
        <f t="shared" si="6"/>
        <v>111</v>
      </c>
      <c r="R15" s="1381" t="s">
        <v>5</v>
      </c>
      <c r="S15" s="1382">
        <f t="shared" si="0"/>
        <v>100</v>
      </c>
      <c r="T15" s="1381" t="s">
        <v>5</v>
      </c>
      <c r="U15" s="1382">
        <f t="shared" si="1"/>
        <v>100</v>
      </c>
      <c r="V15" s="1381" t="s">
        <v>5</v>
      </c>
      <c r="W15" s="1382">
        <f t="shared" si="2"/>
        <v>100</v>
      </c>
      <c r="X15" s="1383"/>
      <c r="Y15" s="4035"/>
      <c r="Z15" s="1049">
        <f t="shared" si="7"/>
        <v>111</v>
      </c>
      <c r="AA15" s="1384">
        <f t="shared" si="3"/>
        <v>1</v>
      </c>
      <c r="AB15" s="1384">
        <f t="shared" si="4"/>
        <v>1</v>
      </c>
      <c r="AC15" s="1384">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4089"/>
      <c r="Q16" s="1050">
        <f t="shared" si="6"/>
        <v>111</v>
      </c>
      <c r="R16" s="1381" t="s">
        <v>5</v>
      </c>
      <c r="S16" s="1382">
        <f t="shared" si="0"/>
        <v>100</v>
      </c>
      <c r="T16" s="1381" t="s">
        <v>5</v>
      </c>
      <c r="U16" s="1382">
        <f t="shared" si="1"/>
        <v>100</v>
      </c>
      <c r="V16" s="1381" t="s">
        <v>5</v>
      </c>
      <c r="W16" s="1382">
        <f t="shared" si="2"/>
        <v>100</v>
      </c>
      <c r="X16" s="1383"/>
      <c r="Y16" s="4035"/>
      <c r="Z16" s="1049">
        <f t="shared" si="7"/>
        <v>111</v>
      </c>
      <c r="AA16" s="1384">
        <f t="shared" si="3"/>
        <v>1</v>
      </c>
      <c r="AB16" s="1384">
        <f t="shared" si="4"/>
        <v>1</v>
      </c>
      <c r="AC16" s="1384">
        <f t="shared" si="5"/>
        <v>1</v>
      </c>
    </row>
    <row r="17" spans="1:29" ht="55.2">
      <c r="A17" s="2389" t="s">
        <v>2036</v>
      </c>
      <c r="B17" s="159" t="s">
        <v>546</v>
      </c>
      <c r="C17" s="884" t="str">
        <f>估价对象房地状况!G15</f>
        <v>估价对象位于海淀区，区域工业成熟度一般，产业集聚程度一般</v>
      </c>
      <c r="D17" s="519">
        <v>100</v>
      </c>
      <c r="E17" s="520"/>
      <c r="F17" s="519">
        <f>SUMIF(84:84,E18,85:85)-SUMIF(84:84,C18,85:85)+100</f>
        <v>102</v>
      </c>
      <c r="G17" s="520"/>
      <c r="H17" s="519">
        <f>SUMIF(84:84,G18,85:85)-SUMIF(84:84,C18,85:85)+100</f>
        <v>102</v>
      </c>
      <c r="I17" s="3703"/>
      <c r="J17" s="519">
        <f>SUMIF(84:84,I18,85:85)-SUMIF(84:84,C18,85:85)+100</f>
        <v>102</v>
      </c>
      <c r="K17" s="505">
        <v>2</v>
      </c>
      <c r="L17" s="1865"/>
      <c r="M17" s="1857"/>
      <c r="N17" s="1857"/>
      <c r="O17" s="1864"/>
      <c r="P17" s="4091" t="s">
        <v>489</v>
      </c>
      <c r="Q17" s="1385" t="str">
        <f t="shared" si="6"/>
        <v>产业集聚程度</v>
      </c>
      <c r="R17" s="1386" t="s">
        <v>5</v>
      </c>
      <c r="S17" s="1387">
        <f t="shared" si="0"/>
        <v>102</v>
      </c>
      <c r="T17" s="1386" t="s">
        <v>5</v>
      </c>
      <c r="U17" s="1387">
        <f t="shared" si="1"/>
        <v>102</v>
      </c>
      <c r="V17" s="1386" t="s">
        <v>5</v>
      </c>
      <c r="W17" s="1387">
        <f t="shared" si="2"/>
        <v>102</v>
      </c>
      <c r="X17" s="1380"/>
      <c r="Y17" s="4091" t="s">
        <v>489</v>
      </c>
      <c r="Z17" s="1388" t="str">
        <f t="shared" si="7"/>
        <v>产业集聚程度</v>
      </c>
      <c r="AA17" s="1389">
        <f t="shared" si="3"/>
        <v>0.98039215686274506</v>
      </c>
      <c r="AB17" s="1389">
        <f t="shared" si="4"/>
        <v>0.98039215686274506</v>
      </c>
      <c r="AC17" s="1389">
        <f t="shared" si="5"/>
        <v>0.98039215686274506</v>
      </c>
    </row>
    <row r="18" spans="1:29" ht="15">
      <c r="A18" s="502"/>
      <c r="B18" s="832"/>
      <c r="C18" s="546" t="s">
        <v>3302</v>
      </c>
      <c r="D18" s="525"/>
      <c r="E18" s="524" t="s">
        <v>3303</v>
      </c>
      <c r="F18" s="525"/>
      <c r="G18" s="524" t="s">
        <v>3303</v>
      </c>
      <c r="H18" s="529"/>
      <c r="I18" s="524" t="s">
        <v>3303</v>
      </c>
      <c r="J18" s="525"/>
      <c r="K18" s="501"/>
      <c r="L18" s="1865"/>
      <c r="M18" s="1857"/>
      <c r="N18" s="1857"/>
      <c r="O18" s="1864"/>
      <c r="P18" s="4092"/>
      <c r="Q18" s="1385"/>
      <c r="R18" s="1386"/>
      <c r="S18" s="1387"/>
      <c r="T18" s="1386"/>
      <c r="U18" s="1387"/>
      <c r="V18" s="1386"/>
      <c r="W18" s="1387"/>
      <c r="X18" s="1380"/>
      <c r="Y18" s="4092"/>
      <c r="Z18" s="1388"/>
      <c r="AA18" s="1389">
        <v>1</v>
      </c>
      <c r="AB18" s="1389">
        <v>1</v>
      </c>
      <c r="AC18" s="1389">
        <v>1</v>
      </c>
    </row>
    <row r="19" spans="1:29" ht="158.4">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3704" t="s">
        <v>3366</v>
      </c>
      <c r="J19" s="529">
        <f>SUMIF(86:86,I20,87:87)-SUMIF(86:86,C20,87:87)+100</f>
        <v>100</v>
      </c>
      <c r="K19" s="505">
        <v>3</v>
      </c>
      <c r="L19" s="1865"/>
      <c r="M19" s="1857"/>
      <c r="N19" s="1857"/>
      <c r="O19" s="1864"/>
      <c r="P19" s="4092"/>
      <c r="Q19" s="1385" t="str">
        <f>B19</f>
        <v>交通便捷度</v>
      </c>
      <c r="R19" s="1386" t="s">
        <v>5</v>
      </c>
      <c r="S19" s="1387">
        <f>F19</f>
        <v>100</v>
      </c>
      <c r="T19" s="1386" t="s">
        <v>5</v>
      </c>
      <c r="U19" s="1387">
        <f>H19</f>
        <v>100</v>
      </c>
      <c r="V19" s="1386" t="s">
        <v>5</v>
      </c>
      <c r="W19" s="1387">
        <f>J19</f>
        <v>100</v>
      </c>
      <c r="X19" s="1380"/>
      <c r="Y19" s="4092"/>
      <c r="Z19" s="1388" t="str">
        <f>Q19</f>
        <v>交通便捷度</v>
      </c>
      <c r="AA19" s="1389">
        <f t="shared" si="3"/>
        <v>1</v>
      </c>
      <c r="AB19" s="1389">
        <f t="shared" si="4"/>
        <v>1</v>
      </c>
      <c r="AC19" s="1389">
        <f t="shared" si="5"/>
        <v>1</v>
      </c>
    </row>
    <row r="20" spans="1:29" ht="15">
      <c r="A20" s="502"/>
      <c r="B20" s="885"/>
      <c r="C20" s="546" t="s">
        <v>3303</v>
      </c>
      <c r="D20" s="525"/>
      <c r="E20" s="526" t="s">
        <v>3303</v>
      </c>
      <c r="F20" s="525"/>
      <c r="G20" s="526" t="s">
        <v>3303</v>
      </c>
      <c r="H20" s="525"/>
      <c r="I20" s="528" t="s">
        <v>3303</v>
      </c>
      <c r="J20" s="525"/>
      <c r="K20" s="501"/>
      <c r="L20" s="1865"/>
      <c r="M20" s="1857"/>
      <c r="N20" s="1857"/>
      <c r="O20" s="1864"/>
      <c r="P20" s="4092"/>
      <c r="Q20" s="1385"/>
      <c r="R20" s="1386"/>
      <c r="S20" s="1387"/>
      <c r="T20" s="1386"/>
      <c r="U20" s="1387"/>
      <c r="V20" s="1386"/>
      <c r="W20" s="1387"/>
      <c r="X20" s="1380"/>
      <c r="Y20" s="4092"/>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4092"/>
      <c r="Q21" s="1385" t="str">
        <f t="shared" ref="Q21:Q35" si="8">B21</f>
        <v>区域土地利用方向</v>
      </c>
      <c r="R21" s="1386" t="s">
        <v>5</v>
      </c>
      <c r="S21" s="1387">
        <f>F21</f>
        <v>100</v>
      </c>
      <c r="T21" s="1386" t="s">
        <v>5</v>
      </c>
      <c r="U21" s="1387">
        <f>H21</f>
        <v>100</v>
      </c>
      <c r="V21" s="1386" t="s">
        <v>5</v>
      </c>
      <c r="W21" s="1387">
        <f>J21</f>
        <v>100</v>
      </c>
      <c r="X21" s="1380"/>
      <c r="Y21" s="4092"/>
      <c r="Z21" s="1388" t="str">
        <f>Q21</f>
        <v>区域土地利用方向</v>
      </c>
      <c r="AA21" s="1389">
        <f t="shared" si="3"/>
        <v>1</v>
      </c>
      <c r="AB21" s="1389">
        <f t="shared" si="4"/>
        <v>1</v>
      </c>
      <c r="AC21" s="1389">
        <f t="shared" si="5"/>
        <v>1</v>
      </c>
    </row>
    <row r="22" spans="1:29" ht="15">
      <c r="A22" s="485"/>
      <c r="B22" s="565"/>
      <c r="C22" s="546" t="s">
        <v>3302</v>
      </c>
      <c r="D22" s="525"/>
      <c r="E22" s="526" t="s">
        <v>3302</v>
      </c>
      <c r="F22" s="527"/>
      <c r="G22" s="528" t="s">
        <v>3302</v>
      </c>
      <c r="H22" s="527"/>
      <c r="I22" s="528" t="s">
        <v>3302</v>
      </c>
      <c r="J22" s="527"/>
      <c r="K22" s="1208"/>
      <c r="L22" s="1865"/>
      <c r="M22" s="1857"/>
      <c r="N22" s="1857"/>
      <c r="O22" s="1864"/>
      <c r="P22" s="4092"/>
      <c r="Q22" s="1385"/>
      <c r="R22" s="1386"/>
      <c r="S22" s="1387"/>
      <c r="T22" s="1386"/>
      <c r="U22" s="1387"/>
      <c r="V22" s="1386"/>
      <c r="W22" s="1387"/>
      <c r="X22" s="1380"/>
      <c r="Y22" s="4092"/>
      <c r="Z22" s="1388"/>
      <c r="AA22" s="1389"/>
      <c r="AB22" s="1389"/>
      <c r="AC22" s="1389"/>
    </row>
    <row r="23" spans="1:29" ht="69">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98</v>
      </c>
      <c r="K23" s="505">
        <v>2</v>
      </c>
      <c r="L23" s="1865"/>
      <c r="M23" s="1857"/>
      <c r="N23" s="1857"/>
      <c r="O23" s="1864"/>
      <c r="P23" s="4092"/>
      <c r="Q23" s="1385" t="str">
        <f t="shared" si="8"/>
        <v>环境状况</v>
      </c>
      <c r="R23" s="1386" t="s">
        <v>5</v>
      </c>
      <c r="S23" s="1387">
        <f>F23</f>
        <v>100</v>
      </c>
      <c r="T23" s="1386" t="s">
        <v>5</v>
      </c>
      <c r="U23" s="1387">
        <f>H23</f>
        <v>100</v>
      </c>
      <c r="V23" s="1386" t="s">
        <v>5</v>
      </c>
      <c r="W23" s="1387">
        <f>J23</f>
        <v>98</v>
      </c>
      <c r="X23" s="1380"/>
      <c r="Y23" s="4092"/>
      <c r="Z23" s="1388" t="str">
        <f>Q23</f>
        <v>环境状况</v>
      </c>
      <c r="AA23" s="1389">
        <f t="shared" si="3"/>
        <v>1</v>
      </c>
      <c r="AB23" s="1389">
        <f t="shared" si="4"/>
        <v>1</v>
      </c>
      <c r="AC23" s="1389">
        <f t="shared" si="5"/>
        <v>1.0204081632653061</v>
      </c>
    </row>
    <row r="24" spans="1:29" ht="15">
      <c r="A24" s="485"/>
      <c r="B24" s="565"/>
      <c r="C24" s="546" t="s">
        <v>3303</v>
      </c>
      <c r="D24" s="525"/>
      <c r="E24" s="524" t="s">
        <v>3303</v>
      </c>
      <c r="F24" s="525"/>
      <c r="G24" s="524" t="s">
        <v>3303</v>
      </c>
      <c r="H24" s="525"/>
      <c r="I24" s="546" t="s">
        <v>3302</v>
      </c>
      <c r="J24" s="525"/>
      <c r="K24" s="501"/>
      <c r="L24" s="1865"/>
      <c r="M24" s="1857"/>
      <c r="N24" s="1857"/>
      <c r="O24" s="1864"/>
      <c r="P24" s="4092"/>
      <c r="Q24" s="1385"/>
      <c r="R24" s="1386"/>
      <c r="S24" s="1387"/>
      <c r="T24" s="1386"/>
      <c r="U24" s="1387"/>
      <c r="V24" s="1386"/>
      <c r="W24" s="1387"/>
      <c r="X24" s="1380"/>
      <c r="Y24" s="4092"/>
      <c r="Z24" s="1388"/>
      <c r="AA24" s="1389">
        <v>1</v>
      </c>
      <c r="AB24" s="1389">
        <v>1</v>
      </c>
      <c r="AC24" s="1389">
        <v>1</v>
      </c>
    </row>
    <row r="25" spans="1:29" s="1118" customFormat="1" ht="41.4">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98</v>
      </c>
      <c r="I25" s="534"/>
      <c r="J25" s="529">
        <f>SUMIF(92:92,I26,93:93)-SUMIF(92:92,C26,93:93)+100</f>
        <v>98</v>
      </c>
      <c r="K25" s="505">
        <v>2</v>
      </c>
      <c r="L25" s="1858"/>
      <c r="M25" s="1859"/>
      <c r="N25" s="1859"/>
      <c r="O25" s="1860"/>
      <c r="P25" s="4092"/>
      <c r="Q25" s="1050" t="str">
        <f t="shared" si="8"/>
        <v>公共配套设施</v>
      </c>
      <c r="R25" s="1381" t="s">
        <v>5</v>
      </c>
      <c r="S25" s="1382">
        <f>F25</f>
        <v>100</v>
      </c>
      <c r="T25" s="1381" t="s">
        <v>5</v>
      </c>
      <c r="U25" s="1382">
        <f>H25</f>
        <v>98</v>
      </c>
      <c r="V25" s="1381" t="s">
        <v>5</v>
      </c>
      <c r="W25" s="1382">
        <f>J25</f>
        <v>98</v>
      </c>
      <c r="X25" s="1383"/>
      <c r="Y25" s="4092"/>
      <c r="Z25" s="1049" t="str">
        <f>Q25</f>
        <v>公共配套设施</v>
      </c>
      <c r="AA25" s="1389">
        <f>D25/F25</f>
        <v>1</v>
      </c>
      <c r="AB25" s="1389">
        <f>D25/H25</f>
        <v>1.0204081632653061</v>
      </c>
      <c r="AC25" s="1389">
        <f>D25/J25</f>
        <v>1.0204081632653061</v>
      </c>
    </row>
    <row r="26" spans="1:29" s="1118" customFormat="1" ht="15">
      <c r="A26" s="547"/>
      <c r="B26" s="565"/>
      <c r="C26" s="2199" t="s">
        <v>3303</v>
      </c>
      <c r="D26" s="525"/>
      <c r="E26" s="524" t="s">
        <v>3303</v>
      </c>
      <c r="F26" s="525"/>
      <c r="G26" s="524" t="s">
        <v>3302</v>
      </c>
      <c r="H26" s="525"/>
      <c r="I26" s="546" t="s">
        <v>3302</v>
      </c>
      <c r="J26" s="525"/>
      <c r="K26" s="501"/>
      <c r="L26" s="1858"/>
      <c r="M26" s="1859"/>
      <c r="N26" s="1859"/>
      <c r="O26" s="1860"/>
      <c r="P26" s="4092"/>
      <c r="Q26" s="1050"/>
      <c r="R26" s="1381"/>
      <c r="S26" s="1382"/>
      <c r="T26" s="1381"/>
      <c r="U26" s="1382"/>
      <c r="V26" s="1381"/>
      <c r="W26" s="1382"/>
      <c r="X26" s="1383"/>
      <c r="Y26" s="4092"/>
      <c r="Z26" s="1049"/>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4092"/>
      <c r="Q27" s="2191" t="str">
        <f>B27</f>
        <v>基础设施水平</v>
      </c>
      <c r="R27" s="1381" t="s">
        <v>5</v>
      </c>
      <c r="S27" s="1382">
        <f>F27</f>
        <v>100</v>
      </c>
      <c r="T27" s="1381" t="s">
        <v>5</v>
      </c>
      <c r="U27" s="1382">
        <f>H27</f>
        <v>100</v>
      </c>
      <c r="V27" s="1381" t="s">
        <v>5</v>
      </c>
      <c r="W27" s="1382">
        <f>J27</f>
        <v>100</v>
      </c>
      <c r="X27" s="1383"/>
      <c r="Y27" s="4092"/>
      <c r="Z27" s="2190" t="str">
        <f>Q27</f>
        <v>基础设施水平</v>
      </c>
      <c r="AA27" s="1389">
        <f>D27/F27</f>
        <v>1</v>
      </c>
      <c r="AB27" s="1389">
        <f>D27/H27</f>
        <v>1</v>
      </c>
      <c r="AC27" s="1389">
        <f>D27/J27</f>
        <v>1</v>
      </c>
    </row>
    <row r="28" spans="1:29" s="1118" customFormat="1" ht="15">
      <c r="A28" s="547"/>
      <c r="B28" s="565"/>
      <c r="C28" s="2199" t="s">
        <v>3305</v>
      </c>
      <c r="D28" s="525"/>
      <c r="E28" s="549" t="s">
        <v>3305</v>
      </c>
      <c r="F28" s="525"/>
      <c r="G28" s="549" t="s">
        <v>3305</v>
      </c>
      <c r="H28" s="525"/>
      <c r="I28" s="549" t="s">
        <v>3305</v>
      </c>
      <c r="J28" s="525"/>
      <c r="K28" s="501"/>
      <c r="L28" s="1858"/>
      <c r="M28" s="1859"/>
      <c r="N28" s="1859"/>
      <c r="O28" s="1860"/>
      <c r="P28" s="4092"/>
      <c r="Q28" s="2191"/>
      <c r="R28" s="1381"/>
      <c r="S28" s="1382"/>
      <c r="T28" s="1381"/>
      <c r="U28" s="1382"/>
      <c r="V28" s="1381"/>
      <c r="W28" s="1382"/>
      <c r="X28" s="1383"/>
      <c r="Y28" s="4092"/>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4092"/>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4092"/>
      <c r="Z29" s="1388" t="str">
        <f t="shared" ref="Z29:Z42" si="12">Q29</f>
        <v>临街状况</v>
      </c>
      <c r="AA29" s="1389">
        <f t="shared" si="3"/>
        <v>1</v>
      </c>
      <c r="AB29" s="1389">
        <f t="shared" si="4"/>
        <v>1</v>
      </c>
      <c r="AC29" s="1389">
        <f t="shared" si="5"/>
        <v>1</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4092"/>
      <c r="Q30" s="1385" t="str">
        <f t="shared" si="8"/>
        <v>毗邻道路的类型与等级</v>
      </c>
      <c r="R30" s="1386" t="s">
        <v>5</v>
      </c>
      <c r="S30" s="1387">
        <f t="shared" si="9"/>
        <v>100</v>
      </c>
      <c r="T30" s="1386" t="s">
        <v>5</v>
      </c>
      <c r="U30" s="1387">
        <f t="shared" si="10"/>
        <v>100</v>
      </c>
      <c r="V30" s="1386" t="s">
        <v>5</v>
      </c>
      <c r="W30" s="1387">
        <f t="shared" si="11"/>
        <v>100</v>
      </c>
      <c r="X30" s="1380"/>
      <c r="Y30" s="4092"/>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4092"/>
      <c r="Q31" s="1385"/>
      <c r="R31" s="1386"/>
      <c r="S31" s="1387"/>
      <c r="T31" s="1386"/>
      <c r="U31" s="1387"/>
      <c r="V31" s="1386"/>
      <c r="W31" s="1387"/>
      <c r="X31" s="1380"/>
      <c r="Y31" s="4092"/>
      <c r="Z31" s="1388"/>
      <c r="AA31" s="1389">
        <v>1</v>
      </c>
      <c r="AB31" s="1389">
        <v>1</v>
      </c>
      <c r="AC31" s="1389">
        <v>1</v>
      </c>
    </row>
    <row r="32" spans="1:29" ht="15">
      <c r="A32" s="502"/>
      <c r="B32" s="497" t="s">
        <v>498</v>
      </c>
      <c r="C32" s="2203" t="str">
        <f>估价对象房地状况!G23</f>
        <v>六级</v>
      </c>
      <c r="D32" s="510">
        <v>100</v>
      </c>
      <c r="E32" s="550" t="s">
        <v>1152</v>
      </c>
      <c r="F32" s="510">
        <f>SUMIF(100:100,E32,101:101)-SUMIF(100:100,C32,101:101)+100</f>
        <v>100</v>
      </c>
      <c r="G32" s="550" t="s">
        <v>1152</v>
      </c>
      <c r="H32" s="510">
        <f>SUMIF(100:100,G32,101:101)-SUMIF(100:100,C32,101:101)+100</f>
        <v>100</v>
      </c>
      <c r="I32" s="550" t="s">
        <v>1155</v>
      </c>
      <c r="J32" s="510">
        <f>SUMIF(100:100,I32,101:101)-SUMIF(100:100,C32,101:101)+100</f>
        <v>100</v>
      </c>
      <c r="K32" s="554">
        <v>0</v>
      </c>
      <c r="L32" s="1865"/>
      <c r="M32" s="1857"/>
      <c r="N32" s="1857"/>
      <c r="O32" s="1864"/>
      <c r="P32" s="4092"/>
      <c r="Q32" s="1385" t="str">
        <f t="shared" si="8"/>
        <v>土地级别</v>
      </c>
      <c r="R32" s="1386" t="s">
        <v>5</v>
      </c>
      <c r="S32" s="1387">
        <f t="shared" si="9"/>
        <v>100</v>
      </c>
      <c r="T32" s="1386" t="s">
        <v>5</v>
      </c>
      <c r="U32" s="1387">
        <f t="shared" si="10"/>
        <v>100</v>
      </c>
      <c r="V32" s="1386" t="s">
        <v>5</v>
      </c>
      <c r="W32" s="1387">
        <f t="shared" si="11"/>
        <v>100</v>
      </c>
      <c r="X32" s="1380"/>
      <c r="Y32" s="4092"/>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4092"/>
      <c r="Q33" s="1385">
        <f t="shared" si="8"/>
        <v>111</v>
      </c>
      <c r="R33" s="1386" t="s">
        <v>5</v>
      </c>
      <c r="S33" s="1387">
        <f t="shared" si="9"/>
        <v>100</v>
      </c>
      <c r="T33" s="1386" t="s">
        <v>5</v>
      </c>
      <c r="U33" s="1387">
        <f t="shared" si="10"/>
        <v>100</v>
      </c>
      <c r="V33" s="1386" t="s">
        <v>5</v>
      </c>
      <c r="W33" s="1387">
        <f t="shared" si="11"/>
        <v>100</v>
      </c>
      <c r="X33" s="1380"/>
      <c r="Y33" s="4092"/>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4093" t="s">
        <v>499</v>
      </c>
      <c r="Q34" s="1385">
        <f t="shared" si="8"/>
        <v>111</v>
      </c>
      <c r="R34" s="1386" t="s">
        <v>5</v>
      </c>
      <c r="S34" s="1387">
        <f t="shared" si="9"/>
        <v>100</v>
      </c>
      <c r="T34" s="1386" t="s">
        <v>5</v>
      </c>
      <c r="U34" s="1387">
        <f t="shared" si="10"/>
        <v>100</v>
      </c>
      <c r="V34" s="1386" t="s">
        <v>5</v>
      </c>
      <c r="W34" s="1387">
        <f t="shared" si="11"/>
        <v>100</v>
      </c>
      <c r="X34" s="1380"/>
      <c r="Y34" s="4094" t="s">
        <v>499</v>
      </c>
      <c r="Z34" s="1388">
        <f t="shared" si="12"/>
        <v>111</v>
      </c>
      <c r="AA34" s="1389">
        <f t="shared" si="3"/>
        <v>1</v>
      </c>
      <c r="AB34" s="1389">
        <f t="shared" si="4"/>
        <v>1</v>
      </c>
      <c r="AC34" s="1389">
        <f t="shared" si="5"/>
        <v>1</v>
      </c>
    </row>
    <row r="35" spans="1:29" s="1200"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4094"/>
      <c r="Q35" s="1385">
        <f t="shared" si="8"/>
        <v>111</v>
      </c>
      <c r="R35" s="1390" t="s">
        <v>5</v>
      </c>
      <c r="S35" s="1391">
        <f t="shared" si="9"/>
        <v>100</v>
      </c>
      <c r="T35" s="1390" t="s">
        <v>5</v>
      </c>
      <c r="U35" s="1391">
        <f t="shared" si="10"/>
        <v>100</v>
      </c>
      <c r="V35" s="1390" t="s">
        <v>5</v>
      </c>
      <c r="W35" s="1391">
        <f t="shared" si="11"/>
        <v>100</v>
      </c>
      <c r="X35" s="1392"/>
      <c r="Y35" s="4094"/>
      <c r="Z35" s="1393">
        <f t="shared" si="12"/>
        <v>111</v>
      </c>
      <c r="AA35" s="1389">
        <f t="shared" si="3"/>
        <v>1</v>
      </c>
      <c r="AB35" s="1389">
        <f t="shared" si="4"/>
        <v>1</v>
      </c>
      <c r="AC35" s="1389">
        <f t="shared" si="5"/>
        <v>1</v>
      </c>
    </row>
    <row r="36" spans="1:29" ht="15">
      <c r="A36" s="2386" t="s">
        <v>2037</v>
      </c>
      <c r="B36" s="565" t="s">
        <v>501</v>
      </c>
      <c r="C36" s="566">
        <f>'数据-汇总表'!D3</f>
        <v>10738.85</v>
      </c>
      <c r="D36" s="567">
        <v>100</v>
      </c>
      <c r="E36" s="566">
        <f>'案例（企业）'!G3</f>
        <v>130380.53</v>
      </c>
      <c r="F36" s="567">
        <f>LOOKUP(E36,109:109,110:110)-LOOKUP(C36,109:109,110:110)+100</f>
        <v>100</v>
      </c>
      <c r="G36" s="566">
        <f>'案例（企业）'!G4</f>
        <v>30040.799999999999</v>
      </c>
      <c r="H36" s="567">
        <f>LOOKUP(G36,109:109,110:110)-LOOKUP(C36,109:109,110:110)+100</f>
        <v>100</v>
      </c>
      <c r="I36" s="568">
        <f>'案例（企业）'!G5</f>
        <v>22121.8</v>
      </c>
      <c r="J36" s="567">
        <f>LOOKUP(I36,109:109,110:110)-LOOKUP(C36,109:109,110:110)+100</f>
        <v>100</v>
      </c>
      <c r="K36" s="551"/>
      <c r="L36" s="1865"/>
      <c r="M36" s="1857"/>
      <c r="N36" s="1857"/>
      <c r="O36" s="1864"/>
      <c r="P36" s="4094"/>
      <c r="Q36" s="1385" t="str">
        <f>B36</f>
        <v>宗地面积</v>
      </c>
      <c r="R36" s="1386" t="s">
        <v>5</v>
      </c>
      <c r="S36" s="1387">
        <f t="shared" si="9"/>
        <v>100</v>
      </c>
      <c r="T36" s="1386" t="s">
        <v>5</v>
      </c>
      <c r="U36" s="1387">
        <f t="shared" si="10"/>
        <v>100</v>
      </c>
      <c r="V36" s="1386" t="s">
        <v>5</v>
      </c>
      <c r="W36" s="1387">
        <f t="shared" si="11"/>
        <v>100</v>
      </c>
      <c r="X36" s="1380"/>
      <c r="Y36" s="4094"/>
      <c r="Z36" s="1388" t="str">
        <f t="shared" si="12"/>
        <v>宗地面积</v>
      </c>
      <c r="AA36" s="1389">
        <f t="shared" si="3"/>
        <v>1</v>
      </c>
      <c r="AB36" s="1389">
        <f t="shared" si="4"/>
        <v>1</v>
      </c>
      <c r="AC36" s="1389">
        <f t="shared" si="5"/>
        <v>1</v>
      </c>
    </row>
    <row r="37" spans="1:29" ht="15">
      <c r="A37" s="564"/>
      <c r="B37" s="497" t="s">
        <v>502</v>
      </c>
      <c r="C37" s="569" t="s">
        <v>3372</v>
      </c>
      <c r="D37" s="510">
        <v>100</v>
      </c>
      <c r="E37" s="569" t="s">
        <v>3370</v>
      </c>
      <c r="F37" s="510">
        <f>SUMIF(111:111,E37,112:112)-SUMIF(111:111,C37,112:112)+100</f>
        <v>102</v>
      </c>
      <c r="G37" s="569" t="s">
        <v>3370</v>
      </c>
      <c r="H37" s="510">
        <f>SUMIF(111:111,G37,112:112)-SUMIF(111:111,C37,112:112)+100</f>
        <v>102</v>
      </c>
      <c r="I37" s="569" t="s">
        <v>3370</v>
      </c>
      <c r="J37" s="510">
        <f>SUMIF(111:111,I37,112:112)-SUMIF(111:111,C37,112:112)+100</f>
        <v>102</v>
      </c>
      <c r="K37" s="554">
        <v>2</v>
      </c>
      <c r="L37" s="1865"/>
      <c r="M37" s="1857"/>
      <c r="N37" s="1857"/>
      <c r="O37" s="1864"/>
      <c r="P37" s="4094"/>
      <c r="Q37" s="1385" t="str">
        <f t="shared" ref="Q37:Q42" si="13">B37</f>
        <v>宗地形状</v>
      </c>
      <c r="R37" s="1386" t="s">
        <v>5</v>
      </c>
      <c r="S37" s="1387">
        <f t="shared" si="9"/>
        <v>102</v>
      </c>
      <c r="T37" s="1386" t="s">
        <v>5</v>
      </c>
      <c r="U37" s="1387">
        <f t="shared" si="10"/>
        <v>102</v>
      </c>
      <c r="V37" s="1386" t="s">
        <v>5</v>
      </c>
      <c r="W37" s="1387">
        <f t="shared" si="11"/>
        <v>102</v>
      </c>
      <c r="X37" s="1380"/>
      <c r="Y37" s="4094"/>
      <c r="Z37" s="1388" t="str">
        <f t="shared" si="12"/>
        <v>宗地形状</v>
      </c>
      <c r="AA37" s="1389">
        <f t="shared" si="3"/>
        <v>0.98039215686274506</v>
      </c>
      <c r="AB37" s="1389">
        <f t="shared" si="4"/>
        <v>0.98039215686274506</v>
      </c>
      <c r="AC37" s="1389">
        <f t="shared" si="5"/>
        <v>0.98039215686274506</v>
      </c>
    </row>
    <row r="38" spans="1:29" s="1118" customFormat="1" ht="15">
      <c r="A38" s="570"/>
      <c r="B38" s="1651" t="s">
        <v>1776</v>
      </c>
      <c r="C38" s="571" t="s">
        <v>3374</v>
      </c>
      <c r="D38" s="246">
        <v>100</v>
      </c>
      <c r="E38" s="571" t="s">
        <v>3374</v>
      </c>
      <c r="F38" s="510">
        <f>SUMIF(113:113,E38,114:114)-SUMIF(113:113,C38,114:114)+100</f>
        <v>100</v>
      </c>
      <c r="G38" s="571" t="s">
        <v>3374</v>
      </c>
      <c r="H38" s="510">
        <f>SUMIF(113:113,G38,114:114)-SUMIF(113:113,C38,114:114)+100</f>
        <v>100</v>
      </c>
      <c r="I38" s="571" t="s">
        <v>3377</v>
      </c>
      <c r="J38" s="510">
        <f>SUMIF(113:113,I38,114:114)-SUMIF(113:113,C38,114:114)+100</f>
        <v>90</v>
      </c>
      <c r="K38" s="554">
        <v>5</v>
      </c>
      <c r="L38" s="1858"/>
      <c r="M38" s="1859"/>
      <c r="N38" s="1859"/>
      <c r="O38" s="1860"/>
      <c r="P38" s="4094"/>
      <c r="Q38" s="1385" t="str">
        <f t="shared" si="13"/>
        <v>宗地开发程度</v>
      </c>
      <c r="R38" s="1381" t="s">
        <v>5</v>
      </c>
      <c r="S38" s="1382">
        <f t="shared" si="9"/>
        <v>100</v>
      </c>
      <c r="T38" s="1381" t="s">
        <v>5</v>
      </c>
      <c r="U38" s="1382">
        <f t="shared" si="10"/>
        <v>100</v>
      </c>
      <c r="V38" s="1381" t="s">
        <v>5</v>
      </c>
      <c r="W38" s="1382">
        <f t="shared" si="11"/>
        <v>90</v>
      </c>
      <c r="X38" s="1383"/>
      <c r="Y38" s="4094"/>
      <c r="Z38" s="1049" t="str">
        <f t="shared" si="12"/>
        <v>宗地开发程度</v>
      </c>
      <c r="AA38" s="1384">
        <f t="shared" si="3"/>
        <v>1</v>
      </c>
      <c r="AB38" s="1384">
        <f t="shared" si="4"/>
        <v>1</v>
      </c>
      <c r="AC38" s="1384">
        <f t="shared" si="5"/>
        <v>1.1111111111111112</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4094" t="s">
        <v>549</v>
      </c>
      <c r="Q39" s="1385" t="str">
        <f t="shared" si="13"/>
        <v>工程地质条件</v>
      </c>
      <c r="R39" s="1386" t="s">
        <v>5</v>
      </c>
      <c r="S39" s="1387">
        <f t="shared" si="9"/>
        <v>100</v>
      </c>
      <c r="T39" s="1386" t="s">
        <v>5</v>
      </c>
      <c r="U39" s="1387">
        <f t="shared" si="10"/>
        <v>100</v>
      </c>
      <c r="V39" s="1386" t="s">
        <v>5</v>
      </c>
      <c r="W39" s="1387">
        <f t="shared" si="11"/>
        <v>100</v>
      </c>
      <c r="X39" s="1380"/>
      <c r="Y39" s="4094"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4094"/>
      <c r="Q40" s="1385">
        <f t="shared" si="13"/>
        <v>111</v>
      </c>
      <c r="R40" s="1386" t="s">
        <v>5</v>
      </c>
      <c r="S40" s="1387">
        <f t="shared" si="9"/>
        <v>100</v>
      </c>
      <c r="T40" s="1386" t="s">
        <v>5</v>
      </c>
      <c r="U40" s="1387">
        <f t="shared" si="10"/>
        <v>100</v>
      </c>
      <c r="V40" s="1386" t="s">
        <v>5</v>
      </c>
      <c r="W40" s="1387">
        <f t="shared" si="11"/>
        <v>100</v>
      </c>
      <c r="X40" s="1380"/>
      <c r="Y40" s="4094"/>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4094"/>
      <c r="Q41" s="1385">
        <f t="shared" si="13"/>
        <v>111</v>
      </c>
      <c r="R41" s="1386" t="s">
        <v>5</v>
      </c>
      <c r="S41" s="1387">
        <f t="shared" si="9"/>
        <v>100</v>
      </c>
      <c r="T41" s="1386" t="s">
        <v>5</v>
      </c>
      <c r="U41" s="1387">
        <f t="shared" si="10"/>
        <v>100</v>
      </c>
      <c r="V41" s="1386" t="s">
        <v>5</v>
      </c>
      <c r="W41" s="1387">
        <f t="shared" si="11"/>
        <v>100</v>
      </c>
      <c r="X41" s="1380"/>
      <c r="Y41" s="4094"/>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4094"/>
      <c r="Q42" s="1385">
        <f t="shared" si="13"/>
        <v>111</v>
      </c>
      <c r="R42" s="1390" t="s">
        <v>5</v>
      </c>
      <c r="S42" s="1391">
        <f t="shared" si="9"/>
        <v>100</v>
      </c>
      <c r="T42" s="1390" t="s">
        <v>5</v>
      </c>
      <c r="U42" s="1391">
        <f t="shared" si="10"/>
        <v>100</v>
      </c>
      <c r="V42" s="1390" t="s">
        <v>5</v>
      </c>
      <c r="W42" s="1391">
        <f t="shared" si="11"/>
        <v>100</v>
      </c>
      <c r="X42" s="1392"/>
      <c r="Y42" s="4094"/>
      <c r="Z42" s="1393">
        <f t="shared" si="12"/>
        <v>111</v>
      </c>
      <c r="AA42" s="1389">
        <f t="shared" si="3"/>
        <v>1</v>
      </c>
      <c r="AB42" s="1389">
        <f t="shared" si="4"/>
        <v>1</v>
      </c>
      <c r="AC42" s="1389">
        <f t="shared" si="5"/>
        <v>1</v>
      </c>
    </row>
    <row r="43" spans="1:29" ht="14.4">
      <c r="A43" s="577" t="s">
        <v>505</v>
      </c>
      <c r="B43" s="578" t="s">
        <v>2195</v>
      </c>
      <c r="C43" s="579" t="s">
        <v>0</v>
      </c>
      <c r="D43" s="580"/>
      <c r="E43" s="581">
        <f>'案例（企业）'!K3</f>
        <v>9355</v>
      </c>
      <c r="F43" s="582"/>
      <c r="G43" s="583">
        <f>'案例（企业）'!K4</f>
        <v>6661</v>
      </c>
      <c r="H43" s="584"/>
      <c r="I43" s="581">
        <f>'案例（企业）'!K5</f>
        <v>4477</v>
      </c>
      <c r="J43" s="584"/>
      <c r="K43" s="1201"/>
      <c r="L43" s="1867"/>
      <c r="M43" s="1857"/>
      <c r="N43" s="1857"/>
      <c r="O43" s="1868"/>
      <c r="P43" s="4089" t="str">
        <f>A43</f>
        <v>成交单价</v>
      </c>
      <c r="Q43" s="4089"/>
      <c r="R43" s="4105">
        <f>E43</f>
        <v>9355</v>
      </c>
      <c r="S43" s="4105"/>
      <c r="T43" s="4105">
        <f>G43</f>
        <v>6661</v>
      </c>
      <c r="U43" s="4105"/>
      <c r="V43" s="4105">
        <f>I43</f>
        <v>4477</v>
      </c>
      <c r="W43" s="4105"/>
      <c r="X43" s="1375"/>
      <c r="Y43" s="1394"/>
      <c r="Z43" s="1375"/>
      <c r="AA43" s="1375"/>
      <c r="AB43" s="1375"/>
      <c r="AC43" s="1375"/>
    </row>
    <row r="44" spans="1:29" ht="15" thickBot="1">
      <c r="A44" s="585" t="s">
        <v>1975</v>
      </c>
      <c r="B44" s="586"/>
      <c r="C44" s="587">
        <f>R45</f>
        <v>7889</v>
      </c>
      <c r="D44" s="2756" t="s">
        <v>2259</v>
      </c>
      <c r="E44" s="587">
        <f>R44</f>
        <v>10693</v>
      </c>
      <c r="F44" s="2757"/>
      <c r="G44" s="588">
        <f>T44</f>
        <v>7904</v>
      </c>
      <c r="H44" s="2757"/>
      <c r="I44" s="587">
        <f>V44</f>
        <v>5070</v>
      </c>
      <c r="J44" s="2757"/>
      <c r="K44" s="2758">
        <f>F44+H44+J44</f>
        <v>0</v>
      </c>
      <c r="L44" s="1867"/>
      <c r="M44" s="1857"/>
      <c r="N44" s="1857"/>
      <c r="O44" s="1868"/>
      <c r="P44" s="4089" t="str">
        <f>A44</f>
        <v>比较价格（元/平方米）</v>
      </c>
      <c r="Q44" s="4089"/>
      <c r="R44" s="4113">
        <f>ROUND(PRODUCT(R43,AA9:AA42),0)</f>
        <v>10693</v>
      </c>
      <c r="S44" s="4113"/>
      <c r="T44" s="4113">
        <f>ROUND(PRODUCT(T43,AB9:AB42),0)</f>
        <v>7904</v>
      </c>
      <c r="U44" s="4113"/>
      <c r="V44" s="4113">
        <f>ROUND(PRODUCT(V43,AC9:AC42),0)</f>
        <v>5070</v>
      </c>
      <c r="W44" s="4113"/>
      <c r="X44" s="1375"/>
      <c r="Y44" s="1375"/>
      <c r="Z44" s="1375"/>
      <c r="AA44" s="1375"/>
      <c r="AB44" s="1375"/>
      <c r="AC44" s="1375"/>
    </row>
    <row r="45" spans="1:29" ht="15" thickBot="1">
      <c r="A45" s="589" t="s">
        <v>2196</v>
      </c>
      <c r="B45" s="590"/>
      <c r="C45" s="591">
        <f>R45</f>
        <v>7889</v>
      </c>
      <c r="D45" s="591"/>
      <c r="E45" s="591"/>
      <c r="F45" s="591"/>
      <c r="G45" s="591"/>
      <c r="H45" s="591"/>
      <c r="I45" s="591"/>
      <c r="J45" s="591"/>
      <c r="K45" s="1202"/>
      <c r="L45" s="1867"/>
      <c r="M45" s="1857"/>
      <c r="N45" s="1857"/>
      <c r="O45" s="1868"/>
      <c r="P45" s="4095" t="str">
        <f>A45</f>
        <v>估价对象XX用房的比较价格（楼面单价，元/平方米）</v>
      </c>
      <c r="Q45" s="4096"/>
      <c r="R45" s="4118">
        <f>ROUND(IF(D44="简单平均",AVERAGE(R44:W44),R44*F44+T44*H44+V44*J44),0)</f>
        <v>7889</v>
      </c>
      <c r="S45" s="4118"/>
      <c r="T45" s="4118"/>
      <c r="U45" s="4118"/>
      <c r="V45" s="4118"/>
      <c r="W45" s="4118"/>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0.14302512025654734</v>
      </c>
      <c r="F48" s="595" t="str">
        <f>IF(OR(E48&gt;=0.3,E48&lt;=-0.3),"超过30%","")</f>
        <v/>
      </c>
      <c r="G48" s="594">
        <f>IF(G43&lt;G44,G44/G43-1,G43/G44-1)</f>
        <v>0.18660861732472611</v>
      </c>
      <c r="H48" s="595" t="str">
        <f>IF(OR(G48&gt;=0.3,G48&lt;=-0.3),"超过30%","")</f>
        <v/>
      </c>
      <c r="I48" s="594">
        <f>IF(I43&lt;I44,I44/I43-1,I43/I44-1)</f>
        <v>0.13245476881840523</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0.35285931174089069</v>
      </c>
      <c r="F49" s="595" t="str">
        <f>IF(OR(E49&gt;=0.2,E49&lt;=-0.2),"超过20%","")</f>
        <v>超过20%</v>
      </c>
      <c r="G49" s="594">
        <f>IF(G44&lt;I44,I44/G44-1,G44/I44-1)</f>
        <v>0.55897435897435899</v>
      </c>
      <c r="H49" s="595" t="str">
        <f>IF(OR(G49&gt;=0.2,G49&lt;=-0.2),"超过20%","")</f>
        <v>超过20%</v>
      </c>
      <c r="I49" s="594">
        <f>IF(I44&lt;E44,E44/I44-1,I44/E44-1)</f>
        <v>1.1090729783037476</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0.40444377721062907</v>
      </c>
      <c r="F50" s="595" t="str">
        <f>IF(OR(E50&gt;=0.3,E50&lt;=-0.3),"超过30%","")</f>
        <v>超过30%</v>
      </c>
      <c r="G50" s="594">
        <f>IF(G43&lt;I43,I43/G43-1,G43/I43-1)</f>
        <v>0.48782666964485144</v>
      </c>
      <c r="H50" s="595" t="str">
        <f>IF(OR(G50&gt;=0.3,G50&lt;=-0.3),"超过30%","")</f>
        <v>超过30%</v>
      </c>
      <c r="I50" s="594">
        <f>IF(I43&lt;E43,E43/I43-1,I43/E43-1)</f>
        <v>1.089568907750726</v>
      </c>
      <c r="J50" s="595" t="str">
        <f>IF(OR(I50&gt;=0.3,I50&lt;=-0.3),"超过30%","")</f>
        <v>超过30%</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4114" t="s">
        <v>1642</v>
      </c>
      <c r="H52" s="4115"/>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7889</v>
      </c>
      <c r="C53" s="603">
        <v>1</v>
      </c>
      <c r="D53" s="1947">
        <v>1</v>
      </c>
      <c r="E53" s="603">
        <f>'数据-汇总表'!E8+'数据-汇总表'!E9</f>
        <v>10738.85</v>
      </c>
      <c r="F53" s="1706">
        <f t="shared" ref="F53:F61" si="14">ROUND(B53*E53/10000,0)</f>
        <v>8472</v>
      </c>
      <c r="G53" s="4116"/>
      <c r="H53" s="4117"/>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10738.85</v>
      </c>
      <c r="F62" s="612">
        <f>IF(B43="楼面地价",SUM(F53:F61),ROUND(C45*E62/10000,0))</f>
        <v>8472</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2025-3-1</v>
      </c>
      <c r="D64" s="2278">
        <f>EDATE(C64,-3)</f>
        <v>45627</v>
      </c>
      <c r="E64" s="2278">
        <f t="shared" ref="E64:N64" si="17">EDATE(D64,-3)</f>
        <v>45536</v>
      </c>
      <c r="F64" s="2278">
        <f t="shared" si="17"/>
        <v>45444</v>
      </c>
      <c r="G64" s="2278">
        <f t="shared" si="17"/>
        <v>45352</v>
      </c>
      <c r="H64" s="2278">
        <f t="shared" si="17"/>
        <v>45261</v>
      </c>
      <c r="I64" s="2278">
        <f t="shared" si="17"/>
        <v>45170</v>
      </c>
      <c r="J64" s="2278">
        <f t="shared" si="17"/>
        <v>45078</v>
      </c>
      <c r="K64" s="2278">
        <f t="shared" si="17"/>
        <v>44986</v>
      </c>
      <c r="L64" s="2278">
        <f t="shared" si="17"/>
        <v>44896</v>
      </c>
      <c r="M64" s="2278">
        <f t="shared" si="17"/>
        <v>44805</v>
      </c>
      <c r="N64" s="2278">
        <f t="shared" si="17"/>
        <v>44713</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7.6">
      <c r="A66" s="2185" t="s">
        <v>1816</v>
      </c>
      <c r="B66" s="614"/>
      <c r="C66" s="2275" t="str">
        <f>YEAR(C64)&amp;"-"&amp;ROUNDUP(MONTH(C64)/3,0)</f>
        <v>2025-1</v>
      </c>
      <c r="D66" s="2280" t="str">
        <f t="shared" ref="D66:N66" si="18">YEAR(D64)&amp;"-"&amp;ROUNDUP(MONTH(D64)/3,0)</f>
        <v>2024-4</v>
      </c>
      <c r="E66" s="2280" t="str">
        <f t="shared" si="18"/>
        <v>2024-3</v>
      </c>
      <c r="F66" s="2280" t="str">
        <f t="shared" si="18"/>
        <v>2024-2</v>
      </c>
      <c r="G66" s="2280" t="str">
        <f t="shared" si="18"/>
        <v>2024-1</v>
      </c>
      <c r="H66" s="2280" t="str">
        <f t="shared" si="18"/>
        <v>2023-4</v>
      </c>
      <c r="I66" s="2280" t="str">
        <f t="shared" si="18"/>
        <v>2023-3</v>
      </c>
      <c r="J66" s="2280" t="str">
        <f t="shared" si="18"/>
        <v>2023-2</v>
      </c>
      <c r="K66" s="2280" t="str">
        <f t="shared" si="18"/>
        <v>2023-1</v>
      </c>
      <c r="L66" s="2280" t="str">
        <f t="shared" si="18"/>
        <v>2022-4</v>
      </c>
      <c r="M66" s="2280" t="str">
        <f t="shared" si="18"/>
        <v>2022-3</v>
      </c>
      <c r="N66" s="2280" t="str">
        <f t="shared" si="18"/>
        <v>2022-2</v>
      </c>
      <c r="O66" s="1881" t="s">
        <v>3411</v>
      </c>
      <c r="P66" s="1882" t="s">
        <v>3412</v>
      </c>
      <c r="Q66" s="1881" t="s">
        <v>3413</v>
      </c>
      <c r="R66" s="1882" t="s">
        <v>3414</v>
      </c>
      <c r="S66" s="1883" t="s">
        <v>3415</v>
      </c>
      <c r="T66" s="1881" t="s">
        <v>3358</v>
      </c>
      <c r="U66" s="1882" t="s">
        <v>3359</v>
      </c>
      <c r="V66" s="1881" t="s">
        <v>3360</v>
      </c>
      <c r="W66" s="1882" t="s">
        <v>3361</v>
      </c>
      <c r="X66" s="1883" t="s">
        <v>3362</v>
      </c>
      <c r="Y66" s="1883" t="s">
        <v>3363</v>
      </c>
      <c r="Z66" s="1883" t="s">
        <v>3364</v>
      </c>
      <c r="AA66" s="1883" t="s">
        <v>3416</v>
      </c>
      <c r="AB66" s="1883" t="s">
        <v>3418</v>
      </c>
      <c r="AC66" s="1883" t="s">
        <v>3420</v>
      </c>
    </row>
    <row r="67" spans="1:29" s="1118" customFormat="1" ht="27.75" customHeight="1" thickBot="1">
      <c r="A67" s="2277" t="s">
        <v>1931</v>
      </c>
      <c r="B67" s="465" t="str">
        <f>"北京市平均增长率"&amp;TEXT(基准地价!P28,"0.00%")</f>
        <v>北京市平均增长率0.00%</v>
      </c>
      <c r="C67" s="857">
        <v>100</v>
      </c>
      <c r="D67" s="698">
        <f>ROUND(C67/(1+D68/100)/(1+C68/100),2)</f>
        <v>99.5</v>
      </c>
      <c r="E67" s="698">
        <f>ROUND(D67/(1+E68/100),2)</f>
        <v>99.71</v>
      </c>
      <c r="F67" s="698">
        <f t="shared" ref="F67:X67" si="19">ROUND(E67/(1+F68/100),2)</f>
        <v>99.37</v>
      </c>
      <c r="G67" s="698">
        <f t="shared" si="19"/>
        <v>98.79</v>
      </c>
      <c r="H67" s="698">
        <f t="shared" si="19"/>
        <v>98.19</v>
      </c>
      <c r="I67" s="698">
        <f t="shared" si="19"/>
        <v>97.77</v>
      </c>
      <c r="J67" s="698">
        <f t="shared" si="19"/>
        <v>97.08</v>
      </c>
      <c r="K67" s="698">
        <f t="shared" si="19"/>
        <v>96.6</v>
      </c>
      <c r="L67" s="698">
        <f t="shared" si="19"/>
        <v>96.09</v>
      </c>
      <c r="M67" s="698">
        <f t="shared" si="19"/>
        <v>95.49</v>
      </c>
      <c r="N67" s="698">
        <f t="shared" si="19"/>
        <v>94.47</v>
      </c>
      <c r="O67" s="698">
        <f t="shared" si="19"/>
        <v>93.87</v>
      </c>
      <c r="P67" s="698">
        <f t="shared" si="19"/>
        <v>93.36</v>
      </c>
      <c r="Q67" s="698">
        <f t="shared" si="19"/>
        <v>92.91</v>
      </c>
      <c r="R67" s="698">
        <f t="shared" si="19"/>
        <v>91.98</v>
      </c>
      <c r="S67" s="698">
        <f t="shared" si="19"/>
        <v>91.65</v>
      </c>
      <c r="T67" s="698">
        <f t="shared" si="19"/>
        <v>89.25</v>
      </c>
      <c r="U67" s="698">
        <f t="shared" si="19"/>
        <v>89.19</v>
      </c>
      <c r="V67" s="698">
        <f t="shared" si="19"/>
        <v>88.77</v>
      </c>
      <c r="W67" s="698">
        <f t="shared" si="19"/>
        <v>88.53</v>
      </c>
      <c r="X67" s="698">
        <f t="shared" si="19"/>
        <v>88.11</v>
      </c>
      <c r="Y67" s="698">
        <f t="shared" ref="Y67" si="20">ROUND(X67/(1+Y68/100),2)</f>
        <v>87.21</v>
      </c>
      <c r="Z67" s="698">
        <f t="shared" ref="Z67" si="21">ROUND(Y67/(1+Z68/100),2)</f>
        <v>86.13</v>
      </c>
      <c r="AA67" s="698">
        <f t="shared" ref="AA67" si="22">ROUND(Z67/(1+AA68/100),2)</f>
        <v>85.17</v>
      </c>
      <c r="AB67" s="698">
        <f t="shared" ref="AB67" si="23">ROUND(AA67/(1+AB68/100),2)</f>
        <v>84.09</v>
      </c>
      <c r="AC67" s="698">
        <f t="shared" ref="AC67" si="24">ROUND(AB67/(1+AC68/100),2)</f>
        <v>82.65</v>
      </c>
    </row>
    <row r="68" spans="1:29" s="1118" customFormat="1" ht="15" thickBot="1">
      <c r="A68" s="621" t="s">
        <v>523</v>
      </c>
      <c r="B68" s="622"/>
      <c r="C68" s="3711">
        <v>0.42</v>
      </c>
      <c r="D68" s="3702">
        <v>0.08</v>
      </c>
      <c r="E68" s="3702">
        <v>-0.21</v>
      </c>
      <c r="F68" s="3702">
        <v>0.34</v>
      </c>
      <c r="G68" s="3702">
        <v>0.59</v>
      </c>
      <c r="H68" s="3702">
        <v>0.61</v>
      </c>
      <c r="I68" s="3702">
        <v>0.43</v>
      </c>
      <c r="J68" s="3702">
        <v>0.71</v>
      </c>
      <c r="K68" s="3702">
        <v>0.5</v>
      </c>
      <c r="L68" s="3702">
        <v>0.53</v>
      </c>
      <c r="M68" s="3702">
        <v>0.63</v>
      </c>
      <c r="N68" s="3702">
        <v>1.08</v>
      </c>
      <c r="O68" s="3688">
        <v>0.64</v>
      </c>
      <c r="P68" s="3688">
        <v>0.55000000000000004</v>
      </c>
      <c r="Q68" s="3688">
        <v>0.48</v>
      </c>
      <c r="R68" s="3688">
        <v>1.01</v>
      </c>
      <c r="S68" s="3688">
        <v>0.36</v>
      </c>
      <c r="T68" s="3688">
        <v>2.69</v>
      </c>
      <c r="U68" s="3701">
        <v>7.0000000000000007E-2</v>
      </c>
      <c r="V68" s="3688">
        <v>0.47</v>
      </c>
      <c r="W68" s="3701">
        <v>0.27</v>
      </c>
      <c r="X68" s="3688">
        <v>0.48</v>
      </c>
      <c r="Y68" s="1746">
        <v>1.03</v>
      </c>
      <c r="Z68" s="1746">
        <v>1.25</v>
      </c>
      <c r="AA68" s="1746">
        <v>1.1299999999999999</v>
      </c>
      <c r="AB68" s="1746">
        <v>1.29</v>
      </c>
      <c r="AC68" s="1746">
        <v>1.74</v>
      </c>
    </row>
    <row r="69" spans="1:29" s="1118" customFormat="1" ht="14.4">
      <c r="A69" s="627" t="s">
        <v>480</v>
      </c>
      <c r="B69" s="616"/>
      <c r="C69" s="628" t="s">
        <v>524</v>
      </c>
      <c r="D69" s="3699" t="s">
        <v>3356</v>
      </c>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v>100</v>
      </c>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3700" t="s">
        <v>3357</v>
      </c>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4.4" thickBot="1">
      <c r="A72" s="637"/>
      <c r="B72" s="638"/>
      <c r="C72" s="639">
        <v>100</v>
      </c>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0（含）-1</v>
      </c>
      <c r="D75" s="650" t="str">
        <f t="shared" ref="D75:L75" si="25">D76&amp;"（含）"&amp;"-"&amp;E76</f>
        <v>1（含）-</v>
      </c>
      <c r="E75" s="650" t="str">
        <f t="shared" si="25"/>
        <v>（含）-</v>
      </c>
      <c r="F75" s="650" t="str">
        <f t="shared" si="25"/>
        <v>（含）-</v>
      </c>
      <c r="G75" s="650" t="str">
        <f t="shared" si="25"/>
        <v>（含）-</v>
      </c>
      <c r="H75" s="650" t="str">
        <f t="shared" si="25"/>
        <v>（含）-</v>
      </c>
      <c r="I75" s="650" t="str">
        <f t="shared" si="25"/>
        <v>（含）-</v>
      </c>
      <c r="J75" s="650" t="str">
        <f t="shared" si="25"/>
        <v>（含）-</v>
      </c>
      <c r="K75" s="650" t="str">
        <f t="shared" si="25"/>
        <v>（含）-</v>
      </c>
      <c r="L75" s="650" t="str">
        <f t="shared" si="25"/>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6">IF($B$43="单位面积地价",C77+$K13,C77-$K13)</f>
        <v>100</v>
      </c>
      <c r="E77" s="647">
        <f t="shared" si="26"/>
        <v>100</v>
      </c>
      <c r="F77" s="647">
        <f t="shared" si="26"/>
        <v>100</v>
      </c>
      <c r="G77" s="647">
        <f t="shared" si="26"/>
        <v>100</v>
      </c>
      <c r="H77" s="647">
        <f t="shared" si="26"/>
        <v>100</v>
      </c>
      <c r="I77" s="647">
        <f t="shared" si="26"/>
        <v>100</v>
      </c>
      <c r="J77" s="647">
        <f t="shared" si="26"/>
        <v>100</v>
      </c>
      <c r="K77" s="647">
        <f t="shared" si="26"/>
        <v>100</v>
      </c>
      <c r="L77" s="647">
        <f t="shared" si="26"/>
        <v>100</v>
      </c>
      <c r="M77" s="647">
        <f t="shared" si="26"/>
        <v>100</v>
      </c>
      <c r="N77" s="2969"/>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98</v>
      </c>
      <c r="E85" s="647">
        <f>D85-$K17</f>
        <v>96</v>
      </c>
      <c r="F85" s="647">
        <f>E85-$K17</f>
        <v>94</v>
      </c>
      <c r="G85" s="647">
        <f>F85-$K17</f>
        <v>92</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97</v>
      </c>
      <c r="E87" s="647">
        <f>D87-$K19</f>
        <v>94</v>
      </c>
      <c r="F87" s="647">
        <f>E87-$K19</f>
        <v>91</v>
      </c>
      <c r="G87" s="647">
        <f>F87-$K19</f>
        <v>88</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98</v>
      </c>
      <c r="E91" s="647">
        <f>D91-$K23</f>
        <v>96</v>
      </c>
      <c r="F91" s="647">
        <f>E91-$K23</f>
        <v>94</v>
      </c>
      <c r="G91" s="647">
        <f>F91-$K23</f>
        <v>92</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98</v>
      </c>
      <c r="E93" s="647">
        <f>D93-$K25</f>
        <v>96</v>
      </c>
      <c r="F93" s="647">
        <f>E93-$K25</f>
        <v>94</v>
      </c>
      <c r="G93" s="647">
        <f>F93-$K25</f>
        <v>92</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 thickTop="1">
      <c r="A94" s="655"/>
      <c r="B94" s="2204" t="s">
        <v>1833</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7">C97-$K29</f>
        <v>100</v>
      </c>
      <c r="E97" s="647">
        <f t="shared" si="27"/>
        <v>100</v>
      </c>
      <c r="F97" s="647">
        <f t="shared" si="27"/>
        <v>100</v>
      </c>
      <c r="G97" s="647">
        <f t="shared" si="27"/>
        <v>100</v>
      </c>
      <c r="H97" s="647">
        <f t="shared" si="27"/>
        <v>100</v>
      </c>
      <c r="I97" s="647">
        <f t="shared" si="27"/>
        <v>100</v>
      </c>
      <c r="J97" s="647">
        <f t="shared" si="27"/>
        <v>100</v>
      </c>
      <c r="K97" s="647">
        <f t="shared" si="27"/>
        <v>100</v>
      </c>
      <c r="L97" s="647">
        <f t="shared" si="27"/>
        <v>100</v>
      </c>
      <c r="M97" s="647">
        <f t="shared" si="27"/>
        <v>100</v>
      </c>
      <c r="N97" s="2969"/>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8">C99-$K30</f>
        <v>100</v>
      </c>
      <c r="E99" s="647">
        <f t="shared" si="28"/>
        <v>100</v>
      </c>
      <c r="F99" s="647">
        <f t="shared" si="28"/>
        <v>100</v>
      </c>
      <c r="G99" s="647">
        <f t="shared" si="28"/>
        <v>100</v>
      </c>
      <c r="H99" s="647">
        <f t="shared" si="28"/>
        <v>100</v>
      </c>
      <c r="I99" s="647">
        <f t="shared" si="28"/>
        <v>100</v>
      </c>
      <c r="J99" s="647">
        <f t="shared" si="28"/>
        <v>100</v>
      </c>
      <c r="K99" s="647">
        <f t="shared" si="28"/>
        <v>100</v>
      </c>
      <c r="L99" s="647">
        <f t="shared" si="28"/>
        <v>100</v>
      </c>
      <c r="M99" s="647">
        <f t="shared" si="28"/>
        <v>100</v>
      </c>
      <c r="N99" s="2969"/>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687" t="s">
        <v>3380</v>
      </c>
      <c r="D100" s="3687" t="s">
        <v>3367</v>
      </c>
      <c r="E100" s="3687" t="s">
        <v>3368</v>
      </c>
      <c r="F100" s="3687" t="s">
        <v>3369</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9">C101-$K32</f>
        <v>100</v>
      </c>
      <c r="E101" s="647">
        <f t="shared" si="29"/>
        <v>100</v>
      </c>
      <c r="F101" s="647">
        <f t="shared" si="29"/>
        <v>100</v>
      </c>
      <c r="G101" s="647">
        <f t="shared" si="29"/>
        <v>100</v>
      </c>
      <c r="H101" s="647">
        <f t="shared" si="29"/>
        <v>100</v>
      </c>
      <c r="I101" s="647">
        <f t="shared" si="29"/>
        <v>100</v>
      </c>
      <c r="J101" s="647">
        <f t="shared" si="29"/>
        <v>100</v>
      </c>
      <c r="K101" s="647">
        <f t="shared" si="29"/>
        <v>100</v>
      </c>
      <c r="L101" s="647">
        <f t="shared" si="29"/>
        <v>100</v>
      </c>
      <c r="M101" s="647">
        <f t="shared" si="29"/>
        <v>100</v>
      </c>
      <c r="N101" s="2969"/>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30">C109&amp;"(含)"&amp;"-"&amp;D109</f>
        <v>0(含)-100000</v>
      </c>
      <c r="D108" s="672" t="str">
        <f t="shared" si="30"/>
        <v>100000(含)-150000</v>
      </c>
      <c r="E108" s="672" t="str">
        <f t="shared" si="30"/>
        <v>150000(含)-</v>
      </c>
      <c r="F108" s="672" t="str">
        <f t="shared" si="30"/>
        <v>(含)-</v>
      </c>
      <c r="G108" s="672" t="str">
        <f t="shared" si="30"/>
        <v>(含)-</v>
      </c>
      <c r="H108" s="672" t="str">
        <f t="shared" si="30"/>
        <v>(含)-</v>
      </c>
      <c r="I108" s="672" t="str">
        <f t="shared" si="30"/>
        <v>(含)-</v>
      </c>
      <c r="J108" s="672" t="str">
        <f t="shared" si="30"/>
        <v>(含)-</v>
      </c>
      <c r="K108" s="2536" t="str">
        <f t="shared" si="30"/>
        <v>(含)-</v>
      </c>
      <c r="L108" s="2537" t="str">
        <f t="shared" si="30"/>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100000</v>
      </c>
      <c r="E109" s="698">
        <v>150000</v>
      </c>
      <c r="F109" s="698"/>
      <c r="G109" s="698"/>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100</v>
      </c>
      <c r="E110" s="694">
        <v>100</v>
      </c>
      <c r="F110" s="694"/>
      <c r="G110" s="694"/>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687" t="s">
        <v>3371</v>
      </c>
      <c r="D111" s="3687" t="s">
        <v>3373</v>
      </c>
      <c r="E111" s="686"/>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31">C112-$K37</f>
        <v>98</v>
      </c>
      <c r="E112" s="647">
        <f t="shared" si="31"/>
        <v>96</v>
      </c>
      <c r="F112" s="647">
        <f t="shared" si="31"/>
        <v>94</v>
      </c>
      <c r="G112" s="647">
        <f t="shared" si="31"/>
        <v>92</v>
      </c>
      <c r="H112" s="647">
        <f t="shared" si="31"/>
        <v>90</v>
      </c>
      <c r="I112" s="647">
        <f t="shared" si="31"/>
        <v>88</v>
      </c>
      <c r="J112" s="647">
        <f t="shared" si="31"/>
        <v>86</v>
      </c>
      <c r="K112" s="647">
        <f t="shared" si="31"/>
        <v>84</v>
      </c>
      <c r="L112" s="647">
        <f t="shared" si="31"/>
        <v>82</v>
      </c>
      <c r="M112" s="648">
        <f t="shared" si="31"/>
        <v>80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3375</v>
      </c>
      <c r="D113" s="1233" t="s">
        <v>3376</v>
      </c>
      <c r="E113" s="1233" t="s">
        <v>3378</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32">C114-$K38</f>
        <v>95</v>
      </c>
      <c r="E114" s="647">
        <f t="shared" si="32"/>
        <v>90</v>
      </c>
      <c r="F114" s="647">
        <f t="shared" si="32"/>
        <v>85</v>
      </c>
      <c r="G114" s="647">
        <f t="shared" si="32"/>
        <v>80</v>
      </c>
      <c r="H114" s="647">
        <f t="shared" si="32"/>
        <v>75</v>
      </c>
      <c r="I114" s="647">
        <f t="shared" si="32"/>
        <v>70</v>
      </c>
      <c r="J114" s="647">
        <f t="shared" si="32"/>
        <v>65</v>
      </c>
      <c r="K114" s="647">
        <f t="shared" si="32"/>
        <v>60</v>
      </c>
      <c r="L114" s="647">
        <f t="shared" si="32"/>
        <v>55</v>
      </c>
      <c r="M114" s="648">
        <f t="shared" si="32"/>
        <v>50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81" t="s">
        <v>3379</v>
      </c>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33">C116-$K39</f>
        <v>100</v>
      </c>
      <c r="E116" s="647">
        <f t="shared" si="33"/>
        <v>100</v>
      </c>
      <c r="F116" s="647">
        <f t="shared" si="33"/>
        <v>100</v>
      </c>
      <c r="G116" s="647">
        <f t="shared" si="33"/>
        <v>100</v>
      </c>
      <c r="H116" s="647">
        <f t="shared" si="33"/>
        <v>100</v>
      </c>
      <c r="I116" s="647">
        <f t="shared" si="33"/>
        <v>100</v>
      </c>
      <c r="J116" s="647">
        <f t="shared" si="33"/>
        <v>100</v>
      </c>
      <c r="K116" s="647">
        <f t="shared" si="33"/>
        <v>100</v>
      </c>
      <c r="L116" s="647">
        <f t="shared" si="33"/>
        <v>100</v>
      </c>
      <c r="M116" s="648">
        <f t="shared" si="33"/>
        <v>100</v>
      </c>
      <c r="N116" s="2969"/>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0"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
  <sheetViews>
    <sheetView workbookViewId="0">
      <selection activeCell="D7" sqref="D7"/>
    </sheetView>
  </sheetViews>
  <sheetFormatPr defaultRowHeight="14.4"/>
  <cols>
    <col min="1" max="1" width="7.33203125" customWidth="1"/>
    <col min="2" max="2" width="23" customWidth="1"/>
    <col min="3" max="3" width="28.6640625" customWidth="1"/>
    <col min="4" max="4" width="7.6640625" customWidth="1"/>
    <col min="8" max="9" width="0" hidden="1" customWidth="1"/>
    <col min="12" max="12" width="15.6640625" customWidth="1"/>
    <col min="14" max="14" width="11.21875" customWidth="1"/>
  </cols>
  <sheetData>
    <row r="1" spans="1:18">
      <c r="A1" s="3697" t="s">
        <v>3267</v>
      </c>
      <c r="B1" s="3697" t="s">
        <v>3332</v>
      </c>
      <c r="C1" s="3697" t="s">
        <v>3333</v>
      </c>
      <c r="D1" s="3697" t="s">
        <v>3334</v>
      </c>
      <c r="E1" s="3697" t="s">
        <v>3335</v>
      </c>
      <c r="F1" s="3697" t="s">
        <v>3336</v>
      </c>
      <c r="G1" s="3697" t="s">
        <v>2211</v>
      </c>
      <c r="H1" s="3697" t="s">
        <v>3337</v>
      </c>
      <c r="I1" s="3697" t="s">
        <v>3338</v>
      </c>
      <c r="J1" s="3697" t="s">
        <v>3339</v>
      </c>
      <c r="K1" s="3697" t="s">
        <v>3340</v>
      </c>
      <c r="L1" s="3697" t="s">
        <v>3351</v>
      </c>
      <c r="M1" s="3697" t="s">
        <v>3341</v>
      </c>
      <c r="N1" s="3697" t="s">
        <v>3342</v>
      </c>
      <c r="O1" s="3697" t="s">
        <v>3343</v>
      </c>
      <c r="Q1" s="3697" t="s">
        <v>3344</v>
      </c>
    </row>
    <row r="2" spans="1:18">
      <c r="A2" s="3696">
        <v>1</v>
      </c>
      <c r="B2" s="3698" t="s">
        <v>3327</v>
      </c>
      <c r="C2" s="3698" t="s">
        <v>3328</v>
      </c>
      <c r="D2" s="3698" t="s">
        <v>3329</v>
      </c>
      <c r="E2" s="3698" t="s">
        <v>3330</v>
      </c>
      <c r="F2" s="3698" t="s">
        <v>2721</v>
      </c>
      <c r="G2" s="1581">
        <v>22881.07</v>
      </c>
      <c r="H2" s="1581"/>
      <c r="I2" s="1581"/>
      <c r="J2" s="1581">
        <v>18956.966499999999</v>
      </c>
      <c r="K2" s="3696">
        <f>ROUND(J2/G2*10000,0)</f>
        <v>8285</v>
      </c>
      <c r="L2" s="3708">
        <v>44887</v>
      </c>
      <c r="M2" s="3698" t="s">
        <v>3331</v>
      </c>
      <c r="N2" s="3698"/>
      <c r="O2" s="1581"/>
      <c r="P2" s="1581"/>
      <c r="Q2" s="1581"/>
      <c r="R2" s="1581"/>
    </row>
    <row r="3" spans="1:18">
      <c r="A3" s="3696">
        <v>2</v>
      </c>
      <c r="B3" s="3698" t="s">
        <v>3346</v>
      </c>
      <c r="C3" s="3698" t="s">
        <v>3345</v>
      </c>
      <c r="D3" s="3698" t="s">
        <v>3347</v>
      </c>
      <c r="E3" s="3698" t="s">
        <v>3348</v>
      </c>
      <c r="F3" s="3698" t="s">
        <v>2721</v>
      </c>
      <c r="G3" s="1581">
        <v>130380.53</v>
      </c>
      <c r="H3" s="1581"/>
      <c r="I3" s="1581"/>
      <c r="J3" s="1581">
        <v>121964.8</v>
      </c>
      <c r="K3" s="3696">
        <f>ROUND(J3/G3*10000,0)</f>
        <v>9355</v>
      </c>
      <c r="L3" s="3708">
        <v>43410</v>
      </c>
      <c r="M3" s="1581"/>
      <c r="N3" s="1581"/>
      <c r="O3" s="1581"/>
      <c r="P3" s="1581"/>
      <c r="Q3" s="1581"/>
      <c r="R3" s="1581"/>
    </row>
    <row r="4" spans="1:18" s="1581" customFormat="1">
      <c r="A4" s="3696">
        <v>3</v>
      </c>
      <c r="B4" s="3698" t="s">
        <v>3349</v>
      </c>
      <c r="C4" s="3698" t="s">
        <v>3350</v>
      </c>
      <c r="D4" s="3698" t="s">
        <v>3347</v>
      </c>
      <c r="E4" s="3698" t="s">
        <v>3348</v>
      </c>
      <c r="F4" s="3698" t="s">
        <v>2721</v>
      </c>
      <c r="G4" s="1581">
        <v>30040.799999999999</v>
      </c>
      <c r="J4" s="1581">
        <v>20011.27</v>
      </c>
      <c r="K4" s="3696">
        <f>ROUND(J4/G4*10000,0)</f>
        <v>6661</v>
      </c>
      <c r="L4" s="3708">
        <v>43349</v>
      </c>
    </row>
    <row r="5" spans="1:18">
      <c r="A5" s="3696">
        <v>4</v>
      </c>
      <c r="B5" s="3698" t="s">
        <v>3409</v>
      </c>
      <c r="C5" s="3698" t="s">
        <v>3352</v>
      </c>
      <c r="D5" s="3698" t="s">
        <v>3353</v>
      </c>
      <c r="E5" s="3698" t="s">
        <v>3354</v>
      </c>
      <c r="F5" s="3698" t="s">
        <v>3355</v>
      </c>
      <c r="G5" s="1581">
        <v>22121.8</v>
      </c>
      <c r="J5" s="1581">
        <v>9903.3107</v>
      </c>
      <c r="K5" s="3696">
        <f>ROUND(J5*10000/G5,0)</f>
        <v>4477</v>
      </c>
      <c r="L5" s="3708">
        <v>45244</v>
      </c>
    </row>
    <row r="6" spans="1:18">
      <c r="A6" s="3696">
        <v>5</v>
      </c>
      <c r="B6" s="3698" t="s">
        <v>3395</v>
      </c>
      <c r="C6" s="3698" t="s">
        <v>3399</v>
      </c>
      <c r="D6" s="3698" t="s">
        <v>3396</v>
      </c>
      <c r="E6" s="3698" t="s">
        <v>3400</v>
      </c>
      <c r="F6" s="3698" t="s">
        <v>3397</v>
      </c>
      <c r="G6" s="1581">
        <v>17556.580000000002</v>
      </c>
      <c r="J6" s="1581">
        <v>14294.5674</v>
      </c>
      <c r="K6" s="3696">
        <v>8142</v>
      </c>
      <c r="L6" s="3708">
        <v>45247</v>
      </c>
      <c r="M6" s="2986" t="s">
        <v>3398</v>
      </c>
    </row>
    <row r="7" spans="1:18">
      <c r="A7" s="3696">
        <v>6</v>
      </c>
      <c r="B7" t="str">
        <f>'2013-2023'!G138</f>
        <v>石景山区1609街区新首钢核心区1609-014、018、019、032地块</v>
      </c>
    </row>
  </sheetData>
  <phoneticPr fontId="22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1"/>
      <c r="L2" s="1641" t="s">
        <v>1598</v>
      </c>
      <c r="M2" s="1642">
        <f>SUMPRODUCT((区片价!B10:B29=I2)*(区片价!C3:G3=E2)*(区片价!C10:G29))</f>
        <v>0</v>
      </c>
      <c r="N2" s="1643">
        <f>SUMPRODUCT((因素修正幅度!B10:B29=I2)*(因素修正幅度!C3:G3=E2)*(因素修正幅度!C10:G29))</f>
        <v>0</v>
      </c>
      <c r="O2" s="2971"/>
      <c r="P2" s="1911"/>
      <c r="Q2" s="1911"/>
      <c r="R2" s="2415">
        <v>1</v>
      </c>
      <c r="S2" s="2415">
        <f>ROUND(SUMPRODUCT((B107:B111=R2)*(C106:N106=G2)*(C107:N111)),4)</f>
        <v>0</v>
      </c>
      <c r="T2" s="2415" t="e">
        <f>ROUND($C$5*$C$22*$C$23*$C$24*S2*$C$28,0)</f>
        <v>#DIV/0!</v>
      </c>
      <c r="U2" s="2405"/>
      <c r="V2" s="2415" t="e">
        <f>ROUND(T2*U2/10000,0)</f>
        <v>#DIV/0!</v>
      </c>
      <c r="W2" s="1911"/>
      <c r="X2" s="1911"/>
      <c r="Y2" s="1911"/>
      <c r="Z2" s="1911"/>
      <c r="AA2" s="1911"/>
      <c r="AB2" s="1911"/>
      <c r="AC2" s="1912"/>
    </row>
    <row r="3" spans="1:39" ht="15.6">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1"/>
      <c r="L3" s="1641" t="s">
        <v>1599</v>
      </c>
      <c r="M3" s="1642">
        <f>SUMPRODUCT((区片价!B30:B54=I2)*(区片价!C3:G3=E2)*(区片价!C30:G54))</f>
        <v>0</v>
      </c>
      <c r="N3" s="1643">
        <f>SUMPRODUCT((因素修正幅度!B30:B54=I2)*(因素修正幅度!C3:G3=E2)*(因素修正幅度!C30:G54))</f>
        <v>0</v>
      </c>
      <c r="O3" s="2971"/>
      <c r="P3" s="1911"/>
      <c r="Q3" s="1911"/>
      <c r="R3" s="2415">
        <v>2</v>
      </c>
      <c r="S3" s="2415">
        <f>ROUND(SUMPRODUCT((B107:B111=R3)*(C106:N106=G2)*(C107:N111)),4)</f>
        <v>0</v>
      </c>
      <c r="T3" s="2415" t="e">
        <f t="shared" ref="T3:T16" si="0">ROUND($C$5*$C$22*$C$23*$C$24*S3*$C$28,0)</f>
        <v>#DIV/0!</v>
      </c>
      <c r="U3" s="2405"/>
      <c r="V3" s="2415" t="e">
        <f t="shared" ref="V3:V16" si="1">ROUND(T3*U3/10000,0)</f>
        <v>#DIV/0!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2"/>
      <c r="L4" s="1641" t="s">
        <v>1600</v>
      </c>
      <c r="M4" s="1642">
        <f>SUMPRODUCT((区片价!B55:B86=I2)*(区片价!C3:G3=E2)*(区片价!C55:G86))</f>
        <v>0</v>
      </c>
      <c r="N4" s="1643">
        <f>SUMPRODUCT((因素修正幅度!B55:B86=I2)*(因素修正幅度!C3:G3=E2)*(因素修正幅度!C55:G86))</f>
        <v>0</v>
      </c>
      <c r="O4" s="2972"/>
      <c r="P4" s="1911"/>
      <c r="Q4" s="1911"/>
      <c r="R4" s="2415">
        <v>3</v>
      </c>
      <c r="S4" s="2415">
        <f>ROUND(SUMPRODUCT((B107:B111=R4)*(C106:N106=G2)*(C107:N111)),4)</f>
        <v>0</v>
      </c>
      <c r="T4" s="2415" t="e">
        <f t="shared" si="0"/>
        <v>#DIV/0!</v>
      </c>
      <c r="U4" s="2405"/>
      <c r="V4" s="2415" t="e">
        <f t="shared" si="1"/>
        <v>#DIV/0!</v>
      </c>
      <c r="W4" s="1911"/>
      <c r="X4" s="1911"/>
      <c r="Y4" s="1911"/>
      <c r="Z4" s="1911"/>
      <c r="AA4" s="1911"/>
      <c r="AB4" s="1911"/>
      <c r="AC4" s="1912"/>
    </row>
    <row r="5" spans="1:39" s="1276" customFormat="1" ht="15.6" thickBot="1">
      <c r="A5" s="1444" t="s">
        <v>1352</v>
      </c>
      <c r="B5" s="1270" t="s">
        <v>859</v>
      </c>
      <c r="C5" s="994" t="e">
        <f>ROUND(IF(E2="商业",C6*C7*C17+C20,(IF(E2="住宅",C6*C13*C17+C20,IF(E2="办公",C6*C12*C17+C20,C6+C20)))),0)</f>
        <v>#DIV/0!</v>
      </c>
      <c r="D5" s="2547" t="e">
        <f>ROUND(C6*C17+C20,0)</f>
        <v>#DIV/0!</v>
      </c>
      <c r="E5" s="2547"/>
      <c r="F5" s="1271"/>
      <c r="G5" s="1272"/>
      <c r="H5" s="1272"/>
      <c r="I5" s="1272"/>
      <c r="J5" s="1273"/>
      <c r="K5" s="2973"/>
      <c r="L5" s="1641" t="s">
        <v>1601</v>
      </c>
      <c r="M5" s="1642">
        <f>SUMPRODUCT((区片价!B87:B126=I2)*(区片价!C3:G3=E2)*(区片价!C87:G126))</f>
        <v>0</v>
      </c>
      <c r="N5" s="1643">
        <f>SUMPRODUCT((因素修正幅度!B87:B126=I2)*(因素修正幅度!C3:G3=E2)*(因素修正幅度!C87:G126))</f>
        <v>0</v>
      </c>
      <c r="O5" s="2973"/>
      <c r="P5" s="2976"/>
      <c r="Q5" s="1911"/>
      <c r="R5" s="2415">
        <v>4</v>
      </c>
      <c r="S5" s="2415">
        <f>ROUND(SUMPRODUCT((B107:B111=R5)*(C106:N106=G2)*(C107:N111)),4)</f>
        <v>0</v>
      </c>
      <c r="T5" s="2415" t="e">
        <f t="shared" si="0"/>
        <v>#DIV/0!</v>
      </c>
      <c r="U5" s="2405"/>
      <c r="V5" s="2415" t="e">
        <f t="shared" si="1"/>
        <v>#DIV/0!</v>
      </c>
      <c r="W5" s="1911"/>
      <c r="X5" s="1911"/>
      <c r="Y5" s="1911"/>
      <c r="Z5" s="1911"/>
      <c r="AA5" s="1911"/>
      <c r="AB5" s="1911"/>
      <c r="AC5" s="1913"/>
      <c r="AD5" s="1274"/>
      <c r="AE5" s="1274"/>
      <c r="AF5" s="1274"/>
      <c r="AG5" s="1274"/>
      <c r="AH5" s="1274"/>
      <c r="AI5" s="1274"/>
      <c r="AJ5" s="1275"/>
      <c r="AK5" s="1275"/>
      <c r="AL5" s="1275"/>
      <c r="AM5" s="1275"/>
    </row>
    <row r="6" spans="1:39" ht="15.6" thickBot="1">
      <c r="A6" s="3517" t="s">
        <v>1395</v>
      </c>
      <c r="B6" s="1277" t="s">
        <v>859</v>
      </c>
      <c r="C6" s="3518">
        <f>SUMIF(L1:L12,G2,M1:M12)</f>
        <v>0</v>
      </c>
      <c r="D6" s="3519" t="s">
        <v>1228</v>
      </c>
      <c r="E6" s="1277"/>
      <c r="F6" s="1277"/>
      <c r="G6" s="3520"/>
      <c r="H6" s="3520"/>
      <c r="I6" s="3520"/>
      <c r="J6" s="3521"/>
      <c r="K6" s="2974"/>
      <c r="L6" s="1641" t="s">
        <v>1602</v>
      </c>
      <c r="M6" s="1642">
        <f>SUMPRODUCT((区片价!B127:B189=I2)*(区片价!C3:G3=E2)*(区片价!C127:G189))</f>
        <v>0</v>
      </c>
      <c r="N6" s="1643">
        <f>SUMPRODUCT((因素修正幅度!B127:B189=I2)*(因素修正幅度!C3:G3=E2)*(因素修正幅度!C127:G189))</f>
        <v>0</v>
      </c>
      <c r="O6" s="2974"/>
      <c r="P6" s="2977"/>
      <c r="Q6" s="1911"/>
      <c r="R6" s="2415">
        <v>5</v>
      </c>
      <c r="S6" s="2415">
        <f>ROUND(SUMPRODUCT((B107:B111=R6)*(C106:N106=G2)*(C107:N111)),4)</f>
        <v>0</v>
      </c>
      <c r="T6" s="2415" t="e">
        <f t="shared" si="0"/>
        <v>#DIV/0!</v>
      </c>
      <c r="U6" s="2405"/>
      <c r="V6" s="2415" t="e">
        <f t="shared" si="1"/>
        <v>#DIV/0!</v>
      </c>
      <c r="W6" s="1911"/>
      <c r="X6" s="1911"/>
      <c r="Y6" s="1911"/>
      <c r="Z6" s="1911"/>
      <c r="AA6" s="1911"/>
      <c r="AB6" s="1911"/>
      <c r="AC6" s="1913"/>
      <c r="AD6" s="1274"/>
      <c r="AE6" s="1274"/>
      <c r="AF6" s="1274"/>
      <c r="AG6" s="1274"/>
      <c r="AH6" s="1274"/>
      <c r="AI6" s="1274"/>
      <c r="AJ6" s="1275"/>
    </row>
    <row r="7" spans="1:39" ht="24.6" thickBot="1">
      <c r="A7" s="3522" t="s">
        <v>3194</v>
      </c>
      <c r="B7" s="1278" t="s">
        <v>860</v>
      </c>
      <c r="C7" s="3523" t="e">
        <f>IF(C8="不临65条商业街",1,ROUND(1+(1.6*E8+1.2*E9+0.8*E10+0.4*E11)*C9,4))</f>
        <v>#DIV/0!</v>
      </c>
      <c r="D7" s="3524" t="s">
        <v>861</v>
      </c>
      <c r="E7" s="3525"/>
      <c r="F7" s="3526"/>
      <c r="G7" s="3526"/>
      <c r="H7" s="3526"/>
      <c r="I7" s="3526"/>
      <c r="J7" s="3527"/>
      <c r="K7" s="2974"/>
      <c r="L7" s="1641" t="s">
        <v>1603</v>
      </c>
      <c r="M7" s="1642">
        <f>SUMPRODUCT((区片价!B190:B233=I2)*(区片价!C3:G3=E2)*(区片价!C190:G233))</f>
        <v>0</v>
      </c>
      <c r="N7" s="1643">
        <f>SUMPRODUCT((因素修正幅度!B190:B233=I2)*(因素修正幅度!C3:G3=E2)*(因素修正幅度!C190:G233))</f>
        <v>0</v>
      </c>
      <c r="O7" s="2974"/>
      <c r="P7" s="2977"/>
      <c r="Q7" s="1911"/>
      <c r="R7" s="2415">
        <v>6</v>
      </c>
      <c r="S7" s="2405"/>
      <c r="T7" s="2415" t="e">
        <f t="shared" si="0"/>
        <v>#DIV/0!</v>
      </c>
      <c r="U7" s="2405"/>
      <c r="V7" s="2415" t="e">
        <f t="shared" si="1"/>
        <v>#DIV/0!</v>
      </c>
      <c r="W7" s="2413" t="s">
        <v>2046</v>
      </c>
      <c r="X7" s="2406">
        <f>G2</f>
        <v>0</v>
      </c>
      <c r="Y7" s="2406" t="s">
        <v>2047</v>
      </c>
      <c r="Z7" s="2407">
        <f>G3</f>
        <v>0</v>
      </c>
      <c r="AA7" s="1914"/>
      <c r="AB7" s="1914"/>
      <c r="AC7" s="1915"/>
      <c r="AD7" s="2408"/>
      <c r="AE7" s="2408"/>
      <c r="AF7" s="2408"/>
      <c r="AG7" s="2408"/>
      <c r="AH7" s="2408"/>
      <c r="AI7" s="2408"/>
      <c r="AJ7" s="2409"/>
    </row>
    <row r="8" spans="1:39" ht="15">
      <c r="A8" s="3528"/>
      <c r="B8" s="1269" t="s">
        <v>862</v>
      </c>
      <c r="C8" s="3529"/>
      <c r="D8" s="3530" t="s">
        <v>863</v>
      </c>
      <c r="E8" s="3531" t="e">
        <f>ROUND(C11/E7,4)</f>
        <v>#DIV/0!</v>
      </c>
      <c r="F8" s="3532" t="s">
        <v>864</v>
      </c>
      <c r="G8" s="3533"/>
      <c r="H8" s="3533"/>
      <c r="I8" s="3533"/>
      <c r="J8" s="3534"/>
      <c r="K8" s="2974"/>
      <c r="L8" s="1641" t="s">
        <v>1604</v>
      </c>
      <c r="M8" s="1642">
        <f>SUMPRODUCT((区片价!B234:B276=I2)*(区片价!C3:G3=E2)*(区片价!C234:G276))</f>
        <v>0</v>
      </c>
      <c r="N8" s="1643">
        <f>SUMPRODUCT((因素修正幅度!B234:B276=I2)*(因素修正幅度!C3:G3=E2)*(因素修正幅度!C234:G276))</f>
        <v>0</v>
      </c>
      <c r="O8" s="2974"/>
      <c r="P8" s="1911"/>
      <c r="Q8" s="1911"/>
      <c r="R8" s="2415">
        <v>7</v>
      </c>
      <c r="S8" s="2405"/>
      <c r="T8" s="2415" t="e">
        <f t="shared" si="0"/>
        <v>#DIV/0!</v>
      </c>
      <c r="U8" s="2405"/>
      <c r="V8" s="2415" t="e">
        <f t="shared" si="1"/>
        <v>#DIV/0!</v>
      </c>
      <c r="W8" s="4133" t="s">
        <v>2060</v>
      </c>
      <c r="X8" s="4134"/>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28"/>
      <c r="B9" s="1269" t="s">
        <v>865</v>
      </c>
      <c r="C9" s="3535">
        <f>SUMIF(修正!C71:C139,C8,修正!E71:E139)</f>
        <v>0</v>
      </c>
      <c r="D9" s="3536" t="s">
        <v>866</v>
      </c>
      <c r="E9" s="3536" t="e">
        <f>ROUND(C11/E7,4)</f>
        <v>#DIV/0!</v>
      </c>
      <c r="F9" s="3532" t="s">
        <v>867</v>
      </c>
      <c r="G9" s="3533"/>
      <c r="H9" s="3533"/>
      <c r="I9" s="3533"/>
      <c r="J9" s="3534"/>
      <c r="K9" s="2974"/>
      <c r="L9" s="1641" t="s">
        <v>1605</v>
      </c>
      <c r="M9" s="1642">
        <f>SUMPRODUCT((区片价!B277:B326=I2)*(区片价!C3:G3=E2)*(区片价!C277:G326))</f>
        <v>0</v>
      </c>
      <c r="N9" s="1643">
        <f>SUMPRODUCT((因素修正幅度!B277:B326=I2)*(因素修正幅度!C3:G3=E2)*(因素修正幅度!C277:G326))</f>
        <v>0</v>
      </c>
      <c r="O9" s="2974"/>
      <c r="P9" s="1911"/>
      <c r="Q9" s="1911"/>
      <c r="R9" s="2415">
        <v>8</v>
      </c>
      <c r="S9" s="2405"/>
      <c r="T9" s="2415" t="e">
        <f t="shared" si="0"/>
        <v>#DIV/0!</v>
      </c>
      <c r="U9" s="2405"/>
      <c r="V9" s="2415" t="e">
        <f t="shared" si="1"/>
        <v>#DIV/0!</v>
      </c>
      <c r="W9" s="4132"/>
      <c r="X9" s="2410" t="s">
        <v>3217</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8"/>
      <c r="B10" s="1269" t="s">
        <v>868</v>
      </c>
      <c r="C10" s="3536">
        <f>SUMIF(修正!C71:C139,C8,修正!F71:F139)</f>
        <v>0</v>
      </c>
      <c r="D10" s="3536" t="s">
        <v>869</v>
      </c>
      <c r="E10" s="3536" t="e">
        <f>ROUND(C11/E7,4)</f>
        <v>#DIV/0!</v>
      </c>
      <c r="F10" s="3532" t="s">
        <v>870</v>
      </c>
      <c r="G10" s="3533"/>
      <c r="H10" s="3533"/>
      <c r="I10" s="3533"/>
      <c r="J10" s="3534"/>
      <c r="K10" s="2974"/>
      <c r="L10" s="1641" t="s">
        <v>1606</v>
      </c>
      <c r="M10" s="1642">
        <f>SUMPRODUCT((区片价!B327:B357=I2)*(区片价!C3:G3=E2)*(区片价!C327:G357))</f>
        <v>0</v>
      </c>
      <c r="N10" s="1643">
        <f>SUMPRODUCT((因素修正幅度!B327:B357=I2)*(因素修正幅度!C3:G3=E2)*(因素修正幅度!C327:G357))</f>
        <v>0</v>
      </c>
      <c r="O10" s="2974"/>
      <c r="P10" s="1911"/>
      <c r="Q10" s="1911"/>
      <c r="R10" s="2415">
        <v>9</v>
      </c>
      <c r="S10" s="2405"/>
      <c r="T10" s="2415" t="e">
        <f t="shared" si="0"/>
        <v>#DIV/0!</v>
      </c>
      <c r="U10" s="2405"/>
      <c r="V10" s="2415" t="e">
        <f t="shared" si="1"/>
        <v>#DIV/0!</v>
      </c>
      <c r="W10" s="413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8"/>
      <c r="B11" s="1282" t="s">
        <v>871</v>
      </c>
      <c r="C11" s="3537">
        <f>C10/4</f>
        <v>0</v>
      </c>
      <c r="D11" s="3537" t="s">
        <v>872</v>
      </c>
      <c r="E11" s="3537" t="e">
        <f>ROUND(C11/E7,4)</f>
        <v>#DIV/0!</v>
      </c>
      <c r="F11" s="3538" t="s">
        <v>873</v>
      </c>
      <c r="G11" s="3539"/>
      <c r="H11" s="3539"/>
      <c r="I11" s="3539"/>
      <c r="J11" s="3540"/>
      <c r="K11" s="2974"/>
      <c r="L11" s="1641" t="s">
        <v>1607</v>
      </c>
      <c r="M11" s="1642">
        <f>SUMPRODUCT((区片价!B358:B377=I2)*(区片价!C3:G3=E2)*(区片价!C358:G377))</f>
        <v>0</v>
      </c>
      <c r="N11" s="1643">
        <f>SUMPRODUCT((因素修正幅度!B358:B377=I2)*(因素修正幅度!C3:G3=E2)*(因素修正幅度!C358:G377))</f>
        <v>0</v>
      </c>
      <c r="O11" s="2974"/>
      <c r="P11" s="1911"/>
      <c r="Q11" s="1911"/>
      <c r="R11" s="2415">
        <v>10</v>
      </c>
      <c r="S11" s="2405"/>
      <c r="T11" s="2415" t="e">
        <f t="shared" si="0"/>
        <v>#DIV/0!</v>
      </c>
      <c r="U11" s="2405"/>
      <c r="V11" s="2415" t="e">
        <f t="shared" si="1"/>
        <v>#DIV/0!</v>
      </c>
      <c r="W11" s="1911"/>
      <c r="X11" s="1911"/>
      <c r="Y11" s="1911"/>
      <c r="Z11" s="1911"/>
      <c r="AA11" s="1911"/>
      <c r="AB11" s="1911"/>
      <c r="AC11" s="1912"/>
    </row>
    <row r="12" spans="1:39" ht="25.8" thickBot="1">
      <c r="A12" s="3522" t="s">
        <v>3195</v>
      </c>
      <c r="B12" s="3503" t="s">
        <v>3196</v>
      </c>
      <c r="C12" s="3509">
        <v>1.02</v>
      </c>
      <c r="D12" s="3504" t="s">
        <v>3197</v>
      </c>
      <c r="E12" s="3505" t="s">
        <v>3198</v>
      </c>
      <c r="F12" s="3506"/>
      <c r="G12" s="3507"/>
      <c r="H12" s="3507"/>
      <c r="I12" s="3507"/>
      <c r="J12" s="3508"/>
      <c r="K12" s="2974"/>
      <c r="L12" s="1644" t="s">
        <v>1608</v>
      </c>
      <c r="M12" s="1645">
        <f>SUMPRODUCT((区片价!B378:B384=I2)*(区片价!C3:G3=E2)*(区片价!C378:G384))</f>
        <v>0</v>
      </c>
      <c r="N12" s="1646">
        <f>SUMPRODUCT((因素修正幅度!B378:B384=I2)*(因素修正幅度!C3:G3=E2)*(因素修正幅度!C378:G384))</f>
        <v>0</v>
      </c>
      <c r="O12" s="2974"/>
      <c r="P12" s="1911"/>
      <c r="Q12" s="1911"/>
      <c r="R12" s="2415">
        <v>11</v>
      </c>
      <c r="S12" s="2405"/>
      <c r="T12" s="2415" t="e">
        <f t="shared" si="0"/>
        <v>#DIV/0!</v>
      </c>
      <c r="U12" s="2405"/>
      <c r="V12" s="2415" t="e">
        <f t="shared" si="1"/>
        <v>#DIV/0!</v>
      </c>
      <c r="W12" s="1911"/>
      <c r="X12" s="1911"/>
      <c r="Y12" s="1911"/>
      <c r="Z12" s="1911"/>
      <c r="AA12" s="1911"/>
      <c r="AB12" s="1911"/>
      <c r="AC12" s="1912"/>
    </row>
    <row r="13" spans="1:39" ht="24.6" thickBot="1">
      <c r="A13" s="3522" t="s">
        <v>3199</v>
      </c>
      <c r="B13" s="1283" t="s">
        <v>874</v>
      </c>
      <c r="C13" s="3523">
        <f>ROUND(C16*D16*E16*F16*G16*H16*I16*J16,4)</f>
        <v>0</v>
      </c>
      <c r="D13" s="3541" t="s">
        <v>3200</v>
      </c>
      <c r="E13" s="3542"/>
      <c r="F13" s="3542"/>
      <c r="G13" s="3542"/>
      <c r="H13" s="3542"/>
      <c r="I13" s="3542"/>
      <c r="J13" s="3543"/>
      <c r="K13" s="2595"/>
      <c r="L13" s="2595"/>
      <c r="M13" s="2595"/>
      <c r="N13" s="2595"/>
      <c r="O13" s="2595"/>
      <c r="P13" s="1911"/>
      <c r="Q13" s="1911"/>
      <c r="R13" s="2415">
        <v>12</v>
      </c>
      <c r="S13" s="2405"/>
      <c r="T13" s="2415" t="e">
        <f t="shared" si="0"/>
        <v>#DIV/0!</v>
      </c>
      <c r="U13" s="2405"/>
      <c r="V13" s="2415" t="e">
        <f t="shared" si="1"/>
        <v>#DIV/0!</v>
      </c>
      <c r="W13" s="1911"/>
      <c r="X13" s="1911"/>
      <c r="Y13" s="1911"/>
      <c r="Z13" s="1911"/>
      <c r="AA13" s="1911"/>
      <c r="AB13" s="1911"/>
      <c r="AC13" s="1912"/>
    </row>
    <row r="14" spans="1:39" ht="12.75" customHeight="1">
      <c r="A14" s="3544"/>
      <c r="B14" s="1287" t="s">
        <v>1229</v>
      </c>
      <c r="C14" s="3457" t="s">
        <v>1230</v>
      </c>
      <c r="D14" s="1289" t="s">
        <v>1231</v>
      </c>
      <c r="E14" s="781" t="s">
        <v>3201</v>
      </c>
      <c r="F14" s="3545" t="s">
        <v>1178</v>
      </c>
      <c r="G14" s="3545" t="s">
        <v>1178</v>
      </c>
      <c r="H14" s="3546" t="s">
        <v>1178</v>
      </c>
      <c r="I14" s="3547" t="s">
        <v>1178</v>
      </c>
      <c r="J14" s="3547" t="s">
        <v>1178</v>
      </c>
      <c r="K14" s="2975"/>
      <c r="L14" s="2975"/>
      <c r="M14" s="2975"/>
      <c r="N14" s="2975"/>
      <c r="O14" s="2975"/>
      <c r="P14" s="1911"/>
      <c r="Q14" s="1911"/>
      <c r="R14" s="2415">
        <v>13</v>
      </c>
      <c r="S14" s="2405"/>
      <c r="T14" s="2415" t="e">
        <f t="shared" si="0"/>
        <v>#DIV/0!</v>
      </c>
      <c r="U14" s="2405"/>
      <c r="V14" s="2415" t="e">
        <f t="shared" si="1"/>
        <v>#DIV/0!</v>
      </c>
      <c r="W14" s="1911"/>
      <c r="X14" s="1911"/>
      <c r="Y14" s="1911"/>
      <c r="Z14" s="1911"/>
      <c r="AA14" s="1911"/>
      <c r="AB14" s="1911"/>
      <c r="AC14" s="1912"/>
    </row>
    <row r="15" spans="1:39" ht="13.5" customHeight="1">
      <c r="A15" s="3544"/>
      <c r="B15" s="1289"/>
      <c r="C15" s="3548"/>
      <c r="D15" s="3549"/>
      <c r="E15" s="3550"/>
      <c r="F15" s="3550"/>
      <c r="G15" s="3512" t="s">
        <v>3202</v>
      </c>
      <c r="H15" s="3513"/>
      <c r="I15" s="3514"/>
      <c r="J15" s="3515"/>
      <c r="K15" s="3516"/>
      <c r="L15" s="2596"/>
      <c r="M15" s="2596"/>
      <c r="N15" s="2596"/>
      <c r="O15" s="2596"/>
      <c r="P15" s="1911"/>
      <c r="Q15" s="1911"/>
      <c r="R15" s="2415">
        <v>14</v>
      </c>
      <c r="S15" s="2405"/>
      <c r="T15" s="2415" t="e">
        <f t="shared" si="0"/>
        <v>#DIV/0!</v>
      </c>
      <c r="U15" s="2405"/>
      <c r="V15" s="2415" t="e">
        <f t="shared" si="1"/>
        <v>#DIV/0!</v>
      </c>
      <c r="W15" s="1911"/>
      <c r="X15" s="1911"/>
      <c r="Y15" s="1911"/>
      <c r="Z15" s="1911"/>
      <c r="AA15" s="1911"/>
      <c r="AB15" s="1911"/>
      <c r="AC15" s="1912"/>
    </row>
    <row r="16" spans="1:39" ht="24.6" customHeight="1" thickBot="1">
      <c r="A16" s="3544"/>
      <c r="B16" s="2600" t="s">
        <v>1232</v>
      </c>
      <c r="C16" s="3510"/>
      <c r="D16" s="3510"/>
      <c r="E16" s="3510"/>
      <c r="F16" s="3510"/>
      <c r="G16" s="3510">
        <v>1</v>
      </c>
      <c r="H16" s="3510">
        <v>1</v>
      </c>
      <c r="I16" s="3510">
        <v>1</v>
      </c>
      <c r="J16" s="3511">
        <v>1</v>
      </c>
      <c r="K16" s="2596"/>
      <c r="L16" s="2596"/>
      <c r="M16" s="2596"/>
      <c r="N16" s="2596"/>
      <c r="O16" s="2596"/>
      <c r="P16" s="1911"/>
      <c r="Q16" s="1911"/>
      <c r="R16" s="2415">
        <v>15</v>
      </c>
      <c r="S16" s="2405"/>
      <c r="T16" s="2415" t="e">
        <f t="shared" si="0"/>
        <v>#DIV/0!</v>
      </c>
      <c r="U16" s="2405"/>
      <c r="V16" s="2415" t="e">
        <f t="shared" si="1"/>
        <v>#DIV/0!</v>
      </c>
      <c r="W16" s="1914"/>
      <c r="X16" s="1914"/>
      <c r="Y16" s="1914"/>
      <c r="Z16" s="1914"/>
      <c r="AA16" s="1914"/>
      <c r="AB16" s="1914"/>
      <c r="AC16" s="1915"/>
    </row>
    <row r="17" spans="1:40" ht="24">
      <c r="A17" s="3552" t="s">
        <v>3203</v>
      </c>
      <c r="B17" s="3553" t="s">
        <v>3204</v>
      </c>
      <c r="C17" s="3561">
        <f>ROUND(IF(OR(E2="工业",E2="公共服务"),1,IF(AND(E18=0,E19=0),1,IF(AND(E18=J24,E19=G19),0.8,IF(E19=0,1+E17*(-0.2),1+E17*G17*(-0.2))))),4)</f>
        <v>1</v>
      </c>
      <c r="D17" s="3554" t="s">
        <v>3205</v>
      </c>
      <c r="E17" s="3561" t="e">
        <f>ROUND(G18/I18,2)</f>
        <v>#DIV/0!</v>
      </c>
      <c r="F17" s="3554" t="s">
        <v>3208</v>
      </c>
      <c r="G17" s="3561" t="e">
        <f>ROUND(E19/G19,2)</f>
        <v>#DIV/0!</v>
      </c>
      <c r="H17" s="3561"/>
      <c r="I17" s="3561"/>
      <c r="J17" s="3642"/>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4"/>
      <c r="B18" s="3420"/>
      <c r="C18" s="3559"/>
      <c r="D18" s="3555" t="s">
        <v>3206</v>
      </c>
      <c r="E18" s="3560"/>
      <c r="F18" s="3557" t="s">
        <v>3209</v>
      </c>
      <c r="G18" s="3559">
        <f>ROUND(1-(1/(POWER(1+G24,E18))),4)</f>
        <v>0</v>
      </c>
      <c r="H18" s="3557" t="s">
        <v>3211</v>
      </c>
      <c r="I18" s="3559">
        <f>ROUND(1-(1/(POWER(1+G24,J24))),4)</f>
        <v>0</v>
      </c>
      <c r="J18" s="3643"/>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1"/>
      <c r="B19" s="3423"/>
      <c r="C19" s="3556"/>
      <c r="D19" s="3556" t="s">
        <v>3207</v>
      </c>
      <c r="E19" s="3562"/>
      <c r="F19" s="3558" t="s">
        <v>3210</v>
      </c>
      <c r="G19" s="3562"/>
      <c r="H19" s="3556"/>
      <c r="I19" s="3556"/>
      <c r="J19" s="3644"/>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4126" t="s">
        <v>1370</v>
      </c>
      <c r="B20" s="1278" t="s">
        <v>875</v>
      </c>
      <c r="C20" s="998" t="e">
        <f>ROUND(IF(F21="与级别开发程度一致",0,(G21-E21)/C21),0)</f>
        <v>#DIV/0!</v>
      </c>
      <c r="D20" s="4138" t="s">
        <v>879</v>
      </c>
      <c r="E20" s="4139"/>
      <c r="F20" s="4138" t="s">
        <v>876</v>
      </c>
      <c r="G20" s="4139"/>
      <c r="H20" s="1291"/>
      <c r="I20" s="1291"/>
      <c r="J20" s="1291"/>
      <c r="K20" s="1291"/>
      <c r="L20" s="1291"/>
      <c r="M20" s="1291"/>
      <c r="N20" s="1291"/>
      <c r="O20" s="2605"/>
      <c r="P20" s="1911"/>
      <c r="Q20" s="1914"/>
      <c r="R20" s="1917"/>
      <c r="S20" s="1917"/>
      <c r="T20" s="1917"/>
      <c r="U20" s="1917"/>
      <c r="V20" s="1917"/>
      <c r="W20" s="1917"/>
      <c r="X20" s="1917"/>
      <c r="Y20" s="1295"/>
      <c r="Z20" s="1295"/>
      <c r="AA20" s="1295"/>
      <c r="AB20" s="1295"/>
      <c r="AC20" s="1295"/>
      <c r="AD20" s="1295"/>
    </row>
    <row r="21" spans="1:40" s="1276" customFormat="1" ht="15" thickBot="1">
      <c r="A21" s="4127"/>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1" t="s">
        <v>880</v>
      </c>
      <c r="C22" s="2602">
        <f>SUMIF(修正!C20:C51,E3,修正!E20:E51)</f>
        <v>0</v>
      </c>
      <c r="D22" s="2603"/>
      <c r="E22" s="2604"/>
      <c r="F22" s="2589"/>
      <c r="G22" s="2588"/>
      <c r="H22" s="2588"/>
      <c r="I22" s="2588"/>
      <c r="J22" s="2594"/>
      <c r="K22" s="2973"/>
      <c r="L22" s="2588"/>
      <c r="M22" s="2588"/>
      <c r="N22" s="2588"/>
      <c r="O22" s="2588"/>
      <c r="P22" s="2978"/>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7" t="s">
        <v>882</v>
      </c>
      <c r="E23" s="1000">
        <v>44197</v>
      </c>
      <c r="F23" s="1297" t="s">
        <v>883</v>
      </c>
      <c r="G23" s="1001">
        <f>'数据-取费表'!B2</f>
        <v>45744</v>
      </c>
      <c r="H23" s="1298" t="s">
        <v>2245</v>
      </c>
      <c r="I23" s="2265" t="str">
        <f>IF(H23="季度增幅（自定义）",SUMIF(N25:N28,E2,O25:O28),"")</f>
        <v/>
      </c>
      <c r="J23" s="3563"/>
      <c r="K23" s="2973"/>
      <c r="L23" s="2510" t="s">
        <v>2116</v>
      </c>
      <c r="M23" s="2511">
        <f>ROUND(SUMIF(地价!B2:F2,E2,地价!B41:F41),0)</f>
        <v>0</v>
      </c>
      <c r="N23" s="2267" t="s">
        <v>1211</v>
      </c>
      <c r="O23" s="2266">
        <f>ROUNDDOWN(DATEDIF(E23,G23,"M")/3,0)</f>
        <v>16</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2277</v>
      </c>
      <c r="C25" s="1057">
        <f>IF(B25="容积率修正",IF(G3&lt;10,D26,J26),C27)</f>
        <v>0</v>
      </c>
      <c r="D25" s="1304"/>
      <c r="E25" s="1304"/>
      <c r="F25" s="1304"/>
      <c r="G25" s="1304"/>
      <c r="H25" s="1304"/>
      <c r="I25" s="1304"/>
      <c r="J25" s="1305"/>
      <c r="K25" s="2973"/>
      <c r="L25" s="1304"/>
      <c r="M25" s="1304"/>
      <c r="N25" s="1301" t="s">
        <v>900</v>
      </c>
      <c r="O25" s="1361"/>
      <c r="P25" s="2257">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4" t="s">
        <v>3212</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3213</v>
      </c>
      <c r="J26" s="1002" t="str">
        <f>IF(G3&gt;=10,D116,"——")</f>
        <v>——</v>
      </c>
      <c r="K26" s="2979"/>
      <c r="L26" s="1304"/>
      <c r="M26" s="1304"/>
      <c r="N26" s="1301" t="s">
        <v>902</v>
      </c>
      <c r="O26" s="1361"/>
      <c r="P26" s="2257">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0"/>
      <c r="L27" s="1256"/>
      <c r="M27" s="1256"/>
      <c r="N27" s="1301" t="s">
        <v>851</v>
      </c>
      <c r="O27" s="1361"/>
      <c r="P27" s="2257">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0</v>
      </c>
      <c r="D28" s="1354"/>
      <c r="E28" s="1355"/>
      <c r="F28" s="1355"/>
      <c r="G28" s="1355"/>
      <c r="H28" s="1355"/>
      <c r="I28" s="1355"/>
      <c r="J28" s="1355"/>
      <c r="K28" s="2980"/>
      <c r="L28" s="1304"/>
      <c r="M28" s="1304"/>
      <c r="N28" s="1301" t="s">
        <v>905</v>
      </c>
      <c r="O28" s="2590"/>
      <c r="P28" s="2257">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4"/>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9" t="e">
        <f>IF(B25="容积率修正",E33+SUM(E37:E42),SUM(V2:V16)+SUM(E37:E42))</f>
        <v>#DIV/0!</v>
      </c>
      <c r="D30" s="1312"/>
      <c r="E30" s="1290"/>
      <c r="F30" s="1313"/>
      <c r="G30" s="1290"/>
      <c r="H30" s="1290"/>
      <c r="I30" s="1290"/>
      <c r="J30" s="1314"/>
      <c r="K30" s="2974"/>
      <c r="L30" s="1407" t="s">
        <v>833</v>
      </c>
      <c r="M30" s="1279" t="s">
        <v>907</v>
      </c>
      <c r="N30" s="1279" t="s">
        <v>908</v>
      </c>
      <c r="O30" s="1279" t="s">
        <v>835</v>
      </c>
      <c r="P30" s="1299" t="s">
        <v>909</v>
      </c>
      <c r="Q30" s="1299" t="s">
        <v>3239</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t="e">
        <f>E34+SUM(I37:I42)</f>
        <v>#DIV/0!</v>
      </c>
      <c r="D31" s="1316"/>
      <c r="E31" s="1317"/>
      <c r="F31" s="1318"/>
      <c r="G31" s="1317"/>
      <c r="H31" s="1317"/>
      <c r="I31" s="1317"/>
      <c r="J31" s="1319"/>
      <c r="K31" s="2974"/>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4"/>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t="e">
        <f>ROUND(C5*C22*C23*C24*C25*C28,0)</f>
        <v>#DIV/0!</v>
      </c>
      <c r="D33" s="1326"/>
      <c r="E33" s="1635" t="e">
        <f>ROUND(C33*D33/10000,0)</f>
        <v>#DIV/0!</v>
      </c>
      <c r="F33" s="3565" t="s">
        <v>3214</v>
      </c>
      <c r="G33" s="1327"/>
      <c r="H33" s="1327"/>
      <c r="I33" s="1327"/>
      <c r="J33" s="1328"/>
      <c r="K33" s="2981"/>
      <c r="L33" s="3635" t="s">
        <v>3240</v>
      </c>
      <c r="M33" s="3636">
        <v>5.5E-2</v>
      </c>
      <c r="N33" s="3636">
        <v>5.5E-2</v>
      </c>
      <c r="O33" s="3636">
        <v>0.05</v>
      </c>
      <c r="P33" s="3636">
        <v>0.05</v>
      </c>
      <c r="Q33" s="3636">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t="e">
        <f>ROUND(IF(E2="工业",C33*M42,IF(B25="楼层修正",SUM(V2:V16)*M41*10000/D34,C33*M41)),0)</f>
        <v>#DIV/0!</v>
      </c>
      <c r="D34" s="1331"/>
      <c r="E34" s="1635" t="e">
        <f>ROUND(IF(B25="楼层修正",SUM(V2:V16)*#REF!,C34*D34/10000),0)</f>
        <v>#DIV/0!</v>
      </c>
      <c r="F34" s="3566" t="s">
        <v>3215</v>
      </c>
      <c r="G34" s="1332"/>
      <c r="H34" s="1332"/>
      <c r="I34" s="1332"/>
      <c r="J34" s="1333"/>
      <c r="K34" s="2974"/>
      <c r="L34" s="3635" t="s">
        <v>3241</v>
      </c>
      <c r="M34" s="3636">
        <v>6.5000000000000002E-2</v>
      </c>
      <c r="N34" s="3636">
        <v>6.5000000000000002E-2</v>
      </c>
      <c r="O34" s="3636">
        <v>0.06</v>
      </c>
      <c r="P34" s="3636">
        <v>0.06</v>
      </c>
      <c r="Q34" s="3636">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4"/>
      <c r="L35" s="2974"/>
      <c r="M35" s="2974"/>
      <c r="N35" s="2974"/>
      <c r="O35" s="2974"/>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37" t="s">
        <v>3242</v>
      </c>
      <c r="L36" s="3639">
        <f ca="1">'数据-取费表'!B40</f>
        <v>4.3500000000000004E-2</v>
      </c>
      <c r="M36" s="3640">
        <f ca="1">ROUND($L$36*(1+M31),3)</f>
        <v>5.3999999999999999E-2</v>
      </c>
      <c r="N36" s="3640">
        <f ca="1">ROUND($L$36*(1+N31),3)</f>
        <v>5.1999999999999998E-2</v>
      </c>
      <c r="O36" s="3640">
        <f ca="1">ROUND($L$36*(1+O31),3)</f>
        <v>0.05</v>
      </c>
      <c r="P36" s="3640">
        <f ca="1">ROUND($L$36*(1+P31),3)</f>
        <v>4.8000000000000001E-2</v>
      </c>
      <c r="Q36" s="3640">
        <f ca="1">ROUND($L$36*(1+Q31),3)</f>
        <v>0.05</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4130"/>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4130"/>
      <c r="K37" s="3638" t="s">
        <v>3243</v>
      </c>
      <c r="L37" s="3639">
        <f ca="1">L36+K38</f>
        <v>4.8500000000000001E-2</v>
      </c>
      <c r="M37" s="3640">
        <f ca="1">ROUND($L$37*(1+M31),3)</f>
        <v>6.0999999999999999E-2</v>
      </c>
      <c r="N37" s="3640">
        <f t="shared" ref="N37:Q37" ca="1" si="3">ROUND($L$37*(1+N31),3)</f>
        <v>5.8000000000000003E-2</v>
      </c>
      <c r="O37" s="3640">
        <f t="shared" ca="1" si="3"/>
        <v>5.6000000000000001E-2</v>
      </c>
      <c r="P37" s="3640">
        <f t="shared" ca="1" si="3"/>
        <v>5.2999999999999999E-2</v>
      </c>
      <c r="Q37" s="3640">
        <f t="shared" ca="1" si="3"/>
        <v>5.6000000000000001E-2</v>
      </c>
      <c r="R37" s="1912"/>
      <c r="S37" s="1912"/>
      <c r="T37" s="1912"/>
      <c r="U37" s="1912"/>
      <c r="V37" s="1912"/>
      <c r="W37" s="1911"/>
      <c r="X37" s="1911"/>
      <c r="Y37" s="1911"/>
      <c r="Z37" s="1911"/>
      <c r="AA37" s="1911"/>
      <c r="AB37" s="1911"/>
      <c r="AC37" s="1912"/>
    </row>
    <row r="38" spans="1:44" ht="13.2">
      <c r="A38" s="4131"/>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4131"/>
      <c r="K38" s="3637">
        <v>5.0000000000000001E-3</v>
      </c>
      <c r="L38" s="3637"/>
      <c r="M38" s="3637"/>
      <c r="N38" s="3637"/>
      <c r="O38" s="3637"/>
      <c r="P38" s="3637"/>
      <c r="Q38" s="3637"/>
      <c r="R38" s="1912"/>
      <c r="S38" s="1912"/>
      <c r="T38" s="1912"/>
      <c r="U38" s="1912"/>
      <c r="V38" s="1912"/>
      <c r="W38" s="1911"/>
      <c r="X38" s="1911"/>
      <c r="Y38" s="1911"/>
      <c r="Z38" s="1911"/>
      <c r="AA38" s="1911"/>
      <c r="AB38" s="1911"/>
      <c r="AC38" s="1912"/>
    </row>
    <row r="39" spans="1:44" ht="13.8" thickBot="1">
      <c r="A39" s="4131"/>
      <c r="B39" s="3567" t="s">
        <v>3216</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4131"/>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1" t="s">
        <v>3244</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7" t="s">
        <v>2241</v>
      </c>
      <c r="C44" s="804" t="e">
        <f>ROUND(POWER(1+E44,H44-G44)*(POWER(1+E44,G44)-1)/(POWER(1+E44,H44)-1),4)</f>
        <v>#DIV/0!</v>
      </c>
      <c r="D44" s="365" t="s">
        <v>2239</v>
      </c>
      <c r="E44" s="2586">
        <f>G24</f>
        <v>0</v>
      </c>
      <c r="F44" s="365" t="s">
        <v>2240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0" customFormat="1" ht="15" thickBot="1">
      <c r="A47" s="3576" t="s">
        <v>928</v>
      </c>
      <c r="B47" s="3577"/>
      <c r="C47" s="3578"/>
      <c r="D47" s="3579"/>
      <c r="E47" s="3579"/>
      <c r="F47" s="3579"/>
      <c r="G47" s="3430"/>
      <c r="H47" s="3579"/>
      <c r="I47" s="3430"/>
      <c r="J47" s="3430"/>
      <c r="K47" s="3430"/>
      <c r="L47" s="3430"/>
      <c r="M47" s="3430"/>
      <c r="O47" s="1920"/>
      <c r="P47" s="1920"/>
      <c r="Q47" s="1920"/>
      <c r="R47" s="1920"/>
      <c r="S47" s="1920"/>
      <c r="T47" s="1920"/>
      <c r="U47" s="1920"/>
      <c r="V47" s="1920"/>
      <c r="W47" s="1920"/>
      <c r="X47" s="1920"/>
      <c r="Y47" s="1920"/>
      <c r="Z47" s="1920"/>
      <c r="AA47" s="1920"/>
      <c r="AB47" s="1920"/>
      <c r="AC47" s="1920"/>
      <c r="AD47" s="1920"/>
    </row>
    <row r="48" spans="1:44" s="3580" customFormat="1" ht="14.4">
      <c r="A48" s="3581" t="s">
        <v>929</v>
      </c>
      <c r="B48" s="3645">
        <f>1+E50</f>
        <v>1</v>
      </c>
      <c r="C48" s="3582"/>
      <c r="D48" s="3583"/>
      <c r="E48" s="3584"/>
      <c r="F48" s="3585"/>
      <c r="G48" s="3579"/>
      <c r="H48" s="3579"/>
      <c r="I48" s="3430"/>
      <c r="J48" s="3430"/>
      <c r="K48" s="3430"/>
      <c r="L48" s="3430"/>
      <c r="M48" s="3430"/>
      <c r="O48" s="1920"/>
      <c r="P48" s="1920"/>
      <c r="Q48" s="1920"/>
      <c r="R48" s="1920"/>
      <c r="S48" s="1920"/>
      <c r="T48" s="1920"/>
      <c r="U48" s="1920"/>
      <c r="V48" s="1920"/>
      <c r="W48" s="1920"/>
      <c r="X48" s="1920"/>
      <c r="Y48" s="1920"/>
      <c r="Z48" s="1920"/>
      <c r="AA48" s="1920"/>
      <c r="AB48" s="1920"/>
      <c r="AC48" s="1920"/>
      <c r="AD48" s="1920"/>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20"/>
      <c r="Q49" s="1920"/>
      <c r="R49" s="1920"/>
      <c r="S49" s="1920"/>
      <c r="T49" s="1920"/>
      <c r="U49" s="1920"/>
      <c r="V49" s="1920"/>
      <c r="W49" s="1920"/>
      <c r="X49" s="1920"/>
      <c r="Y49" s="1920"/>
      <c r="Z49" s="1920"/>
      <c r="AA49" s="1920"/>
      <c r="AB49" s="1920"/>
      <c r="AC49" s="1920"/>
      <c r="AD49" s="1920"/>
    </row>
    <row r="50" spans="1:30" s="3580" customFormat="1" ht="36">
      <c r="A50" s="3586" t="s">
        <v>942</v>
      </c>
      <c r="B50" s="3593" t="str">
        <f>估价对象房地状况!C16</f>
        <v>估价对象位于XX商圈，周边商业氛围成熟，人流量大，商业繁华度好</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20"/>
      <c r="Q50" s="1920"/>
      <c r="R50" s="1920"/>
      <c r="S50" s="1920"/>
      <c r="T50" s="1920"/>
      <c r="U50" s="1920"/>
      <c r="V50" s="1920"/>
      <c r="W50" s="1920"/>
      <c r="X50" s="1920"/>
      <c r="Y50" s="1920"/>
      <c r="Z50" s="1920"/>
      <c r="AA50" s="1920"/>
      <c r="AB50" s="1920"/>
      <c r="AC50" s="1920"/>
      <c r="AD50" s="1920"/>
    </row>
    <row r="51" spans="1:30" s="3580" customFormat="1" ht="48">
      <c r="A51" s="3586" t="s">
        <v>943</v>
      </c>
      <c r="B51" s="3587" t="str">
        <f>估价对象房地状况!C18</f>
        <v>估价对象周边道路状况、公共交通通达情况、停车便捷程度，综合评价交通便捷度较好</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20"/>
      <c r="Q51" s="1920"/>
      <c r="R51" s="1920"/>
      <c r="S51" s="1920"/>
      <c r="T51" s="1920"/>
      <c r="U51" s="1920"/>
      <c r="V51" s="1920"/>
      <c r="W51" s="1920"/>
      <c r="X51" s="1920"/>
      <c r="Y51" s="1920"/>
      <c r="Z51" s="1920"/>
      <c r="AA51" s="1920"/>
      <c r="AB51" s="1920"/>
      <c r="AC51" s="1920"/>
      <c r="AD51" s="1920"/>
    </row>
    <row r="52" spans="1:30" s="3580" customFormat="1" ht="48">
      <c r="A52" s="3568" t="s">
        <v>3218</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20"/>
      <c r="Q52" s="1920"/>
      <c r="R52" s="1920"/>
      <c r="S52" s="1920"/>
      <c r="T52" s="1920"/>
      <c r="U52" s="1920"/>
      <c r="V52" s="1920"/>
      <c r="W52" s="1920"/>
      <c r="X52" s="1920"/>
      <c r="Y52" s="1920"/>
      <c r="Z52" s="1920"/>
      <c r="AA52" s="1920"/>
      <c r="AB52" s="1920"/>
      <c r="AC52" s="1920"/>
      <c r="AD52" s="1920"/>
    </row>
    <row r="53" spans="1:30" s="3580" customFormat="1" ht="36">
      <c r="A53" s="3586" t="s">
        <v>945</v>
      </c>
      <c r="B53" s="3602" t="s">
        <v>2198</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20"/>
      <c r="Q53" s="1920"/>
      <c r="R53" s="1920"/>
      <c r="S53" s="1920"/>
      <c r="T53" s="1920"/>
      <c r="U53" s="1920"/>
      <c r="V53" s="1920"/>
      <c r="W53" s="1920"/>
      <c r="X53" s="1920"/>
      <c r="Y53" s="1920"/>
      <c r="Z53" s="1920"/>
      <c r="AA53" s="1920"/>
      <c r="AB53" s="1920"/>
      <c r="AC53" s="1920"/>
      <c r="AD53" s="1920"/>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20"/>
      <c r="Q54" s="1920"/>
      <c r="R54" s="1920"/>
      <c r="S54" s="1920"/>
      <c r="T54" s="1920"/>
      <c r="U54" s="1920"/>
      <c r="V54" s="1920"/>
      <c r="W54" s="1920"/>
      <c r="X54" s="1920"/>
      <c r="Y54" s="1920"/>
      <c r="Z54" s="1920"/>
      <c r="AA54" s="1920"/>
      <c r="AB54" s="1920"/>
      <c r="AC54" s="1920"/>
      <c r="AD54" s="1920"/>
    </row>
    <row r="55" spans="1:30" s="3580" customFormat="1" ht="36">
      <c r="A55" s="3586" t="s">
        <v>947</v>
      </c>
      <c r="B55" s="3603" t="s">
        <v>2197</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20"/>
      <c r="Q55" s="1920"/>
      <c r="R55" s="1920"/>
      <c r="S55" s="1920"/>
      <c r="T55" s="1920"/>
      <c r="U55" s="1920"/>
      <c r="V55" s="1920"/>
      <c r="W55" s="1920"/>
      <c r="X55" s="1920"/>
      <c r="Y55" s="1920"/>
      <c r="Z55" s="1920"/>
      <c r="AA55" s="1920"/>
      <c r="AB55" s="1920"/>
      <c r="AC55" s="1920"/>
      <c r="AD55" s="1920"/>
    </row>
    <row r="56" spans="1:30" s="3580" customFormat="1" ht="24">
      <c r="A56" s="3604" t="s">
        <v>948</v>
      </c>
      <c r="B56" s="3605" t="str">
        <f>估价对象房地状况!C21</f>
        <v>估价对象所在区域公共配套设施齐备情况</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20"/>
      <c r="Q56" s="1920"/>
      <c r="R56" s="1920"/>
      <c r="S56" s="1920"/>
      <c r="T56" s="1920"/>
      <c r="U56" s="1920"/>
      <c r="V56" s="1920"/>
      <c r="W56" s="1920"/>
      <c r="X56" s="1920"/>
      <c r="Y56" s="1920"/>
      <c r="Z56" s="1920"/>
      <c r="AA56" s="1920"/>
      <c r="AB56" s="1920"/>
      <c r="AC56" s="1920"/>
      <c r="AD56" s="1920"/>
    </row>
    <row r="57" spans="1:30" s="3580" customFormat="1" ht="24">
      <c r="A57" s="3604" t="s">
        <v>949</v>
      </c>
      <c r="B57" s="3587" t="str">
        <f>估价对象房地状况!C22</f>
        <v>估价对象所在区域基础设施水平</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20"/>
      <c r="Q57" s="1920"/>
      <c r="R57" s="1920"/>
      <c r="S57" s="1920"/>
      <c r="T57" s="1920"/>
      <c r="U57" s="1920"/>
      <c r="V57" s="1920"/>
      <c r="W57" s="1920"/>
      <c r="X57" s="1920"/>
      <c r="Y57" s="1920"/>
      <c r="Z57" s="1920"/>
      <c r="AA57" s="1920"/>
      <c r="AB57" s="1920"/>
      <c r="AC57" s="1920"/>
      <c r="AD57" s="1920"/>
    </row>
    <row r="58" spans="1:30" s="3580" customFormat="1" ht="36.6" thickBot="1">
      <c r="A58" s="3606" t="s">
        <v>950</v>
      </c>
      <c r="B58" s="3607" t="str">
        <f>估价对象房地状况!C20</f>
        <v>区域自然环境：；人文环境；综合评价环境状况一般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20"/>
      <c r="Q58" s="1920"/>
      <c r="R58" s="1920"/>
      <c r="S58" s="1920"/>
      <c r="T58" s="1920"/>
      <c r="U58" s="1920"/>
      <c r="V58" s="1920"/>
      <c r="W58" s="1920"/>
      <c r="X58" s="1920"/>
      <c r="Y58" s="1920"/>
      <c r="Z58" s="1920"/>
      <c r="AA58" s="1920"/>
      <c r="AB58" s="1920"/>
      <c r="AC58" s="1920"/>
      <c r="AD58" s="1920"/>
    </row>
    <row r="59" spans="1:30" s="3580" customFormat="1" ht="14.4">
      <c r="A59" s="3581" t="s">
        <v>951</v>
      </c>
      <c r="B59" s="3645">
        <f>1+E61</f>
        <v>1</v>
      </c>
      <c r="C59" s="3609"/>
      <c r="D59" s="3583"/>
      <c r="E59" s="3584"/>
      <c r="F59" s="3585"/>
      <c r="G59" s="3579"/>
      <c r="H59" s="3579"/>
      <c r="I59" s="3579"/>
      <c r="J59" s="3430"/>
      <c r="K59" s="3430"/>
      <c r="L59" s="3430"/>
      <c r="M59" s="3430"/>
      <c r="N59" s="3430"/>
      <c r="P59" s="1920"/>
      <c r="Q59" s="1920"/>
      <c r="R59" s="1920"/>
      <c r="S59" s="1920"/>
      <c r="T59" s="1920"/>
      <c r="U59" s="1920"/>
      <c r="V59" s="1920"/>
      <c r="W59" s="1920"/>
      <c r="X59" s="1920"/>
      <c r="Y59" s="1920"/>
      <c r="Z59" s="1920"/>
      <c r="AA59" s="1920"/>
      <c r="AB59" s="1920"/>
      <c r="AC59" s="1920"/>
      <c r="AD59" s="1920"/>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20"/>
      <c r="Q60" s="1920"/>
      <c r="R60" s="1920"/>
      <c r="S60" s="1920"/>
      <c r="T60" s="1920"/>
      <c r="U60" s="1920"/>
      <c r="V60" s="1920"/>
      <c r="W60" s="1920"/>
      <c r="X60" s="1920"/>
      <c r="Y60" s="1920"/>
      <c r="Z60" s="1920"/>
      <c r="AA60" s="1920"/>
      <c r="AB60" s="1920"/>
      <c r="AC60" s="1920"/>
      <c r="AD60" s="1920"/>
    </row>
    <row r="61" spans="1:30" s="3580" customFormat="1" ht="36">
      <c r="A61" s="3586" t="s">
        <v>952</v>
      </c>
      <c r="B61" s="3593" t="str">
        <f>估价对象房地状况!C17</f>
        <v>估价对象位于XX商圈，周边办公楼项目较多，入驻率高，办公集聚程度较好</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20"/>
      <c r="Q61" s="1920"/>
      <c r="R61" s="1920"/>
      <c r="S61" s="1920"/>
      <c r="T61" s="1920"/>
      <c r="U61" s="1920"/>
      <c r="V61" s="1920"/>
      <c r="W61" s="1920"/>
      <c r="X61" s="1920"/>
      <c r="Y61" s="1920"/>
      <c r="Z61" s="1920"/>
      <c r="AA61" s="1920"/>
      <c r="AB61" s="1920"/>
      <c r="AC61" s="1920"/>
      <c r="AD61" s="1920"/>
    </row>
    <row r="62" spans="1:30" s="3580" customFormat="1" ht="48">
      <c r="A62" s="3586" t="s">
        <v>943</v>
      </c>
      <c r="B62" s="3587" t="str">
        <f>估价对象房地状况!C18</f>
        <v>估价对象周边道路状况、公共交通通达情况、停车便捷程度，综合评价交通便捷度较好</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20"/>
      <c r="Q62" s="1920"/>
      <c r="R62" s="1920"/>
      <c r="S62" s="1920"/>
      <c r="T62" s="1920"/>
      <c r="U62" s="1920"/>
      <c r="V62" s="1920"/>
      <c r="W62" s="1920"/>
      <c r="X62" s="1920"/>
      <c r="Y62" s="1920"/>
      <c r="Z62" s="1920"/>
      <c r="AA62" s="1920"/>
      <c r="AB62" s="1920"/>
      <c r="AC62" s="1920"/>
      <c r="AD62" s="1920"/>
    </row>
    <row r="63" spans="1:30" s="3580" customFormat="1" ht="48">
      <c r="A63" s="3568" t="s">
        <v>3218</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20"/>
      <c r="Q63" s="1920"/>
      <c r="R63" s="1920"/>
      <c r="S63" s="1920"/>
      <c r="T63" s="1920"/>
      <c r="U63" s="1920"/>
      <c r="V63" s="1920"/>
      <c r="W63" s="1920"/>
      <c r="X63" s="1920"/>
      <c r="Y63" s="1920"/>
      <c r="Z63" s="1920"/>
      <c r="AA63" s="1920"/>
      <c r="AB63" s="1920"/>
      <c r="AC63" s="1920"/>
      <c r="AD63" s="1920"/>
    </row>
    <row r="64" spans="1:30" s="3580" customFormat="1" ht="36">
      <c r="A64" s="3586" t="s">
        <v>945</v>
      </c>
      <c r="B64" s="3602" t="s">
        <v>2199</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20"/>
      <c r="Q64" s="1920"/>
      <c r="R64" s="1920"/>
      <c r="S64" s="1920"/>
      <c r="T64" s="1920"/>
      <c r="U64" s="1920"/>
      <c r="V64" s="1920"/>
      <c r="W64" s="1920"/>
      <c r="X64" s="1920"/>
      <c r="Y64" s="1920"/>
      <c r="Z64" s="1920"/>
      <c r="AA64" s="1920"/>
      <c r="AB64" s="1920"/>
      <c r="AC64" s="1920"/>
      <c r="AD64" s="1920"/>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20"/>
      <c r="Q65" s="1920"/>
      <c r="R65" s="1920"/>
      <c r="S65" s="1920"/>
      <c r="T65" s="1920"/>
      <c r="U65" s="1920"/>
      <c r="V65" s="1920"/>
      <c r="W65" s="1920"/>
      <c r="X65" s="1920"/>
      <c r="Y65" s="1920"/>
      <c r="Z65" s="1920"/>
      <c r="AA65" s="1920"/>
      <c r="AB65" s="1920"/>
      <c r="AC65" s="1920"/>
      <c r="AD65" s="1920"/>
    </row>
    <row r="66" spans="1:36" s="3580" customFormat="1" ht="36">
      <c r="A66" s="3586" t="s">
        <v>947</v>
      </c>
      <c r="B66" s="3603" t="s">
        <v>2197</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20"/>
      <c r="Q66" s="1920"/>
      <c r="R66" s="1920"/>
      <c r="S66" s="1920"/>
      <c r="T66" s="1920"/>
      <c r="U66" s="1920"/>
      <c r="V66" s="1920"/>
      <c r="W66" s="1920"/>
      <c r="X66" s="1920"/>
      <c r="Y66" s="1920"/>
      <c r="Z66" s="1920"/>
      <c r="AA66" s="1920"/>
      <c r="AB66" s="1920"/>
      <c r="AC66" s="1920"/>
      <c r="AD66" s="1920"/>
    </row>
    <row r="67" spans="1:36" s="3580" customFormat="1" ht="24">
      <c r="A67" s="3586" t="s">
        <v>948</v>
      </c>
      <c r="B67" s="3605" t="str">
        <f>估价对象房地状况!C21</f>
        <v>估价对象所在区域公共配套设施齐备情况</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20"/>
      <c r="Q67" s="1920"/>
      <c r="R67" s="1920"/>
      <c r="S67" s="1920"/>
      <c r="T67" s="1920"/>
      <c r="U67" s="1920"/>
      <c r="V67" s="1920"/>
      <c r="W67" s="1920"/>
      <c r="X67" s="1920"/>
      <c r="Y67" s="1920"/>
      <c r="Z67" s="1920"/>
      <c r="AA67" s="1920"/>
      <c r="AB67" s="1920"/>
      <c r="AC67" s="1920"/>
      <c r="AD67" s="1920"/>
    </row>
    <row r="68" spans="1:36" s="3580" customFormat="1" ht="24">
      <c r="A68" s="3586" t="s">
        <v>949</v>
      </c>
      <c r="B68" s="3605" t="str">
        <f>估价对象房地状况!C22</f>
        <v>估价对象所在区域基础设施水平</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20"/>
      <c r="Q68" s="1920"/>
      <c r="R68" s="1920"/>
      <c r="S68" s="1920"/>
      <c r="T68" s="1920"/>
      <c r="U68" s="1920"/>
      <c r="V68" s="1920"/>
      <c r="W68" s="1920"/>
      <c r="X68" s="1920"/>
      <c r="Y68" s="1920"/>
      <c r="Z68" s="1920"/>
      <c r="AA68" s="1920"/>
      <c r="AB68" s="1920"/>
      <c r="AC68" s="1920"/>
      <c r="AD68" s="1920"/>
    </row>
    <row r="69" spans="1:36" s="3580" customFormat="1" ht="36.6" thickBot="1">
      <c r="A69" s="3606" t="s">
        <v>950</v>
      </c>
      <c r="B69" s="3610" t="str">
        <f>估价对象房地状况!C20</f>
        <v>区域自然环境：；人文环境；综合评价环境状况一般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20"/>
      <c r="Q69" s="1920"/>
      <c r="R69" s="1920"/>
      <c r="S69" s="1920"/>
      <c r="T69" s="1920"/>
      <c r="U69" s="1920"/>
      <c r="V69" s="1920"/>
      <c r="W69" s="1920"/>
      <c r="X69" s="1920"/>
      <c r="Y69" s="1920"/>
      <c r="Z69" s="1920"/>
      <c r="AA69" s="1920"/>
      <c r="AB69" s="1920"/>
      <c r="AC69" s="1920"/>
      <c r="AD69" s="1920"/>
    </row>
    <row r="70" spans="1:36" s="3580" customFormat="1" ht="14.4">
      <c r="A70" s="3581" t="s">
        <v>953</v>
      </c>
      <c r="B70" s="3645">
        <f>1+E72</f>
        <v>1</v>
      </c>
      <c r="C70" s="3609"/>
      <c r="D70" s="3583"/>
      <c r="E70" s="3584"/>
      <c r="F70" s="3585"/>
      <c r="G70" s="3579"/>
      <c r="H70" s="3579"/>
      <c r="I70" s="3579"/>
      <c r="J70" s="3430"/>
      <c r="K70" s="3430"/>
      <c r="L70" s="3430"/>
      <c r="M70" s="3430"/>
      <c r="N70" s="3430"/>
      <c r="P70" s="1920"/>
      <c r="Q70" s="1920"/>
      <c r="R70" s="1920"/>
      <c r="S70" s="1920"/>
      <c r="T70" s="1920"/>
      <c r="U70" s="1920"/>
      <c r="V70" s="1920"/>
      <c r="W70" s="1920"/>
      <c r="X70" s="1920"/>
      <c r="Y70" s="1920"/>
      <c r="Z70" s="1920"/>
      <c r="AA70" s="1920"/>
      <c r="AB70" s="1920"/>
      <c r="AC70" s="1920"/>
      <c r="AD70" s="1920"/>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20"/>
      <c r="Q71" s="1920"/>
      <c r="R71" s="1920"/>
      <c r="S71" s="1920"/>
      <c r="T71" s="1920"/>
      <c r="U71" s="1920"/>
      <c r="V71" s="1920"/>
      <c r="W71" s="1920"/>
      <c r="X71" s="1920"/>
      <c r="Y71" s="1920"/>
      <c r="Z71" s="1920"/>
      <c r="AA71" s="1920"/>
      <c r="AB71" s="1920"/>
      <c r="AC71" s="1920"/>
      <c r="AD71" s="1920"/>
    </row>
    <row r="72" spans="1:36" s="3580" customFormat="1" ht="48">
      <c r="A72" s="3586" t="s">
        <v>954</v>
      </c>
      <c r="B72" s="3587" t="str">
        <f>估价对象房地状况!C15</f>
        <v>估价对象周边居住用地比例、居住小区规模和社区发展完善程度，综合评价居住社区成熟度一般</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20"/>
      <c r="Q72" s="1920"/>
      <c r="R72" s="1920"/>
      <c r="S72" s="1920"/>
      <c r="T72" s="1920"/>
      <c r="U72" s="1920"/>
      <c r="V72" s="1920"/>
      <c r="W72" s="1920"/>
      <c r="X72" s="1920"/>
      <c r="Y72" s="1920"/>
      <c r="Z72" s="1920"/>
      <c r="AA72" s="1920"/>
      <c r="AB72" s="1920"/>
      <c r="AC72" s="1920"/>
      <c r="AD72" s="1920"/>
    </row>
    <row r="73" spans="1:36" s="3580" customFormat="1" ht="48">
      <c r="A73" s="3586" t="s">
        <v>955</v>
      </c>
      <c r="B73" s="3587" t="str">
        <f>估价对象房地状况!C18</f>
        <v>估价对象周边道路状况、公共交通通达情况、停车便捷程度，综合评价交通便捷度较好</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20"/>
      <c r="Q73" s="1920"/>
      <c r="R73" s="1920"/>
      <c r="S73" s="1920"/>
      <c r="T73" s="1920"/>
      <c r="U73" s="1920"/>
      <c r="V73" s="1920"/>
      <c r="W73" s="1920"/>
      <c r="X73" s="1920"/>
      <c r="Y73" s="1920"/>
      <c r="Z73" s="1920"/>
      <c r="AA73" s="1920"/>
      <c r="AB73" s="1920"/>
      <c r="AC73" s="1920"/>
      <c r="AD73" s="1920"/>
    </row>
    <row r="74" spans="1:36" s="3580" customFormat="1" ht="48">
      <c r="A74" s="3568" t="s">
        <v>3218</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20"/>
      <c r="Q74" s="1920"/>
      <c r="R74" s="1920"/>
      <c r="S74" s="1920"/>
      <c r="T74" s="1920"/>
      <c r="U74" s="1920"/>
      <c r="V74" s="1920"/>
      <c r="W74" s="1920"/>
      <c r="X74" s="1920"/>
      <c r="Y74" s="1920"/>
      <c r="Z74" s="1920"/>
      <c r="AA74" s="1920"/>
      <c r="AB74" s="1920"/>
      <c r="AC74" s="1920"/>
      <c r="AD74" s="1920"/>
    </row>
    <row r="75" spans="1:36" s="1348" customFormat="1" ht="13.8">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20"/>
      <c r="Q75" s="1920"/>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8" customFormat="1" ht="24">
      <c r="A76" s="3586" t="s">
        <v>948</v>
      </c>
      <c r="B76" s="3605" t="str">
        <f>估价对象房地状况!C21</f>
        <v>估价对象所在区域公共配套设施齐备情况</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20"/>
      <c r="Q76" s="1920"/>
      <c r="AE76" s="3580"/>
      <c r="AF76" s="3580"/>
      <c r="AG76" s="3580"/>
      <c r="AH76" s="3580"/>
      <c r="AI76" s="3580"/>
      <c r="AJ76" s="3580"/>
    </row>
    <row r="77" spans="1:36" s="1348" customFormat="1" ht="24">
      <c r="A77" s="3586" t="s">
        <v>949</v>
      </c>
      <c r="B77" s="3605" t="str">
        <f>估价对象房地状况!C22</f>
        <v>估价对象所在区域基础设施水平</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20"/>
      <c r="Q77" s="1920"/>
      <c r="AE77" s="3580"/>
      <c r="AF77" s="3580"/>
      <c r="AG77" s="3580"/>
      <c r="AH77" s="3580"/>
      <c r="AI77" s="3580"/>
      <c r="AJ77" s="3580"/>
    </row>
    <row r="78" spans="1:36" s="1348" customFormat="1" ht="36">
      <c r="A78" s="3586" t="s">
        <v>947</v>
      </c>
      <c r="B78" s="3603" t="s">
        <v>2197</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20"/>
      <c r="Q78" s="1920"/>
      <c r="AE78" s="3580"/>
      <c r="AF78" s="3580"/>
      <c r="AG78" s="3580"/>
      <c r="AH78" s="3580"/>
      <c r="AI78" s="3580"/>
      <c r="AJ78" s="3580"/>
    </row>
    <row r="79" spans="1:36" s="1348" customFormat="1" ht="36">
      <c r="A79" s="3586" t="s">
        <v>950</v>
      </c>
      <c r="B79" s="3593" t="str">
        <f>估价对象房地状况!C20</f>
        <v>区域自然环境：；人文环境；综合评价环境状况一般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8" customFormat="1" ht="36.6"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8" customFormat="1" ht="14.4">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8"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8" customFormat="1" ht="36">
      <c r="A83" s="3586" t="s">
        <v>959</v>
      </c>
      <c r="B83" s="3587" t="str">
        <f>估价对象房地状况!G15</f>
        <v>估价对象位于海淀区，区域工业成熟度一般，产业集聚程度一般</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8" customFormat="1" ht="48">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8"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8" customFormat="1" ht="13.8">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8" customFormat="1" ht="24">
      <c r="A87" s="3586" t="s">
        <v>948</v>
      </c>
      <c r="B87" s="3605" t="str">
        <f>估价对象房地状况!G19</f>
        <v>估价对象所在区域公共配套设施齐备情况好</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8" customFormat="1" ht="24">
      <c r="A88" s="3586" t="s">
        <v>949</v>
      </c>
      <c r="B88" s="3605" t="str">
        <f>估价对象房地状况!G20</f>
        <v>七通</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8" customFormat="1" ht="36">
      <c r="A89" s="3586" t="s">
        <v>947</v>
      </c>
      <c r="B89" s="3603" t="s">
        <v>2197</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8" customFormat="1" ht="36.6" thickBot="1">
      <c r="A90" s="3606" t="s">
        <v>960</v>
      </c>
      <c r="B90" s="3616" t="str">
        <f>估价对象房地状况!G18</f>
        <v>该区域内没有污染型企业，绿化情况教好，卫生条件教好，整体环境状况较好</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8" customFormat="1" ht="14.4">
      <c r="A91" s="3569" t="s">
        <v>3227</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8" customFormat="1" ht="24">
      <c r="A92" s="3570" t="s">
        <v>3228</v>
      </c>
      <c r="B92" s="3570"/>
      <c r="C92" s="3570" t="s">
        <v>3233</v>
      </c>
      <c r="D92" s="3570" t="s">
        <v>3220</v>
      </c>
      <c r="E92" s="3627" t="s">
        <v>3221</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8" customFormat="1" ht="24">
      <c r="A93" s="3625" t="s">
        <v>3229</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8" customFormat="1" ht="48">
      <c r="A94" s="3570" t="s">
        <v>3230</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8" customFormat="1" ht="48">
      <c r="A95" s="3625" t="s">
        <v>3218</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8" customFormat="1" ht="37.200000000000003">
      <c r="A96" s="3570" t="s">
        <v>3222</v>
      </c>
      <c r="B96" s="3574" t="s">
        <v>3223</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8" customFormat="1" ht="24">
      <c r="A97" s="3570" t="s">
        <v>3224</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8" customFormat="1" ht="36">
      <c r="A98" s="3570" t="s">
        <v>3231</v>
      </c>
      <c r="B98" s="3602" t="s">
        <v>2197</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8" customFormat="1" ht="24">
      <c r="A99" s="3570" t="s">
        <v>3232</v>
      </c>
      <c r="B99" s="3587" t="str">
        <f>估价对象房地状况!C21</f>
        <v>估价对象所在区域公共配套设施齐备情况</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8" customFormat="1" ht="24">
      <c r="A100" s="3570" t="s">
        <v>3225</v>
      </c>
      <c r="B100" s="3587" t="str">
        <f>估价对象房地状况!C22</f>
        <v>估价对象所在区域基础设施水平</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8" customFormat="1" ht="36.6" thickBot="1">
      <c r="A101" s="3570" t="s">
        <v>3226</v>
      </c>
      <c r="B101" s="3593" t="str">
        <f>估价对象房地状况!C20</f>
        <v>区域自然环境：；人文环境；综合评价环境状况一般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8" customFormat="1" ht="13.8">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8" customFormat="1">
      <c r="K103" s="3580"/>
      <c r="AD103" s="3580"/>
      <c r="AE103" s="3580"/>
      <c r="AF103" s="3580"/>
      <c r="AG103" s="3580"/>
      <c r="AH103" s="3580"/>
      <c r="AI103" s="3580"/>
    </row>
    <row r="104" spans="1:36">
      <c r="A104" s="4128" t="s">
        <v>1172</v>
      </c>
      <c r="B104" s="4128"/>
      <c r="C104" s="4128"/>
      <c r="D104" s="4128"/>
      <c r="E104" s="4128"/>
      <c r="F104" s="4128"/>
      <c r="G104" s="4128"/>
      <c r="H104" s="4128"/>
      <c r="I104" s="4128"/>
      <c r="J104" s="4128"/>
      <c r="K104" s="2103"/>
      <c r="L104" s="2103"/>
      <c r="M104" s="2103"/>
      <c r="N104" s="2103"/>
    </row>
    <row r="105" spans="1:36">
      <c r="A105" s="4129" t="s">
        <v>1161</v>
      </c>
      <c r="B105" s="4129" t="s">
        <v>1173</v>
      </c>
      <c r="C105" s="1041" t="s">
        <v>1174</v>
      </c>
      <c r="D105" s="1042"/>
      <c r="E105" s="1042"/>
      <c r="F105" s="1042"/>
      <c r="G105" s="1042"/>
      <c r="H105" s="1042"/>
      <c r="I105" s="1042"/>
      <c r="J105" s="1043"/>
      <c r="K105" s="1035"/>
      <c r="L105" s="1035"/>
      <c r="M105" s="1035"/>
      <c r="N105" s="1035"/>
    </row>
    <row r="106" spans="1:36">
      <c r="A106" s="4129"/>
      <c r="B106" s="4129"/>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4135"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136"/>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136"/>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136"/>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136"/>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136"/>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4137"/>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4125" t="s">
        <v>1175</v>
      </c>
      <c r="B114" s="4125"/>
      <c r="C114" s="4125"/>
      <c r="D114" s="4125"/>
      <c r="E114" s="4125"/>
      <c r="F114" s="4125"/>
      <c r="G114" s="4125"/>
      <c r="H114" s="4125"/>
      <c r="I114" s="4125"/>
      <c r="J114" s="4125"/>
      <c r="K114" s="2101"/>
      <c r="L114" s="2101"/>
      <c r="M114" s="2101"/>
      <c r="N114" s="2101"/>
    </row>
    <row r="116" spans="1:14" ht="12.6" thickBot="1"/>
    <row r="117" spans="1:14" ht="25.8"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29" t="s">
        <v>3235</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3.2">
      <c r="A120" s="3629" t="s">
        <v>3236</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3.2">
      <c r="A121" s="3629" t="s">
        <v>3237</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8" thickBot="1">
      <c r="A122" s="3630" t="s">
        <v>3238</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3.2">
      <c r="A123" s="3631" t="s">
        <v>3219</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5"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30" t="s">
        <v>2739</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2765</v>
      </c>
      <c r="B6" s="3240">
        <v>2.5</v>
      </c>
      <c r="C6" s="3240">
        <v>2.5</v>
      </c>
      <c r="D6" s="3240">
        <v>2</v>
      </c>
      <c r="E6" s="3240">
        <v>2</v>
      </c>
      <c r="F6" s="3240">
        <v>2</v>
      </c>
      <c r="G6" s="3240">
        <v>2</v>
      </c>
      <c r="H6" s="3240">
        <v>2</v>
      </c>
      <c r="I6" s="3241">
        <v>1.5</v>
      </c>
      <c r="J6" s="3241">
        <v>1.5</v>
      </c>
      <c r="K6" s="3241">
        <v>1.5</v>
      </c>
      <c r="L6" s="3241">
        <v>1.5</v>
      </c>
      <c r="M6" s="3242">
        <v>1.5</v>
      </c>
    </row>
    <row r="7" spans="1:13" ht="15" thickBot="1">
      <c r="A7" s="3243" t="s">
        <v>2737</v>
      </c>
      <c r="B7" s="3244">
        <v>2.5</v>
      </c>
      <c r="C7" s="3244">
        <v>2.5</v>
      </c>
      <c r="D7" s="3244">
        <v>2</v>
      </c>
      <c r="E7" s="3244">
        <v>2</v>
      </c>
      <c r="F7" s="3244">
        <v>2</v>
      </c>
      <c r="G7" s="3244">
        <v>2</v>
      </c>
      <c r="H7" s="3244">
        <v>2</v>
      </c>
      <c r="I7" s="3245">
        <v>1.5</v>
      </c>
      <c r="J7" s="3245">
        <v>1.5</v>
      </c>
      <c r="K7" s="3245">
        <v>1.5</v>
      </c>
      <c r="L7" s="3245">
        <v>1.5</v>
      </c>
      <c r="M7" s="3246">
        <v>1.5</v>
      </c>
    </row>
    <row r="8" spans="1:13">
      <c r="A8" s="1027" t="s">
        <v>2766</v>
      </c>
      <c r="B8" s="3247">
        <v>80</v>
      </c>
      <c r="C8" s="3247">
        <v>80</v>
      </c>
      <c r="D8" s="3247">
        <v>70</v>
      </c>
      <c r="E8" s="3247">
        <v>70</v>
      </c>
      <c r="F8" s="3247">
        <v>70</v>
      </c>
      <c r="G8" s="3247">
        <v>70</v>
      </c>
      <c r="H8" s="3247">
        <v>70</v>
      </c>
      <c r="I8" s="3247">
        <v>60</v>
      </c>
      <c r="J8" s="3247">
        <v>60</v>
      </c>
      <c r="K8" s="3247">
        <v>60</v>
      </c>
      <c r="L8" s="3247">
        <v>60</v>
      </c>
      <c r="M8" s="3248">
        <v>60</v>
      </c>
    </row>
    <row r="9" spans="1:13">
      <c r="A9" s="1009" t="s">
        <v>2767</v>
      </c>
      <c r="B9" s="3249">
        <v>70</v>
      </c>
      <c r="C9" s="3249">
        <v>70</v>
      </c>
      <c r="D9" s="3249">
        <v>60</v>
      </c>
      <c r="E9" s="3249">
        <v>60</v>
      </c>
      <c r="F9" s="3249">
        <v>60</v>
      </c>
      <c r="G9" s="3249">
        <v>60</v>
      </c>
      <c r="H9" s="3249">
        <v>60</v>
      </c>
      <c r="I9" s="3249">
        <v>50</v>
      </c>
      <c r="J9" s="3249">
        <v>50</v>
      </c>
      <c r="K9" s="3249">
        <v>50</v>
      </c>
      <c r="L9" s="3249">
        <v>50</v>
      </c>
      <c r="M9" s="3250">
        <v>50</v>
      </c>
    </row>
    <row r="10" spans="1:13">
      <c r="A10" s="1009" t="s">
        <v>2768</v>
      </c>
      <c r="B10" s="3249">
        <v>20</v>
      </c>
      <c r="C10" s="3249">
        <v>20</v>
      </c>
      <c r="D10" s="3249">
        <v>15</v>
      </c>
      <c r="E10" s="3249">
        <v>15</v>
      </c>
      <c r="F10" s="3249">
        <v>15</v>
      </c>
      <c r="G10" s="3249">
        <v>15</v>
      </c>
      <c r="H10" s="3249">
        <v>15</v>
      </c>
      <c r="I10" s="3249">
        <v>10</v>
      </c>
      <c r="J10" s="3249">
        <v>10</v>
      </c>
      <c r="K10" s="3249">
        <v>10</v>
      </c>
      <c r="L10" s="3249">
        <v>10</v>
      </c>
      <c r="M10" s="3250">
        <v>10</v>
      </c>
    </row>
    <row r="11" spans="1:13">
      <c r="A11" s="1009" t="s">
        <v>2769</v>
      </c>
      <c r="B11" s="3249">
        <v>30</v>
      </c>
      <c r="C11" s="3249">
        <v>30</v>
      </c>
      <c r="D11" s="3249">
        <v>25</v>
      </c>
      <c r="E11" s="3249">
        <v>25</v>
      </c>
      <c r="F11" s="3249">
        <v>25</v>
      </c>
      <c r="G11" s="3249">
        <v>25</v>
      </c>
      <c r="H11" s="3249">
        <v>25</v>
      </c>
      <c r="I11" s="3249">
        <v>20</v>
      </c>
      <c r="J11" s="3249">
        <v>20</v>
      </c>
      <c r="K11" s="3249">
        <v>20</v>
      </c>
      <c r="L11" s="3249">
        <v>20</v>
      </c>
      <c r="M11" s="3250">
        <v>20</v>
      </c>
    </row>
    <row r="12" spans="1:13">
      <c r="A12" s="1009" t="s">
        <v>2770</v>
      </c>
      <c r="B12" s="3249">
        <v>45</v>
      </c>
      <c r="C12" s="3249">
        <v>45</v>
      </c>
      <c r="D12" s="3249">
        <v>40</v>
      </c>
      <c r="E12" s="3249">
        <v>40</v>
      </c>
      <c r="F12" s="3249">
        <v>40</v>
      </c>
      <c r="G12" s="3249">
        <v>40</v>
      </c>
      <c r="H12" s="3249">
        <v>40</v>
      </c>
      <c r="I12" s="3249">
        <v>35</v>
      </c>
      <c r="J12" s="3249">
        <v>35</v>
      </c>
      <c r="K12" s="3249">
        <v>35</v>
      </c>
      <c r="L12" s="3249">
        <v>35</v>
      </c>
      <c r="M12" s="3250">
        <v>35</v>
      </c>
    </row>
    <row r="13" spans="1:13">
      <c r="A13" s="1009" t="s">
        <v>2771</v>
      </c>
      <c r="B13" s="3249">
        <v>60</v>
      </c>
      <c r="C13" s="3249">
        <v>60</v>
      </c>
      <c r="D13" s="3249">
        <v>50</v>
      </c>
      <c r="E13" s="3249">
        <v>50</v>
      </c>
      <c r="F13" s="3249">
        <v>50</v>
      </c>
      <c r="G13" s="3249">
        <v>50</v>
      </c>
      <c r="H13" s="3249">
        <v>50</v>
      </c>
      <c r="I13" s="3249">
        <v>40</v>
      </c>
      <c r="J13" s="3249">
        <v>40</v>
      </c>
      <c r="K13" s="3249">
        <v>40</v>
      </c>
      <c r="L13" s="3249">
        <v>40</v>
      </c>
      <c r="M13" s="3250">
        <v>40</v>
      </c>
    </row>
    <row r="14" spans="1:13">
      <c r="A14" s="1009" t="s">
        <v>2772</v>
      </c>
      <c r="B14" s="3249">
        <v>50</v>
      </c>
      <c r="C14" s="3249">
        <v>50</v>
      </c>
      <c r="D14" s="3249">
        <v>40</v>
      </c>
      <c r="E14" s="3249">
        <v>40</v>
      </c>
      <c r="F14" s="3249">
        <v>40</v>
      </c>
      <c r="G14" s="3249">
        <v>40</v>
      </c>
      <c r="H14" s="3249">
        <v>40</v>
      </c>
      <c r="I14" s="3249">
        <v>30</v>
      </c>
      <c r="J14" s="3249">
        <v>30</v>
      </c>
      <c r="K14" s="3249">
        <v>30</v>
      </c>
      <c r="L14" s="3249">
        <v>30</v>
      </c>
      <c r="M14" s="3250">
        <v>30</v>
      </c>
    </row>
    <row r="15" spans="1:13">
      <c r="A15" s="1028" t="s">
        <v>2773</v>
      </c>
      <c r="B15" s="3251">
        <v>20</v>
      </c>
      <c r="C15" s="3251">
        <v>20</v>
      </c>
      <c r="D15" s="3251">
        <v>15</v>
      </c>
      <c r="E15" s="3251">
        <v>15</v>
      </c>
      <c r="F15" s="3251">
        <v>15</v>
      </c>
      <c r="G15" s="3251">
        <v>15</v>
      </c>
      <c r="H15" s="3251">
        <v>15</v>
      </c>
      <c r="I15" s="3251">
        <v>10</v>
      </c>
      <c r="J15" s="3251">
        <v>10</v>
      </c>
      <c r="K15" s="3251">
        <v>10</v>
      </c>
      <c r="L15" s="3251">
        <v>10</v>
      </c>
      <c r="M15" s="3252">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2774</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5" thickBot="1">
      <c r="A19" s="3251" t="s">
        <v>2456</v>
      </c>
      <c r="B19" s="3253" t="s">
        <v>2457</v>
      </c>
      <c r="C19" s="3254" t="s">
        <v>2458</v>
      </c>
      <c r="D19" s="3255"/>
      <c r="E19" s="3249" t="s">
        <v>2459</v>
      </c>
      <c r="F19" s="1033"/>
      <c r="G19" s="1033"/>
    </row>
    <row r="20" spans="1:13" s="1408" customFormat="1">
      <c r="A20" s="4144" t="s">
        <v>2450</v>
      </c>
      <c r="B20" s="4147" t="s">
        <v>2460</v>
      </c>
      <c r="C20" s="3256" t="s">
        <v>2461</v>
      </c>
      <c r="D20" s="3257"/>
      <c r="E20" s="3258">
        <v>1</v>
      </c>
      <c r="F20" s="3259" t="s">
        <v>2462</v>
      </c>
      <c r="G20" s="1035"/>
      <c r="H20" s="1025"/>
      <c r="I20" s="1025"/>
    </row>
    <row r="21" spans="1:13" s="1408" customFormat="1">
      <c r="A21" s="4145"/>
      <c r="B21" s="4143"/>
      <c r="C21" s="3260" t="s">
        <v>2463</v>
      </c>
      <c r="D21" s="3261"/>
      <c r="E21" s="3262">
        <v>1</v>
      </c>
      <c r="F21" s="3259" t="s">
        <v>2464</v>
      </c>
      <c r="G21" s="1035"/>
      <c r="H21" s="1025"/>
      <c r="I21" s="1025"/>
    </row>
    <row r="22" spans="1:13" s="1408" customFormat="1">
      <c r="A22" s="4145"/>
      <c r="B22" s="4143"/>
      <c r="C22" s="3260" t="s">
        <v>2465</v>
      </c>
      <c r="D22" s="3261"/>
      <c r="E22" s="3262">
        <v>0.9</v>
      </c>
      <c r="F22" s="3259" t="s">
        <v>2466</v>
      </c>
      <c r="G22" s="1035"/>
      <c r="H22" s="1025"/>
      <c r="I22" s="1025"/>
    </row>
    <row r="23" spans="1:13" s="1408" customFormat="1">
      <c r="A23" s="4145"/>
      <c r="B23" s="4143"/>
      <c r="C23" s="3260" t="s">
        <v>2467</v>
      </c>
      <c r="D23" s="3261"/>
      <c r="E23" s="3262">
        <v>0.9</v>
      </c>
      <c r="F23" s="3259" t="s">
        <v>2468</v>
      </c>
      <c r="G23" s="1035"/>
      <c r="H23" s="1025"/>
      <c r="I23" s="1025"/>
    </row>
    <row r="24" spans="1:13" s="1408" customFormat="1">
      <c r="A24" s="4145"/>
      <c r="B24" s="4143"/>
      <c r="C24" s="3260" t="s">
        <v>2469</v>
      </c>
      <c r="D24" s="3261"/>
      <c r="E24" s="3262">
        <v>0.8</v>
      </c>
      <c r="F24" s="3259" t="s">
        <v>2470</v>
      </c>
      <c r="G24" s="1035"/>
      <c r="H24" s="1025"/>
      <c r="I24" s="1025"/>
    </row>
    <row r="25" spans="1:13" s="1408" customFormat="1" ht="15" thickBot="1">
      <c r="A25" s="4146"/>
      <c r="B25" s="4148"/>
      <c r="C25" s="3263" t="s">
        <v>2471</v>
      </c>
      <c r="D25" s="3264"/>
      <c r="E25" s="3265">
        <v>0.8</v>
      </c>
      <c r="F25" s="3259" t="s">
        <v>2472</v>
      </c>
      <c r="G25" s="1035"/>
      <c r="H25" s="1025"/>
      <c r="I25" s="1025"/>
    </row>
    <row r="26" spans="1:13" s="1408" customFormat="1" ht="15" thickBot="1">
      <c r="A26" s="3266" t="s">
        <v>2451</v>
      </c>
      <c r="B26" s="3267" t="s">
        <v>2460</v>
      </c>
      <c r="C26" s="3268" t="s">
        <v>2473</v>
      </c>
      <c r="D26" s="3269"/>
      <c r="E26" s="3270">
        <v>1</v>
      </c>
      <c r="F26" s="3259" t="s">
        <v>2474</v>
      </c>
      <c r="G26" s="1035"/>
      <c r="H26" s="1025"/>
      <c r="I26" s="1025"/>
    </row>
    <row r="27" spans="1:13" s="1408" customFormat="1">
      <c r="A27" s="4149" t="s">
        <v>2455</v>
      </c>
      <c r="B27" s="4147" t="s">
        <v>2455</v>
      </c>
      <c r="C27" s="3256" t="s">
        <v>2475</v>
      </c>
      <c r="D27" s="3257"/>
      <c r="E27" s="3258">
        <v>1</v>
      </c>
      <c r="F27" s="3259" t="s">
        <v>2476</v>
      </c>
      <c r="G27" s="1035"/>
      <c r="H27" s="1025"/>
      <c r="I27" s="1025"/>
    </row>
    <row r="28" spans="1:13" s="1408" customFormat="1">
      <c r="A28" s="4150"/>
      <c r="B28" s="4143"/>
      <c r="C28" s="3260" t="s">
        <v>2477</v>
      </c>
      <c r="D28" s="3261"/>
      <c r="E28" s="3262">
        <v>1</v>
      </c>
      <c r="F28" s="3259" t="s">
        <v>2478</v>
      </c>
      <c r="G28" s="1035"/>
      <c r="H28" s="1025"/>
      <c r="I28" s="1025"/>
    </row>
    <row r="29" spans="1:13" s="1408" customFormat="1">
      <c r="A29" s="4150"/>
      <c r="B29" s="4143"/>
      <c r="C29" s="3260" t="s">
        <v>2479</v>
      </c>
      <c r="D29" s="3261"/>
      <c r="E29" s="3262">
        <v>0.8</v>
      </c>
      <c r="F29" s="3259" t="s">
        <v>2480</v>
      </c>
      <c r="G29" s="1035"/>
      <c r="H29" s="1025"/>
      <c r="I29" s="1025"/>
    </row>
    <row r="30" spans="1:13" s="1408" customFormat="1">
      <c r="A30" s="4150"/>
      <c r="B30" s="4143"/>
      <c r="C30" s="3260" t="s">
        <v>2481</v>
      </c>
      <c r="D30" s="3261"/>
      <c r="E30" s="3262">
        <v>0.8</v>
      </c>
      <c r="F30" s="3259" t="s">
        <v>2482</v>
      </c>
      <c r="G30" s="1035"/>
      <c r="H30" s="1025"/>
      <c r="I30" s="1025"/>
    </row>
    <row r="31" spans="1:13" s="1408" customFormat="1">
      <c r="A31" s="4150"/>
      <c r="B31" s="4143"/>
      <c r="C31" s="3260" t="s">
        <v>2483</v>
      </c>
      <c r="D31" s="3261"/>
      <c r="E31" s="3262">
        <v>0.8</v>
      </c>
      <c r="F31" s="3259" t="s">
        <v>2484</v>
      </c>
      <c r="G31" s="1035"/>
      <c r="H31" s="1025"/>
      <c r="I31" s="1025"/>
    </row>
    <row r="32" spans="1:13" s="1408" customFormat="1">
      <c r="A32" s="4150"/>
      <c r="B32" s="4143"/>
      <c r="C32" s="3260" t="s">
        <v>2485</v>
      </c>
      <c r="D32" s="3261"/>
      <c r="E32" s="3262">
        <v>0.7</v>
      </c>
      <c r="F32" s="3259" t="s">
        <v>2486</v>
      </c>
      <c r="G32" s="1035"/>
      <c r="H32" s="1025"/>
      <c r="I32" s="1025"/>
    </row>
    <row r="33" spans="1:9" s="1408" customFormat="1">
      <c r="A33" s="4150"/>
      <c r="B33" s="4143"/>
      <c r="C33" s="3260" t="s">
        <v>2487</v>
      </c>
      <c r="D33" s="3261"/>
      <c r="E33" s="3262">
        <v>0.8</v>
      </c>
      <c r="F33" s="3259" t="s">
        <v>2488</v>
      </c>
      <c r="G33" s="1035"/>
      <c r="H33" s="1025"/>
      <c r="I33" s="1025"/>
    </row>
    <row r="34" spans="1:9" s="1408" customFormat="1">
      <c r="A34" s="4150"/>
      <c r="B34" s="4143"/>
      <c r="C34" s="3260" t="s">
        <v>2489</v>
      </c>
      <c r="D34" s="3261"/>
      <c r="E34" s="3262">
        <v>0.6</v>
      </c>
      <c r="F34" s="3259" t="s">
        <v>2490</v>
      </c>
      <c r="G34" s="1035"/>
      <c r="H34" s="1025"/>
      <c r="I34" s="1025"/>
    </row>
    <row r="35" spans="1:9" s="1408" customFormat="1">
      <c r="A35" s="4150"/>
      <c r="B35" s="4143"/>
      <c r="C35" s="3260" t="s">
        <v>2491</v>
      </c>
      <c r="D35" s="3261"/>
      <c r="E35" s="3262">
        <v>0.2</v>
      </c>
      <c r="F35" s="3259" t="s">
        <v>2492</v>
      </c>
      <c r="G35" s="1035"/>
      <c r="H35" s="1025"/>
      <c r="I35" s="1025"/>
    </row>
    <row r="36" spans="1:9" s="1408" customFormat="1">
      <c r="A36" s="4150"/>
      <c r="B36" s="4143"/>
      <c r="C36" s="3260" t="s">
        <v>2493</v>
      </c>
      <c r="D36" s="3261"/>
      <c r="E36" s="3262">
        <v>0.2</v>
      </c>
      <c r="F36" s="3259" t="s">
        <v>2494</v>
      </c>
      <c r="G36" s="1035"/>
      <c r="H36" s="1025"/>
      <c r="I36" s="1025"/>
    </row>
    <row r="37" spans="1:9" s="1408" customFormat="1">
      <c r="A37" s="4150"/>
      <c r="B37" s="4141" t="s">
        <v>2495</v>
      </c>
      <c r="C37" s="3260" t="s">
        <v>2496</v>
      </c>
      <c r="D37" s="3261"/>
      <c r="E37" s="3262">
        <v>0.6</v>
      </c>
      <c r="F37" s="3259" t="s">
        <v>2497</v>
      </c>
      <c r="G37" s="1035"/>
      <c r="H37" s="1025"/>
      <c r="I37" s="1025"/>
    </row>
    <row r="38" spans="1:9" s="1408" customFormat="1">
      <c r="A38" s="4150"/>
      <c r="B38" s="4143"/>
      <c r="C38" s="3260" t="s">
        <v>2498</v>
      </c>
      <c r="D38" s="3261"/>
      <c r="E38" s="3262">
        <v>0.6</v>
      </c>
      <c r="F38" s="3259" t="s">
        <v>2499</v>
      </c>
      <c r="G38" s="1035"/>
      <c r="H38" s="1025"/>
      <c r="I38" s="1025"/>
    </row>
    <row r="39" spans="1:9" s="1408" customFormat="1" ht="15" thickBot="1">
      <c r="A39" s="4151"/>
      <c r="B39" s="4148"/>
      <c r="C39" s="3263" t="s">
        <v>2500</v>
      </c>
      <c r="D39" s="3264"/>
      <c r="E39" s="3265">
        <v>0.6</v>
      </c>
      <c r="F39" s="3259" t="s">
        <v>2501</v>
      </c>
      <c r="G39" s="1035"/>
      <c r="H39" s="1025"/>
      <c r="I39" s="1025"/>
    </row>
    <row r="40" spans="1:9" s="1408" customFormat="1" ht="15" thickBot="1">
      <c r="A40" s="3266" t="s">
        <v>2452</v>
      </c>
      <c r="B40" s="3267" t="s">
        <v>2452</v>
      </c>
      <c r="C40" s="3268" t="s">
        <v>2502</v>
      </c>
      <c r="D40" s="3269"/>
      <c r="E40" s="3270">
        <v>1</v>
      </c>
      <c r="F40" s="3259" t="s">
        <v>2503</v>
      </c>
      <c r="G40" s="1035"/>
      <c r="H40" s="1025"/>
      <c r="I40" s="1025"/>
    </row>
    <row r="41" spans="1:9" s="1408" customFormat="1">
      <c r="A41" s="4144" t="s">
        <v>2453</v>
      </c>
      <c r="B41" s="4147" t="s">
        <v>2504</v>
      </c>
      <c r="C41" s="3256" t="s">
        <v>2505</v>
      </c>
      <c r="D41" s="3257"/>
      <c r="E41" s="3258">
        <v>1</v>
      </c>
      <c r="F41" s="3259" t="s">
        <v>2506</v>
      </c>
      <c r="G41" s="1035"/>
      <c r="H41" s="1025"/>
      <c r="I41" s="1025"/>
    </row>
    <row r="42" spans="1:9" s="1408" customFormat="1">
      <c r="A42" s="4145"/>
      <c r="B42" s="4143"/>
      <c r="C42" s="3260" t="s">
        <v>2507</v>
      </c>
      <c r="D42" s="3261"/>
      <c r="E42" s="3262">
        <v>1</v>
      </c>
      <c r="F42" s="3259" t="s">
        <v>2508</v>
      </c>
      <c r="G42" s="1035"/>
      <c r="H42" s="1025"/>
      <c r="I42" s="1025"/>
    </row>
    <row r="43" spans="1:9" s="1408" customFormat="1">
      <c r="A43" s="4145"/>
      <c r="B43" s="4142"/>
      <c r="C43" s="3260" t="s">
        <v>2509</v>
      </c>
      <c r="D43" s="3261"/>
      <c r="E43" s="3262">
        <v>1.5</v>
      </c>
      <c r="F43" s="3259" t="s">
        <v>2510</v>
      </c>
      <c r="G43" s="1035"/>
      <c r="H43" s="1025"/>
      <c r="I43" s="1025"/>
    </row>
    <row r="44" spans="1:9" s="1408" customFormat="1">
      <c r="A44" s="4145"/>
      <c r="B44" s="3271" t="s">
        <v>2455</v>
      </c>
      <c r="C44" s="3260" t="s">
        <v>2454</v>
      </c>
      <c r="D44" s="3261"/>
      <c r="E44" s="3262">
        <v>2</v>
      </c>
      <c r="F44" s="3259" t="s">
        <v>2511</v>
      </c>
      <c r="G44" s="1035"/>
      <c r="H44" s="1025"/>
      <c r="I44" s="1025"/>
    </row>
    <row r="45" spans="1:9" s="1408" customFormat="1">
      <c r="A45" s="4145"/>
      <c r="B45" s="4141" t="s">
        <v>2512</v>
      </c>
      <c r="C45" s="3260" t="s">
        <v>2513</v>
      </c>
      <c r="D45" s="3261"/>
      <c r="E45" s="3262">
        <v>1</v>
      </c>
      <c r="F45" s="3259" t="s">
        <v>2514</v>
      </c>
      <c r="G45" s="1035"/>
      <c r="H45" s="1025"/>
      <c r="I45" s="1025"/>
    </row>
    <row r="46" spans="1:9" s="1408" customFormat="1">
      <c r="A46" s="4145"/>
      <c r="B46" s="4143"/>
      <c r="C46" s="3260" t="s">
        <v>2515</v>
      </c>
      <c r="D46" s="3261"/>
      <c r="E46" s="3262">
        <v>1</v>
      </c>
      <c r="F46" s="3259" t="s">
        <v>2516</v>
      </c>
      <c r="G46" s="1035"/>
      <c r="H46" s="1025"/>
      <c r="I46" s="1025"/>
    </row>
    <row r="47" spans="1:9" s="1408" customFormat="1">
      <c r="A47" s="4145"/>
      <c r="B47" s="4143"/>
      <c r="C47" s="3260" t="s">
        <v>2517</v>
      </c>
      <c r="D47" s="3261"/>
      <c r="E47" s="3262">
        <v>1</v>
      </c>
      <c r="F47" s="3259" t="s">
        <v>2518</v>
      </c>
      <c r="G47" s="1035"/>
      <c r="H47" s="1025"/>
      <c r="I47" s="1025"/>
    </row>
    <row r="48" spans="1:9" s="1408" customFormat="1">
      <c r="A48" s="4145"/>
      <c r="B48" s="4143"/>
      <c r="C48" s="3260" t="s">
        <v>2519</v>
      </c>
      <c r="D48" s="3261"/>
      <c r="E48" s="3262">
        <v>1</v>
      </c>
      <c r="F48" s="3259" t="s">
        <v>2520</v>
      </c>
      <c r="G48" s="1035"/>
      <c r="H48" s="1025"/>
      <c r="I48" s="1025"/>
    </row>
    <row r="49" spans="1:9" s="1408" customFormat="1">
      <c r="A49" s="4145"/>
      <c r="B49" s="4143"/>
      <c r="C49" s="3260" t="s">
        <v>2521</v>
      </c>
      <c r="D49" s="3261"/>
      <c r="E49" s="3262">
        <v>1</v>
      </c>
      <c r="F49" s="3259" t="s">
        <v>2522</v>
      </c>
      <c r="G49" s="1035"/>
      <c r="H49" s="1025"/>
      <c r="I49" s="1025"/>
    </row>
    <row r="50" spans="1:9" s="1408" customFormat="1">
      <c r="A50" s="4145"/>
      <c r="B50" s="4143"/>
      <c r="C50" s="3260" t="s">
        <v>2523</v>
      </c>
      <c r="D50" s="3261"/>
      <c r="E50" s="3262">
        <v>1</v>
      </c>
      <c r="F50" s="3259" t="s">
        <v>2524</v>
      </c>
      <c r="G50" s="1035"/>
      <c r="H50" s="1025"/>
      <c r="I50" s="1025"/>
    </row>
    <row r="51" spans="1:9" s="1408" customFormat="1" ht="15" thickBot="1">
      <c r="A51" s="4146"/>
      <c r="B51" s="4148"/>
      <c r="C51" s="3263" t="s">
        <v>2525</v>
      </c>
      <c r="D51" s="3264"/>
      <c r="E51" s="3265">
        <v>1</v>
      </c>
      <c r="F51" s="3259"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49">
        <v>0.7</v>
      </c>
      <c r="C57" s="3249">
        <v>0.4</v>
      </c>
      <c r="D57" s="3249">
        <v>0.3</v>
      </c>
      <c r="E57" s="3255">
        <v>0.3</v>
      </c>
      <c r="F57" s="3249">
        <v>0.3</v>
      </c>
      <c r="G57" s="3249">
        <v>0.2</v>
      </c>
      <c r="I57" s="1008"/>
    </row>
    <row r="58" spans="1:9">
      <c r="A58" s="1051" t="s">
        <v>837</v>
      </c>
      <c r="B58" s="3249">
        <v>0.7</v>
      </c>
      <c r="C58" s="3249">
        <v>0.4</v>
      </c>
      <c r="D58" s="3249">
        <v>0.3</v>
      </c>
      <c r="E58" s="3249">
        <v>0.3</v>
      </c>
      <c r="F58" s="3249">
        <v>0.3</v>
      </c>
      <c r="G58" s="3249">
        <v>0.2</v>
      </c>
      <c r="I58" s="1008"/>
    </row>
    <row r="59" spans="1:9">
      <c r="A59" s="1051" t="s">
        <v>838</v>
      </c>
      <c r="B59" s="3249">
        <v>0.6</v>
      </c>
      <c r="C59" s="3249">
        <v>0.3</v>
      </c>
      <c r="D59" s="3249">
        <v>0.25</v>
      </c>
      <c r="E59" s="3249">
        <v>0.25</v>
      </c>
      <c r="F59" s="3249">
        <v>0.25</v>
      </c>
      <c r="G59" s="3249">
        <v>0.15</v>
      </c>
      <c r="I59" s="1008"/>
    </row>
    <row r="60" spans="1:9">
      <c r="A60" s="1051" t="s">
        <v>839</v>
      </c>
      <c r="B60" s="3249">
        <v>0.6</v>
      </c>
      <c r="C60" s="3249">
        <v>0.3</v>
      </c>
      <c r="D60" s="3249">
        <v>0.25</v>
      </c>
      <c r="E60" s="3249">
        <v>0.25</v>
      </c>
      <c r="F60" s="3249">
        <v>0.25</v>
      </c>
      <c r="G60" s="3249">
        <v>0.15</v>
      </c>
      <c r="I60" s="1008"/>
    </row>
    <row r="61" spans="1:9" s="1025" customFormat="1">
      <c r="A61" s="1051" t="s">
        <v>840</v>
      </c>
      <c r="B61" s="3249">
        <v>0.6</v>
      </c>
      <c r="C61" s="3249">
        <v>0.3</v>
      </c>
      <c r="D61" s="3249">
        <v>0.25</v>
      </c>
      <c r="E61" s="3249">
        <v>0.25</v>
      </c>
      <c r="F61" s="3249">
        <v>0.25</v>
      </c>
      <c r="G61" s="3249">
        <v>0.15</v>
      </c>
    </row>
    <row r="62" spans="1:9" s="1025" customFormat="1">
      <c r="A62" s="1051" t="s">
        <v>841</v>
      </c>
      <c r="B62" s="3249">
        <v>0.6</v>
      </c>
      <c r="C62" s="3249">
        <v>0.3</v>
      </c>
      <c r="D62" s="3249">
        <v>0.25</v>
      </c>
      <c r="E62" s="3249">
        <v>0.25</v>
      </c>
      <c r="F62" s="3249">
        <v>0.25</v>
      </c>
      <c r="G62" s="3249">
        <v>0.15</v>
      </c>
    </row>
    <row r="63" spans="1:9" s="1025" customFormat="1">
      <c r="A63" s="1051" t="s">
        <v>842</v>
      </c>
      <c r="B63" s="3249">
        <v>0.6</v>
      </c>
      <c r="C63" s="3249">
        <v>0.3</v>
      </c>
      <c r="D63" s="3249">
        <v>0.25</v>
      </c>
      <c r="E63" s="3249">
        <v>0.25</v>
      </c>
      <c r="F63" s="3249">
        <v>0.25</v>
      </c>
      <c r="G63" s="3249">
        <v>0.15</v>
      </c>
    </row>
    <row r="64" spans="1:9" s="1025" customFormat="1">
      <c r="A64" s="1051" t="s">
        <v>843</v>
      </c>
      <c r="B64" s="3249">
        <v>0.5</v>
      </c>
      <c r="C64" s="3249">
        <v>0.2</v>
      </c>
      <c r="D64" s="3249">
        <v>0.2</v>
      </c>
      <c r="E64" s="3249">
        <v>0.2</v>
      </c>
      <c r="F64" s="3249">
        <v>0.2</v>
      </c>
      <c r="G64" s="3249">
        <v>0.1</v>
      </c>
    </row>
    <row r="65" spans="1:8" s="1025" customFormat="1">
      <c r="A65" s="1051" t="s">
        <v>844</v>
      </c>
      <c r="B65" s="3249">
        <v>0.5</v>
      </c>
      <c r="C65" s="3249">
        <v>0.2</v>
      </c>
      <c r="D65" s="3249">
        <v>0.2</v>
      </c>
      <c r="E65" s="3249">
        <v>0.2</v>
      </c>
      <c r="F65" s="3249">
        <v>0.2</v>
      </c>
      <c r="G65" s="3249">
        <v>0.1</v>
      </c>
    </row>
    <row r="66" spans="1:8" s="1025" customFormat="1">
      <c r="A66" s="1051" t="s">
        <v>845</v>
      </c>
      <c r="B66" s="3249">
        <v>0.5</v>
      </c>
      <c r="C66" s="3249">
        <v>0.2</v>
      </c>
      <c r="D66" s="3249">
        <v>0.2</v>
      </c>
      <c r="E66" s="3249">
        <v>0.2</v>
      </c>
      <c r="F66" s="3249">
        <v>0.2</v>
      </c>
      <c r="G66" s="3249">
        <v>0.1</v>
      </c>
    </row>
    <row r="67" spans="1:8" s="1025" customFormat="1">
      <c r="A67" s="1051" t="s">
        <v>846</v>
      </c>
      <c r="B67" s="3249">
        <v>0.5</v>
      </c>
      <c r="C67" s="3249">
        <v>0.2</v>
      </c>
      <c r="D67" s="3249">
        <v>0.2</v>
      </c>
      <c r="E67" s="3249">
        <v>0.2</v>
      </c>
      <c r="F67" s="3249">
        <v>0.2</v>
      </c>
      <c r="G67" s="3249">
        <v>0.1</v>
      </c>
    </row>
    <row r="68" spans="1:8" s="1025" customFormat="1">
      <c r="A68" s="1051" t="s">
        <v>847</v>
      </c>
      <c r="B68" s="3249">
        <v>0.5</v>
      </c>
      <c r="C68" s="3249">
        <v>0.2</v>
      </c>
      <c r="D68" s="3249">
        <v>0.2</v>
      </c>
      <c r="E68" s="3249">
        <v>0.2</v>
      </c>
      <c r="F68" s="3249">
        <v>0.2</v>
      </c>
      <c r="G68" s="3249">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ht="24">
      <c r="A73" s="3271">
        <v>1</v>
      </c>
      <c r="B73" s="4141" t="s">
        <v>2528</v>
      </c>
      <c r="C73" s="3249" t="s">
        <v>2529</v>
      </c>
      <c r="D73" s="3249" t="s">
        <v>2530</v>
      </c>
      <c r="E73" s="3272">
        <v>0.2</v>
      </c>
      <c r="F73" s="3271">
        <v>25</v>
      </c>
      <c r="H73" s="1025">
        <f>SUMIF(C71:C139,基准地价!C8,E71:E139)</f>
        <v>0</v>
      </c>
    </row>
    <row r="74" spans="1:8" s="1025" customFormat="1" ht="36">
      <c r="A74" s="3271">
        <v>2</v>
      </c>
      <c r="B74" s="4143"/>
      <c r="C74" s="3249" t="s">
        <v>2531</v>
      </c>
      <c r="D74" s="3249" t="s">
        <v>2532</v>
      </c>
      <c r="E74" s="3272">
        <v>0.2</v>
      </c>
      <c r="F74" s="3271">
        <v>25</v>
      </c>
    </row>
    <row r="75" spans="1:8" s="1025" customFormat="1" ht="24">
      <c r="A75" s="3271">
        <v>3</v>
      </c>
      <c r="B75" s="4143"/>
      <c r="C75" s="3249" t="s">
        <v>2533</v>
      </c>
      <c r="D75" s="3249" t="s">
        <v>2534</v>
      </c>
      <c r="E75" s="3272">
        <v>0.2</v>
      </c>
      <c r="F75" s="3271">
        <v>25</v>
      </c>
    </row>
    <row r="76" spans="1:8" s="1025" customFormat="1" ht="24">
      <c r="A76" s="3271">
        <v>4</v>
      </c>
      <c r="B76" s="4143"/>
      <c r="C76" s="3249" t="s">
        <v>2535</v>
      </c>
      <c r="D76" s="3249" t="s">
        <v>2536</v>
      </c>
      <c r="E76" s="3272">
        <v>0.15</v>
      </c>
      <c r="F76" s="3271">
        <v>20</v>
      </c>
    </row>
    <row r="77" spans="1:8" s="1025" customFormat="1" ht="24">
      <c r="A77" s="3271">
        <v>5</v>
      </c>
      <c r="B77" s="4143"/>
      <c r="C77" s="3249" t="s">
        <v>2537</v>
      </c>
      <c r="D77" s="3249" t="s">
        <v>2538</v>
      </c>
      <c r="E77" s="3272">
        <v>0.15</v>
      </c>
      <c r="F77" s="3271">
        <v>20</v>
      </c>
    </row>
    <row r="78" spans="1:8" s="1025" customFormat="1" ht="24">
      <c r="A78" s="3271">
        <v>6</v>
      </c>
      <c r="B78" s="4143"/>
      <c r="C78" s="3249" t="s">
        <v>2539</v>
      </c>
      <c r="D78" s="3249" t="s">
        <v>2540</v>
      </c>
      <c r="E78" s="3272">
        <v>0.15</v>
      </c>
      <c r="F78" s="3271">
        <v>20</v>
      </c>
    </row>
    <row r="79" spans="1:8" s="1025" customFormat="1" ht="36">
      <c r="A79" s="3271">
        <v>7</v>
      </c>
      <c r="B79" s="4143"/>
      <c r="C79" s="3249" t="s">
        <v>2541</v>
      </c>
      <c r="D79" s="3249" t="s">
        <v>2542</v>
      </c>
      <c r="E79" s="3272">
        <v>0.15</v>
      </c>
      <c r="F79" s="3271">
        <v>20</v>
      </c>
    </row>
    <row r="80" spans="1:8" s="1025" customFormat="1" ht="24">
      <c r="A80" s="3271">
        <v>8</v>
      </c>
      <c r="B80" s="4143"/>
      <c r="C80" s="3249" t="s">
        <v>2543</v>
      </c>
      <c r="D80" s="3249" t="s">
        <v>2544</v>
      </c>
      <c r="E80" s="3272">
        <v>0.1</v>
      </c>
      <c r="F80" s="3271">
        <v>15</v>
      </c>
    </row>
    <row r="81" spans="1:6" s="1025" customFormat="1" ht="24">
      <c r="A81" s="3271">
        <v>9</v>
      </c>
      <c r="B81" s="4143"/>
      <c r="C81" s="3249" t="s">
        <v>2545</v>
      </c>
      <c r="D81" s="3249" t="s">
        <v>2546</v>
      </c>
      <c r="E81" s="3272">
        <v>0.1</v>
      </c>
      <c r="F81" s="3271">
        <v>15</v>
      </c>
    </row>
    <row r="82" spans="1:6" s="1025" customFormat="1" ht="24">
      <c r="A82" s="3271">
        <v>10</v>
      </c>
      <c r="B82" s="4143"/>
      <c r="C82" s="3249" t="s">
        <v>2547</v>
      </c>
      <c r="D82" s="3249" t="s">
        <v>2548</v>
      </c>
      <c r="E82" s="3272">
        <v>0.1</v>
      </c>
      <c r="F82" s="3271">
        <v>15</v>
      </c>
    </row>
    <row r="83" spans="1:6" s="1025" customFormat="1" ht="36">
      <c r="A83" s="3271">
        <v>11</v>
      </c>
      <c r="B83" s="4143"/>
      <c r="C83" s="3249" t="s">
        <v>2549</v>
      </c>
      <c r="D83" s="3249" t="s">
        <v>2550</v>
      </c>
      <c r="E83" s="3272">
        <v>0.1</v>
      </c>
      <c r="F83" s="3271">
        <v>15</v>
      </c>
    </row>
    <row r="84" spans="1:6" s="1025" customFormat="1" ht="36">
      <c r="A84" s="3271">
        <v>12</v>
      </c>
      <c r="B84" s="4143"/>
      <c r="C84" s="3249" t="s">
        <v>2551</v>
      </c>
      <c r="D84" s="3249" t="s">
        <v>2552</v>
      </c>
      <c r="E84" s="3272">
        <v>0.1</v>
      </c>
      <c r="F84" s="3271">
        <v>15</v>
      </c>
    </row>
    <row r="85" spans="1:6" s="1025" customFormat="1" ht="24">
      <c r="A85" s="3271">
        <v>13</v>
      </c>
      <c r="B85" s="4143"/>
      <c r="C85" s="3249" t="s">
        <v>2553</v>
      </c>
      <c r="D85" s="3249" t="s">
        <v>2554</v>
      </c>
      <c r="E85" s="3272">
        <v>0.1</v>
      </c>
      <c r="F85" s="3271">
        <v>15</v>
      </c>
    </row>
    <row r="86" spans="1:6" s="1025" customFormat="1" ht="24">
      <c r="A86" s="3271">
        <v>14</v>
      </c>
      <c r="B86" s="4143"/>
      <c r="C86" s="3249" t="s">
        <v>2555</v>
      </c>
      <c r="D86" s="3249" t="s">
        <v>2556</v>
      </c>
      <c r="E86" s="3272">
        <v>0.1</v>
      </c>
      <c r="F86" s="3271">
        <v>15</v>
      </c>
    </row>
    <row r="87" spans="1:6" s="1025" customFormat="1" ht="24">
      <c r="A87" s="3271">
        <v>15</v>
      </c>
      <c r="B87" s="4143"/>
      <c r="C87" s="3249" t="s">
        <v>2557</v>
      </c>
      <c r="D87" s="3249" t="s">
        <v>2558</v>
      </c>
      <c r="E87" s="3272">
        <v>0.1</v>
      </c>
      <c r="F87" s="3271">
        <v>15</v>
      </c>
    </row>
    <row r="88" spans="1:6" s="1025" customFormat="1" ht="24">
      <c r="A88" s="3271">
        <v>16</v>
      </c>
      <c r="B88" s="4143"/>
      <c r="C88" s="3249" t="s">
        <v>2559</v>
      </c>
      <c r="D88" s="3249" t="s">
        <v>2560</v>
      </c>
      <c r="E88" s="3272">
        <v>0.1</v>
      </c>
      <c r="F88" s="3271">
        <v>15</v>
      </c>
    </row>
    <row r="89" spans="1:6" s="1025" customFormat="1" ht="36">
      <c r="A89" s="3271">
        <v>17</v>
      </c>
      <c r="B89" s="4142"/>
      <c r="C89" s="3249" t="s">
        <v>2561</v>
      </c>
      <c r="D89" s="3249" t="s">
        <v>2562</v>
      </c>
      <c r="E89" s="3272">
        <v>0.1</v>
      </c>
      <c r="F89" s="3271">
        <v>15</v>
      </c>
    </row>
    <row r="90" spans="1:6" s="1025" customFormat="1" ht="24">
      <c r="A90" s="3271">
        <v>18</v>
      </c>
      <c r="B90" s="4141" t="s">
        <v>2563</v>
      </c>
      <c r="C90" s="3249" t="s">
        <v>2564</v>
      </c>
      <c r="D90" s="3249" t="s">
        <v>2565</v>
      </c>
      <c r="E90" s="3272">
        <v>0.2</v>
      </c>
      <c r="F90" s="3271">
        <v>25</v>
      </c>
    </row>
    <row r="91" spans="1:6" s="1025" customFormat="1" ht="36">
      <c r="A91" s="3271">
        <v>19</v>
      </c>
      <c r="B91" s="4143"/>
      <c r="C91" s="3249" t="s">
        <v>2566</v>
      </c>
      <c r="D91" s="3249" t="s">
        <v>2567</v>
      </c>
      <c r="E91" s="3272">
        <v>0.2</v>
      </c>
      <c r="F91" s="3271">
        <v>25</v>
      </c>
    </row>
    <row r="92" spans="1:6" s="1025" customFormat="1" ht="24">
      <c r="A92" s="3271">
        <v>20</v>
      </c>
      <c r="B92" s="4143"/>
      <c r="C92" s="3249" t="s">
        <v>2568</v>
      </c>
      <c r="D92" s="3249" t="s">
        <v>2569</v>
      </c>
      <c r="E92" s="3272">
        <v>0.15</v>
      </c>
      <c r="F92" s="3271">
        <v>20</v>
      </c>
    </row>
    <row r="93" spans="1:6" s="1025" customFormat="1" ht="24">
      <c r="A93" s="3271">
        <v>21</v>
      </c>
      <c r="B93" s="4143"/>
      <c r="C93" s="3249" t="s">
        <v>2570</v>
      </c>
      <c r="D93" s="3249" t="s">
        <v>2571</v>
      </c>
      <c r="E93" s="3272">
        <v>0.15</v>
      </c>
      <c r="F93" s="3271">
        <v>20</v>
      </c>
    </row>
    <row r="94" spans="1:6" s="1025" customFormat="1" ht="24">
      <c r="A94" s="3271">
        <v>22</v>
      </c>
      <c r="B94" s="4143"/>
      <c r="C94" s="3249" t="s">
        <v>2572</v>
      </c>
      <c r="D94" s="3249" t="s">
        <v>2573</v>
      </c>
      <c r="E94" s="3272">
        <v>0.15</v>
      </c>
      <c r="F94" s="3271">
        <v>20</v>
      </c>
    </row>
    <row r="95" spans="1:6" s="1025" customFormat="1" ht="48">
      <c r="A95" s="3271">
        <v>23</v>
      </c>
      <c r="B95" s="4143"/>
      <c r="C95" s="3249" t="s">
        <v>2574</v>
      </c>
      <c r="D95" s="3249" t="s">
        <v>2575</v>
      </c>
      <c r="E95" s="3272">
        <v>0.15</v>
      </c>
      <c r="F95" s="3271">
        <v>20</v>
      </c>
    </row>
    <row r="96" spans="1:6" s="1025" customFormat="1" ht="24">
      <c r="A96" s="3271">
        <v>24</v>
      </c>
      <c r="B96" s="4143"/>
      <c r="C96" s="3249" t="s">
        <v>2576</v>
      </c>
      <c r="D96" s="3249" t="s">
        <v>2577</v>
      </c>
      <c r="E96" s="3272">
        <v>0.1</v>
      </c>
      <c r="F96" s="3271">
        <v>15</v>
      </c>
    </row>
    <row r="97" spans="1:6" s="1025" customFormat="1" ht="24">
      <c r="A97" s="3271">
        <v>25</v>
      </c>
      <c r="B97" s="4143"/>
      <c r="C97" s="3249" t="s">
        <v>2578</v>
      </c>
      <c r="D97" s="3249" t="s">
        <v>2579</v>
      </c>
      <c r="E97" s="3272">
        <v>0.1</v>
      </c>
      <c r="F97" s="3271">
        <v>15</v>
      </c>
    </row>
    <row r="98" spans="1:6" s="1025" customFormat="1" ht="36">
      <c r="A98" s="3271">
        <v>26</v>
      </c>
      <c r="B98" s="4143"/>
      <c r="C98" s="3249" t="s">
        <v>2580</v>
      </c>
      <c r="D98" s="3249" t="s">
        <v>2581</v>
      </c>
      <c r="E98" s="3272">
        <v>0.1</v>
      </c>
      <c r="F98" s="3271">
        <v>15</v>
      </c>
    </row>
    <row r="99" spans="1:6" s="1025" customFormat="1" ht="24">
      <c r="A99" s="3271">
        <v>27</v>
      </c>
      <c r="B99" s="4143"/>
      <c r="C99" s="3249" t="s">
        <v>2582</v>
      </c>
      <c r="D99" s="3249" t="s">
        <v>2583</v>
      </c>
      <c r="E99" s="3272">
        <v>0.1</v>
      </c>
      <c r="F99" s="3271">
        <v>15</v>
      </c>
    </row>
    <row r="100" spans="1:6" s="1025" customFormat="1" ht="24">
      <c r="A100" s="3271">
        <v>28</v>
      </c>
      <c r="B100" s="4143"/>
      <c r="C100" s="3249" t="s">
        <v>2584</v>
      </c>
      <c r="D100" s="3249" t="s">
        <v>2585</v>
      </c>
      <c r="E100" s="3272">
        <v>0.1</v>
      </c>
      <c r="F100" s="3271">
        <v>15</v>
      </c>
    </row>
    <row r="101" spans="1:6" s="1025" customFormat="1" ht="24">
      <c r="A101" s="3271">
        <v>29</v>
      </c>
      <c r="B101" s="4143"/>
      <c r="C101" s="3249" t="s">
        <v>2586</v>
      </c>
      <c r="D101" s="3249" t="s">
        <v>2587</v>
      </c>
      <c r="E101" s="3272">
        <v>0.1</v>
      </c>
      <c r="F101" s="3271">
        <v>15</v>
      </c>
    </row>
    <row r="102" spans="1:6" s="1025" customFormat="1" ht="24">
      <c r="A102" s="3271">
        <v>30</v>
      </c>
      <c r="B102" s="4143"/>
      <c r="C102" s="3249" t="s">
        <v>2588</v>
      </c>
      <c r="D102" s="3249" t="s">
        <v>2589</v>
      </c>
      <c r="E102" s="3272">
        <v>0.1</v>
      </c>
      <c r="F102" s="3271">
        <v>15</v>
      </c>
    </row>
    <row r="103" spans="1:6" s="1025" customFormat="1" ht="24">
      <c r="A103" s="3271">
        <v>31</v>
      </c>
      <c r="B103" s="4143"/>
      <c r="C103" s="3249" t="s">
        <v>2590</v>
      </c>
      <c r="D103" s="3249" t="s">
        <v>2591</v>
      </c>
      <c r="E103" s="3272">
        <v>0.1</v>
      </c>
      <c r="F103" s="3271">
        <v>15</v>
      </c>
    </row>
    <row r="104" spans="1:6" s="1025" customFormat="1" ht="36">
      <c r="A104" s="3271">
        <v>32</v>
      </c>
      <c r="B104" s="4143"/>
      <c r="C104" s="3249" t="s">
        <v>2592</v>
      </c>
      <c r="D104" s="3249" t="s">
        <v>2593</v>
      </c>
      <c r="E104" s="3272">
        <v>0.1</v>
      </c>
      <c r="F104" s="3271">
        <v>15</v>
      </c>
    </row>
    <row r="105" spans="1:6" s="1025" customFormat="1" ht="36">
      <c r="A105" s="3271">
        <v>33</v>
      </c>
      <c r="B105" s="4143"/>
      <c r="C105" s="3249" t="s">
        <v>2594</v>
      </c>
      <c r="D105" s="3249" t="s">
        <v>2595</v>
      </c>
      <c r="E105" s="3272">
        <v>0.1</v>
      </c>
      <c r="F105" s="3271">
        <v>15</v>
      </c>
    </row>
    <row r="106" spans="1:6" s="1025" customFormat="1" ht="24">
      <c r="A106" s="3271">
        <v>34</v>
      </c>
      <c r="B106" s="4142"/>
      <c r="C106" s="3249" t="s">
        <v>2596</v>
      </c>
      <c r="D106" s="3249" t="s">
        <v>2597</v>
      </c>
      <c r="E106" s="3272">
        <v>0.1</v>
      </c>
      <c r="F106" s="3271">
        <v>15</v>
      </c>
    </row>
    <row r="107" spans="1:6" s="1025" customFormat="1" ht="36">
      <c r="A107" s="3271">
        <v>35</v>
      </c>
      <c r="B107" s="4141" t="s">
        <v>2598</v>
      </c>
      <c r="C107" s="3271" t="s">
        <v>2599</v>
      </c>
      <c r="D107" s="3249" t="s">
        <v>2600</v>
      </c>
      <c r="E107" s="3272">
        <v>0.15</v>
      </c>
      <c r="F107" s="3271">
        <v>20</v>
      </c>
    </row>
    <row r="108" spans="1:6" s="1025" customFormat="1" ht="24">
      <c r="A108" s="3271">
        <v>36</v>
      </c>
      <c r="B108" s="4143"/>
      <c r="C108" s="3271" t="s">
        <v>2601</v>
      </c>
      <c r="D108" s="3249" t="s">
        <v>2602</v>
      </c>
      <c r="E108" s="3272">
        <v>0.15</v>
      </c>
      <c r="F108" s="3271">
        <v>20</v>
      </c>
    </row>
    <row r="109" spans="1:6" s="1025" customFormat="1" ht="24">
      <c r="A109" s="3271">
        <v>37</v>
      </c>
      <c r="B109" s="4143"/>
      <c r="C109" s="3271" t="s">
        <v>2603</v>
      </c>
      <c r="D109" s="3249" t="s">
        <v>2604</v>
      </c>
      <c r="E109" s="3272">
        <v>0.15</v>
      </c>
      <c r="F109" s="3271">
        <v>20</v>
      </c>
    </row>
    <row r="110" spans="1:6" s="1025" customFormat="1" ht="24">
      <c r="A110" s="3271">
        <v>38</v>
      </c>
      <c r="B110" s="4143"/>
      <c r="C110" s="3271" t="s">
        <v>2605</v>
      </c>
      <c r="D110" s="3249" t="s">
        <v>2606</v>
      </c>
      <c r="E110" s="3272">
        <v>0.1</v>
      </c>
      <c r="F110" s="3271">
        <v>15</v>
      </c>
    </row>
    <row r="111" spans="1:6" s="1025" customFormat="1" ht="24">
      <c r="A111" s="3271">
        <v>39</v>
      </c>
      <c r="B111" s="4143"/>
      <c r="C111" s="3271" t="s">
        <v>2607</v>
      </c>
      <c r="D111" s="3249" t="s">
        <v>2608</v>
      </c>
      <c r="E111" s="3272">
        <v>0.1</v>
      </c>
      <c r="F111" s="3271">
        <v>15</v>
      </c>
    </row>
    <row r="112" spans="1:6" s="1025" customFormat="1" ht="24">
      <c r="A112" s="3271">
        <v>40</v>
      </c>
      <c r="B112" s="4142"/>
      <c r="C112" s="3271" t="s">
        <v>2609</v>
      </c>
      <c r="D112" s="3249" t="s">
        <v>2610</v>
      </c>
      <c r="E112" s="3272">
        <v>0.1</v>
      </c>
      <c r="F112" s="3271">
        <v>15</v>
      </c>
    </row>
    <row r="113" spans="1:6" s="1025" customFormat="1" ht="24">
      <c r="A113" s="3271">
        <v>41</v>
      </c>
      <c r="B113" s="4140" t="s">
        <v>2611</v>
      </c>
      <c r="C113" s="3271" t="s">
        <v>2612</v>
      </c>
      <c r="D113" s="3249" t="s">
        <v>2613</v>
      </c>
      <c r="E113" s="3272">
        <v>0.1</v>
      </c>
      <c r="F113" s="3271">
        <v>15</v>
      </c>
    </row>
    <row r="114" spans="1:6" s="1025" customFormat="1" ht="24">
      <c r="A114" s="3271">
        <v>42</v>
      </c>
      <c r="B114" s="4140"/>
      <c r="C114" s="3271" t="s">
        <v>2614</v>
      </c>
      <c r="D114" s="3249" t="s">
        <v>2615</v>
      </c>
      <c r="E114" s="3272">
        <v>0.1</v>
      </c>
      <c r="F114" s="3271">
        <v>15</v>
      </c>
    </row>
    <row r="115" spans="1:6" s="1025" customFormat="1" ht="24">
      <c r="A115" s="3271">
        <v>43</v>
      </c>
      <c r="B115" s="4140"/>
      <c r="C115" s="3271" t="s">
        <v>2616</v>
      </c>
      <c r="D115" s="3249" t="s">
        <v>2617</v>
      </c>
      <c r="E115" s="3272">
        <v>0.1</v>
      </c>
      <c r="F115" s="3271">
        <v>15</v>
      </c>
    </row>
    <row r="116" spans="1:6" s="1025" customFormat="1" ht="24">
      <c r="A116" s="3271">
        <v>44</v>
      </c>
      <c r="B116" s="4141" t="s">
        <v>2618</v>
      </c>
      <c r="C116" s="3271" t="s">
        <v>2619</v>
      </c>
      <c r="D116" s="3249" t="s">
        <v>2620</v>
      </c>
      <c r="E116" s="3272">
        <v>0.1</v>
      </c>
      <c r="F116" s="3271">
        <v>15</v>
      </c>
    </row>
    <row r="117" spans="1:6" s="1025" customFormat="1" ht="24">
      <c r="A117" s="3271">
        <v>45</v>
      </c>
      <c r="B117" s="4142"/>
      <c r="C117" s="3249" t="s">
        <v>2621</v>
      </c>
      <c r="D117" s="3249" t="s">
        <v>2622</v>
      </c>
      <c r="E117" s="3272">
        <v>0.1</v>
      </c>
      <c r="F117" s="3271">
        <v>15</v>
      </c>
    </row>
    <row r="118" spans="1:6" s="1025" customFormat="1" ht="24">
      <c r="A118" s="3271">
        <v>46</v>
      </c>
      <c r="B118" s="4141" t="s">
        <v>2623</v>
      </c>
      <c r="C118" s="3271" t="s">
        <v>2624</v>
      </c>
      <c r="D118" s="3249" t="s">
        <v>2625</v>
      </c>
      <c r="E118" s="3272">
        <v>0.1</v>
      </c>
      <c r="F118" s="3271">
        <v>15</v>
      </c>
    </row>
    <row r="119" spans="1:6" s="1025" customFormat="1" ht="24">
      <c r="A119" s="3271">
        <v>47</v>
      </c>
      <c r="B119" s="4142"/>
      <c r="C119" s="3271" t="s">
        <v>2626</v>
      </c>
      <c r="D119" s="3249" t="s">
        <v>2627</v>
      </c>
      <c r="E119" s="3272">
        <v>0.1</v>
      </c>
      <c r="F119" s="3271">
        <v>15</v>
      </c>
    </row>
    <row r="120" spans="1:6" s="1025" customFormat="1" ht="24">
      <c r="A120" s="3271">
        <v>48</v>
      </c>
      <c r="B120" s="4141" t="s">
        <v>2628</v>
      </c>
      <c r="C120" s="3271" t="s">
        <v>2629</v>
      </c>
      <c r="D120" s="3249" t="s">
        <v>2630</v>
      </c>
      <c r="E120" s="3272">
        <v>0.1</v>
      </c>
      <c r="F120" s="3271">
        <v>15</v>
      </c>
    </row>
    <row r="121" spans="1:6" s="1025" customFormat="1" ht="24">
      <c r="A121" s="3271">
        <v>49</v>
      </c>
      <c r="B121" s="4142"/>
      <c r="C121" s="3271" t="s">
        <v>2631</v>
      </c>
      <c r="D121" s="3249" t="s">
        <v>2632</v>
      </c>
      <c r="E121" s="3272">
        <v>0.1</v>
      </c>
      <c r="F121" s="3271">
        <v>15</v>
      </c>
    </row>
    <row r="122" spans="1:6" s="1025" customFormat="1" ht="24">
      <c r="A122" s="3271">
        <v>50</v>
      </c>
      <c r="B122" s="4140" t="s">
        <v>2633</v>
      </c>
      <c r="C122" s="3271" t="s">
        <v>2634</v>
      </c>
      <c r="D122" s="3249" t="s">
        <v>2635</v>
      </c>
      <c r="E122" s="3272">
        <v>0.1</v>
      </c>
      <c r="F122" s="3271">
        <v>15</v>
      </c>
    </row>
    <row r="123" spans="1:6" s="1025" customFormat="1" ht="24">
      <c r="A123" s="3271">
        <v>51</v>
      </c>
      <c r="B123" s="4140"/>
      <c r="C123" s="3271" t="s">
        <v>2636</v>
      </c>
      <c r="D123" s="3249" t="s">
        <v>2637</v>
      </c>
      <c r="E123" s="3272">
        <v>0.1</v>
      </c>
      <c r="F123" s="3271">
        <v>15</v>
      </c>
    </row>
    <row r="124" spans="1:6" s="1025" customFormat="1" ht="24">
      <c r="A124" s="3271">
        <v>52</v>
      </c>
      <c r="B124" s="4140" t="s">
        <v>2638</v>
      </c>
      <c r="C124" s="3271" t="s">
        <v>2639</v>
      </c>
      <c r="D124" s="3249" t="s">
        <v>2640</v>
      </c>
      <c r="E124" s="3272">
        <v>0.1</v>
      </c>
      <c r="F124" s="3271">
        <v>15</v>
      </c>
    </row>
    <row r="125" spans="1:6" s="1025" customFormat="1" ht="24">
      <c r="A125" s="3271">
        <v>53</v>
      </c>
      <c r="B125" s="4140"/>
      <c r="C125" s="3271" t="s">
        <v>2641</v>
      </c>
      <c r="D125" s="3249" t="s">
        <v>2642</v>
      </c>
      <c r="E125" s="3272">
        <v>0.1</v>
      </c>
      <c r="F125" s="3271">
        <v>15</v>
      </c>
    </row>
    <row r="126" spans="1:6" ht="24">
      <c r="A126" s="3271">
        <v>54</v>
      </c>
      <c r="B126" s="3271" t="s">
        <v>2643</v>
      </c>
      <c r="C126" s="3271" t="s">
        <v>2644</v>
      </c>
      <c r="D126" s="3249" t="s">
        <v>2645</v>
      </c>
      <c r="E126" s="3272">
        <v>0.1</v>
      </c>
      <c r="F126" s="3271">
        <v>15</v>
      </c>
    </row>
    <row r="127" spans="1:6" ht="24">
      <c r="A127" s="3271">
        <v>55</v>
      </c>
      <c r="B127" s="4140" t="s">
        <v>2646</v>
      </c>
      <c r="C127" s="3271" t="s">
        <v>2647</v>
      </c>
      <c r="D127" s="3249" t="s">
        <v>2648</v>
      </c>
      <c r="E127" s="3272">
        <v>0.1</v>
      </c>
      <c r="F127" s="3271">
        <v>15</v>
      </c>
    </row>
    <row r="128" spans="1:6" ht="24">
      <c r="A128" s="3271">
        <v>56</v>
      </c>
      <c r="B128" s="4140"/>
      <c r="C128" s="3271" t="s">
        <v>2649</v>
      </c>
      <c r="D128" s="3249" t="s">
        <v>2650</v>
      </c>
      <c r="E128" s="3272">
        <v>0.1</v>
      </c>
      <c r="F128" s="3271">
        <v>15</v>
      </c>
    </row>
    <row r="129" spans="1:14" ht="24">
      <c r="A129" s="3271">
        <v>57</v>
      </c>
      <c r="B129" s="4140"/>
      <c r="C129" s="3271" t="s">
        <v>2651</v>
      </c>
      <c r="D129" s="3249" t="s">
        <v>2652</v>
      </c>
      <c r="E129" s="3272">
        <v>0.1</v>
      </c>
      <c r="F129" s="3271">
        <v>15</v>
      </c>
    </row>
    <row r="130" spans="1:14" ht="24">
      <c r="A130" s="3271">
        <v>58</v>
      </c>
      <c r="B130" s="4140" t="s">
        <v>2653</v>
      </c>
      <c r="C130" s="3271" t="s">
        <v>2654</v>
      </c>
      <c r="D130" s="3249" t="s">
        <v>2655</v>
      </c>
      <c r="E130" s="3272">
        <v>0.1</v>
      </c>
      <c r="F130" s="3271">
        <v>15</v>
      </c>
    </row>
    <row r="131" spans="1:14" ht="24">
      <c r="A131" s="3271">
        <v>59</v>
      </c>
      <c r="B131" s="4140"/>
      <c r="C131" s="3271" t="s">
        <v>2656</v>
      </c>
      <c r="D131" s="3249" t="s">
        <v>2657</v>
      </c>
      <c r="E131" s="3272">
        <v>0.1</v>
      </c>
      <c r="F131" s="3271">
        <v>15</v>
      </c>
    </row>
    <row r="132" spans="1:14" ht="24">
      <c r="A132" s="3271">
        <v>60</v>
      </c>
      <c r="B132" s="4141" t="s">
        <v>2658</v>
      </c>
      <c r="C132" s="3271" t="s">
        <v>2659</v>
      </c>
      <c r="D132" s="3249" t="s">
        <v>2660</v>
      </c>
      <c r="E132" s="3272">
        <v>0.1</v>
      </c>
      <c r="F132" s="3271">
        <v>15</v>
      </c>
    </row>
    <row r="133" spans="1:14" ht="24">
      <c r="A133" s="3271">
        <v>61</v>
      </c>
      <c r="B133" s="4142"/>
      <c r="C133" s="3271" t="s">
        <v>2661</v>
      </c>
      <c r="D133" s="3249" t="s">
        <v>2662</v>
      </c>
      <c r="E133" s="3272">
        <v>0.1</v>
      </c>
      <c r="F133" s="3271">
        <v>15</v>
      </c>
    </row>
    <row r="134" spans="1:14" ht="24">
      <c r="A134" s="3271">
        <v>62</v>
      </c>
      <c r="B134" s="3271" t="s">
        <v>2663</v>
      </c>
      <c r="C134" s="3271" t="s">
        <v>2664</v>
      </c>
      <c r="D134" s="3249" t="s">
        <v>2665</v>
      </c>
      <c r="E134" s="3272">
        <v>0.1</v>
      </c>
      <c r="F134" s="3271">
        <v>15</v>
      </c>
    </row>
    <row r="135" spans="1:14" ht="24">
      <c r="A135" s="3271">
        <v>63</v>
      </c>
      <c r="B135" s="4140" t="s">
        <v>2666</v>
      </c>
      <c r="C135" s="3271" t="s">
        <v>2667</v>
      </c>
      <c r="D135" s="3249" t="s">
        <v>2668</v>
      </c>
      <c r="E135" s="3272">
        <v>0.1</v>
      </c>
      <c r="F135" s="3271">
        <v>15</v>
      </c>
    </row>
    <row r="136" spans="1:14" ht="24">
      <c r="A136" s="3271">
        <v>64</v>
      </c>
      <c r="B136" s="4140"/>
      <c r="C136" s="3271" t="s">
        <v>2669</v>
      </c>
      <c r="D136" s="3249" t="s">
        <v>2670</v>
      </c>
      <c r="E136" s="3272">
        <v>0.1</v>
      </c>
      <c r="F136" s="3271">
        <v>15</v>
      </c>
    </row>
    <row r="137" spans="1:14" ht="24">
      <c r="A137" s="3271">
        <v>65</v>
      </c>
      <c r="B137" s="3271" t="s">
        <v>2671</v>
      </c>
      <c r="C137" s="3271" t="s">
        <v>2672</v>
      </c>
      <c r="D137" s="3249" t="s">
        <v>2673</v>
      </c>
      <c r="E137" s="3272">
        <v>0.1</v>
      </c>
      <c r="F137" s="3271">
        <v>15</v>
      </c>
    </row>
    <row r="138" spans="1:14">
      <c r="A138" s="1053"/>
      <c r="B138" s="3229"/>
      <c r="C138" s="1053"/>
      <c r="D138" s="1010"/>
      <c r="E138" s="1040"/>
      <c r="F138" s="1053"/>
    </row>
    <row r="139" spans="1:14">
      <c r="A139" s="1053"/>
      <c r="B139" s="1053"/>
      <c r="C139" s="1053"/>
      <c r="D139" s="1053"/>
      <c r="E139" s="1040"/>
      <c r="F139" s="1053"/>
    </row>
    <row r="141" spans="1:14">
      <c r="A141" s="3335"/>
      <c r="B141" s="3335"/>
      <c r="C141" s="3335"/>
      <c r="D141" s="3335"/>
      <c r="E141" s="3335"/>
      <c r="F141" s="3335"/>
      <c r="G141" s="3335"/>
      <c r="H141" s="3335"/>
      <c r="I141" s="3335"/>
      <c r="J141" s="3335"/>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2"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0" customWidth="1"/>
    <col min="2" max="2" width="15" style="3430" customWidth="1"/>
    <col min="3" max="6" width="10.21875" style="3430" customWidth="1"/>
    <col min="7" max="7" width="9" style="3430"/>
    <col min="8" max="8" width="9" style="1011"/>
    <col min="9" max="9" width="9" style="1008"/>
    <col min="10" max="10" width="17.33203125" style="3456" customWidth="1"/>
    <col min="11" max="21" width="17.33203125" style="3430" customWidth="1"/>
    <col min="22" max="16384" width="9" style="1008"/>
  </cols>
  <sheetData>
    <row r="1" spans="1:21">
      <c r="A1" s="4152" t="s">
        <v>2814</v>
      </c>
      <c r="B1" s="4152"/>
      <c r="C1" s="4152"/>
      <c r="D1" s="4152"/>
      <c r="E1" s="4152"/>
      <c r="F1" s="4152"/>
      <c r="G1" s="4153"/>
      <c r="I1" s="1012"/>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5" thickBot="1">
      <c r="A2" s="3416" t="s">
        <v>2815</v>
      </c>
      <c r="B2" s="3416"/>
      <c r="C2" s="3416"/>
      <c r="D2" s="3416"/>
      <c r="E2" s="3416"/>
      <c r="F2" s="3416"/>
      <c r="G2" s="3411" t="s">
        <v>2816</v>
      </c>
      <c r="J2" s="3440" t="s">
        <v>2822</v>
      </c>
      <c r="K2" s="3420" t="s">
        <v>2824</v>
      </c>
      <c r="L2" s="3420" t="s">
        <v>2826</v>
      </c>
      <c r="M2" s="3420" t="s">
        <v>2832</v>
      </c>
      <c r="N2" s="3420" t="s">
        <v>2842</v>
      </c>
      <c r="O2" s="3420" t="s">
        <v>2857</v>
      </c>
      <c r="P2" s="3420" t="s">
        <v>2894</v>
      </c>
      <c r="Q2" s="3420" t="s">
        <v>2925</v>
      </c>
      <c r="R2" s="3420" t="s">
        <v>2953</v>
      </c>
      <c r="S2" s="3420" t="s">
        <v>2988</v>
      </c>
      <c r="T2" s="3420" t="s">
        <v>3008</v>
      </c>
      <c r="U2" s="3420" t="s">
        <v>3020</v>
      </c>
    </row>
    <row r="3" spans="1:21" s="1012" customFormat="1" ht="19.5" customHeight="1">
      <c r="A3" s="4154" t="s">
        <v>2817</v>
      </c>
      <c r="B3" s="3412"/>
      <c r="C3" s="3413" t="s">
        <v>2794</v>
      </c>
      <c r="D3" s="3413" t="s">
        <v>2818</v>
      </c>
      <c r="E3" s="3413" t="s">
        <v>2796</v>
      </c>
      <c r="F3" s="3413" t="s">
        <v>2819</v>
      </c>
      <c r="G3" s="3413" t="s">
        <v>2738</v>
      </c>
      <c r="H3" s="1015"/>
      <c r="J3" s="3440" t="s">
        <v>2823</v>
      </c>
      <c r="K3" s="3420" t="s">
        <v>973</v>
      </c>
      <c r="L3" s="3420" t="s">
        <v>974</v>
      </c>
      <c r="M3" s="3420" t="s">
        <v>975</v>
      </c>
      <c r="N3" s="3420" t="s">
        <v>976</v>
      </c>
      <c r="O3" s="3420" t="s">
        <v>977</v>
      </c>
      <c r="P3" s="3420" t="s">
        <v>978</v>
      </c>
      <c r="Q3" s="3420" t="s">
        <v>979</v>
      </c>
      <c r="R3" s="3420" t="s">
        <v>980</v>
      </c>
      <c r="S3" s="3420" t="s">
        <v>981</v>
      </c>
      <c r="T3" s="3420" t="s">
        <v>3009</v>
      </c>
      <c r="U3" s="3420" t="s">
        <v>3021</v>
      </c>
    </row>
    <row r="4" spans="1:21" s="1012" customFormat="1" ht="19.5" customHeight="1" thickBot="1">
      <c r="A4" s="4155"/>
      <c r="B4" s="3414" t="s">
        <v>2820</v>
      </c>
      <c r="C4" s="3414" t="s">
        <v>2821</v>
      </c>
      <c r="D4" s="3414" t="s">
        <v>2821</v>
      </c>
      <c r="E4" s="3414" t="s">
        <v>2821</v>
      </c>
      <c r="F4" s="3415" t="s">
        <v>2821</v>
      </c>
      <c r="G4" s="3415" t="s">
        <v>2821</v>
      </c>
      <c r="H4" s="1015"/>
      <c r="J4" s="3440" t="s">
        <v>982</v>
      </c>
      <c r="K4" s="3420" t="s">
        <v>983</v>
      </c>
      <c r="L4" s="3420" t="s">
        <v>984</v>
      </c>
      <c r="M4" s="3420" t="s">
        <v>985</v>
      </c>
      <c r="N4" s="3420" t="s">
        <v>986</v>
      </c>
      <c r="O4" s="3420" t="s">
        <v>987</v>
      </c>
      <c r="P4" s="3420" t="s">
        <v>988</v>
      </c>
      <c r="Q4" s="3420" t="s">
        <v>989</v>
      </c>
      <c r="R4" s="3420" t="s">
        <v>2954</v>
      </c>
      <c r="S4" s="3420" t="s">
        <v>2989</v>
      </c>
      <c r="T4" s="3420" t="s">
        <v>3010</v>
      </c>
      <c r="U4" s="3420" t="s">
        <v>3022</v>
      </c>
    </row>
    <row r="5" spans="1:21" ht="14.25" customHeight="1">
      <c r="A5" s="3417" t="s">
        <v>990</v>
      </c>
      <c r="B5" s="3418" t="s">
        <v>2822</v>
      </c>
      <c r="C5" s="3418">
        <v>34550</v>
      </c>
      <c r="D5" s="3418">
        <v>34470</v>
      </c>
      <c r="E5" s="3418">
        <v>34330</v>
      </c>
      <c r="F5" s="3419">
        <v>13400</v>
      </c>
      <c r="G5" s="3419">
        <v>25450</v>
      </c>
      <c r="H5" s="1016" t="s">
        <v>961</v>
      </c>
      <c r="I5" s="1017">
        <f>SUMPRODUCT((B5:B9=基准地价!I2)*(C3:G3=基准地价!E2)*(C5:G9))</f>
        <v>0</v>
      </c>
      <c r="J5" s="3440" t="s">
        <v>991</v>
      </c>
      <c r="K5" s="3420" t="s">
        <v>992</v>
      </c>
      <c r="L5" s="3420" t="s">
        <v>993</v>
      </c>
      <c r="M5" s="3420" t="s">
        <v>994</v>
      </c>
      <c r="N5" s="3420" t="s">
        <v>995</v>
      </c>
      <c r="O5" s="3420" t="s">
        <v>996</v>
      </c>
      <c r="P5" s="3420" t="s">
        <v>997</v>
      </c>
      <c r="Q5" s="3420" t="s">
        <v>998</v>
      </c>
      <c r="R5" s="3420" t="s">
        <v>2955</v>
      </c>
      <c r="S5" s="3420" t="s">
        <v>2990</v>
      </c>
      <c r="T5" s="3420" t="s">
        <v>999</v>
      </c>
      <c r="U5" s="3420" t="s">
        <v>3023</v>
      </c>
    </row>
    <row r="6" spans="1:21" ht="14.25" customHeight="1">
      <c r="A6" s="3420" t="s">
        <v>990</v>
      </c>
      <c r="B6" s="3420" t="s">
        <v>2823</v>
      </c>
      <c r="C6" s="3420">
        <v>36990</v>
      </c>
      <c r="D6" s="3420">
        <v>36850</v>
      </c>
      <c r="E6" s="3420">
        <v>36700</v>
      </c>
      <c r="F6" s="3421">
        <v>14590</v>
      </c>
      <c r="G6" s="3421">
        <v>27450</v>
      </c>
      <c r="H6" s="1018" t="s">
        <v>1000</v>
      </c>
      <c r="I6" s="1019">
        <f>SUMPRODUCT((B10:B29=基准地价!I2)*(C3:G3=基准地价!E2)*(C10:G29))</f>
        <v>0</v>
      </c>
      <c r="J6" s="3440" t="s">
        <v>1001</v>
      </c>
      <c r="K6" s="3420" t="s">
        <v>1002</v>
      </c>
      <c r="L6" s="3420" t="s">
        <v>1003</v>
      </c>
      <c r="M6" s="3420" t="s">
        <v>1004</v>
      </c>
      <c r="N6" s="3420" t="s">
        <v>1005</v>
      </c>
      <c r="O6" s="3420" t="s">
        <v>1006</v>
      </c>
      <c r="P6" s="3420" t="s">
        <v>1007</v>
      </c>
      <c r="Q6" s="3420" t="s">
        <v>2926</v>
      </c>
      <c r="R6" s="3420" t="s">
        <v>2956</v>
      </c>
      <c r="S6" s="3420" t="s">
        <v>1008</v>
      </c>
      <c r="T6" s="3420" t="s">
        <v>3011</v>
      </c>
      <c r="U6" s="3420" t="s">
        <v>3024</v>
      </c>
    </row>
    <row r="7" spans="1:21" ht="14.25" customHeight="1">
      <c r="A7" s="3420" t="s">
        <v>990</v>
      </c>
      <c r="B7" s="1289" t="s">
        <v>982</v>
      </c>
      <c r="C7" s="3420">
        <v>34850</v>
      </c>
      <c r="D7" s="3420">
        <v>34690</v>
      </c>
      <c r="E7" s="3420">
        <v>34550</v>
      </c>
      <c r="F7" s="3421">
        <v>14360</v>
      </c>
      <c r="G7" s="3421">
        <v>25620</v>
      </c>
      <c r="H7" s="1018" t="s">
        <v>838</v>
      </c>
      <c r="I7" s="1019">
        <f>SUMPRODUCT((B30:B54=基准地价!I2)*(C3:G3=基准地价!E2)*(C30:G54))</f>
        <v>0</v>
      </c>
      <c r="K7" s="3420" t="s">
        <v>1009</v>
      </c>
      <c r="L7" s="3420" t="s">
        <v>1010</v>
      </c>
      <c r="M7" s="3420" t="s">
        <v>1011</v>
      </c>
      <c r="N7" s="3420" t="s">
        <v>1012</v>
      </c>
      <c r="O7" s="3420" t="s">
        <v>1013</v>
      </c>
      <c r="P7" s="3420" t="s">
        <v>1014</v>
      </c>
      <c r="Q7" s="3420" t="s">
        <v>2927</v>
      </c>
      <c r="R7" s="3420" t="s">
        <v>2957</v>
      </c>
      <c r="S7" s="3420" t="s">
        <v>2991</v>
      </c>
      <c r="T7" s="3420" t="s">
        <v>3012</v>
      </c>
      <c r="U7" s="1289" t="s">
        <v>3025</v>
      </c>
    </row>
    <row r="8" spans="1:21" ht="14.25" customHeight="1">
      <c r="A8" s="3420" t="s">
        <v>990</v>
      </c>
      <c r="B8" s="3420" t="s">
        <v>991</v>
      </c>
      <c r="C8" s="3420">
        <v>32630</v>
      </c>
      <c r="D8" s="3420">
        <v>32510</v>
      </c>
      <c r="E8" s="3420">
        <v>32420</v>
      </c>
      <c r="F8" s="3421">
        <v>13300</v>
      </c>
      <c r="G8" s="3421">
        <v>24010</v>
      </c>
      <c r="H8" s="1018" t="s">
        <v>839</v>
      </c>
      <c r="I8" s="1019">
        <f>SUMPRODUCT((B55:B86=基准地价!I2)*(C3:G3=基准地价!E2)*(C55:G86))</f>
        <v>0</v>
      </c>
      <c r="K8" s="3420" t="s">
        <v>1015</v>
      </c>
      <c r="L8" s="3420" t="s">
        <v>1016</v>
      </c>
      <c r="M8" s="3420" t="s">
        <v>1017</v>
      </c>
      <c r="N8" s="3420" t="s">
        <v>1018</v>
      </c>
      <c r="O8" s="3420" t="s">
        <v>1019</v>
      </c>
      <c r="P8" s="3420" t="s">
        <v>1020</v>
      </c>
      <c r="Q8" s="3420" t="s">
        <v>2928</v>
      </c>
      <c r="R8" s="3420" t="s">
        <v>1021</v>
      </c>
      <c r="S8" s="3420" t="s">
        <v>2992</v>
      </c>
      <c r="T8" s="3420" t="s">
        <v>3013</v>
      </c>
      <c r="U8" s="3420" t="s">
        <v>3026</v>
      </c>
    </row>
    <row r="9" spans="1:21" ht="14.25" customHeight="1" thickBot="1">
      <c r="A9" s="3434" t="s">
        <v>990</v>
      </c>
      <c r="B9" s="3422" t="s">
        <v>1001</v>
      </c>
      <c r="C9" s="3423">
        <v>36370</v>
      </c>
      <c r="D9" s="3423">
        <v>36210</v>
      </c>
      <c r="E9" s="3423">
        <v>36050</v>
      </c>
      <c r="F9" s="3424"/>
      <c r="G9" s="3425">
        <v>26740</v>
      </c>
      <c r="H9" s="1018" t="s">
        <v>840</v>
      </c>
      <c r="I9" s="1019">
        <f>SUMPRODUCT((B87:B126=基准地价!I2)*(C3:G3=基准地价!E2)*(C87:G126))</f>
        <v>0</v>
      </c>
      <c r="K9" s="3420" t="s">
        <v>1022</v>
      </c>
      <c r="L9" s="3420" t="s">
        <v>1023</v>
      </c>
      <c r="M9" s="3420" t="s">
        <v>1024</v>
      </c>
      <c r="N9" s="3420" t="s">
        <v>1025</v>
      </c>
      <c r="O9" s="3420" t="s">
        <v>1026</v>
      </c>
      <c r="P9" s="3420" t="s">
        <v>1027</v>
      </c>
      <c r="Q9" s="3420" t="s">
        <v>2929</v>
      </c>
      <c r="R9" s="3420" t="s">
        <v>1029</v>
      </c>
      <c r="S9" s="3420" t="s">
        <v>1030</v>
      </c>
      <c r="T9" s="3420" t="s">
        <v>1047</v>
      </c>
    </row>
    <row r="10" spans="1:21" ht="14.25" customHeight="1">
      <c r="A10" s="3417" t="s">
        <v>1031</v>
      </c>
      <c r="B10" s="3418" t="s">
        <v>2824</v>
      </c>
      <c r="C10" s="3418">
        <v>32350</v>
      </c>
      <c r="D10" s="3418">
        <v>31430</v>
      </c>
      <c r="E10" s="3418">
        <v>31320</v>
      </c>
      <c r="F10" s="3419">
        <v>10850</v>
      </c>
      <c r="G10" s="3419">
        <v>22860</v>
      </c>
      <c r="H10" s="1018" t="s">
        <v>841</v>
      </c>
      <c r="I10" s="1019">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3014</v>
      </c>
    </row>
    <row r="11" spans="1:21" ht="14.25" customHeight="1">
      <c r="A11" s="3420" t="s">
        <v>1031</v>
      </c>
      <c r="B11" s="1289" t="s">
        <v>973</v>
      </c>
      <c r="C11" s="3420">
        <v>31590</v>
      </c>
      <c r="D11" s="3420">
        <v>29490</v>
      </c>
      <c r="E11" s="3420">
        <v>28700</v>
      </c>
      <c r="F11" s="3426">
        <v>10410</v>
      </c>
      <c r="G11" s="3426">
        <v>21460</v>
      </c>
      <c r="H11" s="1018" t="s">
        <v>842</v>
      </c>
      <c r="I11" s="1019">
        <f>SUMPRODUCT((B190:B233=基准地价!I2)*(C3:G3=基准地价!E2)*(C190:G233))</f>
        <v>0</v>
      </c>
      <c r="K11" s="3420" t="s">
        <v>1041</v>
      </c>
      <c r="L11" s="3420" t="s">
        <v>1042</v>
      </c>
      <c r="M11" s="3420" t="s">
        <v>1043</v>
      </c>
      <c r="N11" s="3420" t="s">
        <v>1044</v>
      </c>
      <c r="O11" s="3420" t="s">
        <v>1045</v>
      </c>
      <c r="P11" s="3420" t="s">
        <v>2895</v>
      </c>
      <c r="Q11" s="3420" t="s">
        <v>1038</v>
      </c>
      <c r="R11" s="3420" t="s">
        <v>1046</v>
      </c>
      <c r="S11" s="3420" t="s">
        <v>2993</v>
      </c>
      <c r="T11" s="3420" t="s">
        <v>3015</v>
      </c>
    </row>
    <row r="12" spans="1:21" ht="14.25" customHeight="1">
      <c r="A12" s="3420" t="s">
        <v>1031</v>
      </c>
      <c r="B12" s="1289" t="s">
        <v>983</v>
      </c>
      <c r="C12" s="3420">
        <v>29640</v>
      </c>
      <c r="D12" s="3420">
        <v>27550</v>
      </c>
      <c r="E12" s="3420">
        <v>28010</v>
      </c>
      <c r="F12" s="3426">
        <v>8730</v>
      </c>
      <c r="G12" s="3426">
        <v>20050</v>
      </c>
      <c r="H12" s="1018" t="s">
        <v>843</v>
      </c>
      <c r="I12" s="1019">
        <f>SUMPRODUCT((B234:B276=基准地价!I2)*(C3:G3=基准地价!E2)*(C234:G276))</f>
        <v>0</v>
      </c>
      <c r="K12" s="3420" t="s">
        <v>1048</v>
      </c>
      <c r="L12" s="3420" t="s">
        <v>1049</v>
      </c>
      <c r="M12" s="3420" t="s">
        <v>1050</v>
      </c>
      <c r="N12" s="3420" t="s">
        <v>1051</v>
      </c>
      <c r="O12" s="3420" t="s">
        <v>1052</v>
      </c>
      <c r="P12" s="3420" t="s">
        <v>2896</v>
      </c>
      <c r="Q12" s="3420" t="s">
        <v>2930</v>
      </c>
      <c r="R12" s="3420" t="s">
        <v>2958</v>
      </c>
      <c r="S12" s="3420" t="s">
        <v>2994</v>
      </c>
      <c r="T12" s="3420" t="s">
        <v>3016</v>
      </c>
    </row>
    <row r="13" spans="1:21" ht="14.25" customHeight="1">
      <c r="A13" s="3420" t="s">
        <v>1031</v>
      </c>
      <c r="B13" s="1289" t="s">
        <v>992</v>
      </c>
      <c r="C13" s="3420">
        <v>29680</v>
      </c>
      <c r="D13" s="3420">
        <v>27660</v>
      </c>
      <c r="E13" s="3420">
        <v>28210</v>
      </c>
      <c r="F13" s="3426">
        <v>9590</v>
      </c>
      <c r="G13" s="3426">
        <v>20120</v>
      </c>
      <c r="H13" s="1018" t="s">
        <v>844</v>
      </c>
      <c r="I13" s="1019">
        <f>SUMPRODUCT((B277:B326=基准地价!I2)*(C3:G3=基准地价!E2)*(C277:G326))</f>
        <v>0</v>
      </c>
      <c r="K13" s="3420" t="s">
        <v>1055</v>
      </c>
      <c r="L13" s="3420" t="s">
        <v>1056</v>
      </c>
      <c r="M13" s="3420" t="s">
        <v>1057</v>
      </c>
      <c r="N13" s="3420" t="s">
        <v>1058</v>
      </c>
      <c r="O13" s="3420" t="s">
        <v>1059</v>
      </c>
      <c r="P13" s="3420" t="s">
        <v>2897</v>
      </c>
      <c r="Q13" s="3420" t="s">
        <v>1053</v>
      </c>
      <c r="R13" s="3420" t="s">
        <v>1067</v>
      </c>
      <c r="S13" s="3420" t="s">
        <v>1068</v>
      </c>
      <c r="T13" s="3420" t="s">
        <v>1061</v>
      </c>
    </row>
    <row r="14" spans="1:21" ht="14.25" customHeight="1">
      <c r="A14" s="3420" t="s">
        <v>1031</v>
      </c>
      <c r="B14" s="1289" t="s">
        <v>1002</v>
      </c>
      <c r="C14" s="3420">
        <v>30520</v>
      </c>
      <c r="D14" s="3420">
        <v>29510</v>
      </c>
      <c r="E14" s="3420">
        <v>29400</v>
      </c>
      <c r="F14" s="3426">
        <v>9630</v>
      </c>
      <c r="G14" s="3426">
        <v>21480</v>
      </c>
      <c r="H14" s="1018" t="s">
        <v>845</v>
      </c>
      <c r="I14" s="1019">
        <f>SUMPRODUCT((B327:B357=基准地价!I2)*(C3:G3=基准地价!E2)*(C327:G357))</f>
        <v>0</v>
      </c>
      <c r="K14" s="3420" t="s">
        <v>1062</v>
      </c>
      <c r="L14" s="3420" t="s">
        <v>1063</v>
      </c>
      <c r="M14" s="3420" t="s">
        <v>1064</v>
      </c>
      <c r="N14" s="3420" t="s">
        <v>1065</v>
      </c>
      <c r="O14" s="3420" t="s">
        <v>1066</v>
      </c>
      <c r="P14" s="3420" t="s">
        <v>1088</v>
      </c>
      <c r="Q14" s="3420" t="s">
        <v>1060</v>
      </c>
      <c r="R14" s="3420" t="s">
        <v>2959</v>
      </c>
      <c r="S14" s="3420" t="s">
        <v>1076</v>
      </c>
      <c r="T14" s="3420" t="s">
        <v>1069</v>
      </c>
    </row>
    <row r="15" spans="1:21" ht="14.25" customHeight="1">
      <c r="A15" s="3420" t="s">
        <v>1031</v>
      </c>
      <c r="B15" s="1289" t="s">
        <v>1009</v>
      </c>
      <c r="C15" s="3420">
        <v>29090</v>
      </c>
      <c r="D15" s="3420">
        <v>27590</v>
      </c>
      <c r="E15" s="3420">
        <v>28120</v>
      </c>
      <c r="F15" s="3426">
        <v>9110</v>
      </c>
      <c r="G15" s="3426">
        <v>20070</v>
      </c>
      <c r="H15" s="1018" t="s">
        <v>846</v>
      </c>
      <c r="I15" s="1019">
        <f>SUMPRODUCT((B358:B377=基准地价!I2)*(C3:G3=基准地价!E2)*(C358:G377))</f>
        <v>0</v>
      </c>
      <c r="K15" s="3420" t="s">
        <v>1070</v>
      </c>
      <c r="L15" s="3420" t="s">
        <v>1071</v>
      </c>
      <c r="M15" s="3420" t="s">
        <v>1072</v>
      </c>
      <c r="N15" s="3420" t="s">
        <v>1073</v>
      </c>
      <c r="O15" s="3420" t="s">
        <v>1074</v>
      </c>
      <c r="P15" s="3420" t="s">
        <v>2898</v>
      </c>
      <c r="Q15" s="3420" t="s">
        <v>2931</v>
      </c>
      <c r="R15" s="3420" t="s">
        <v>1090</v>
      </c>
      <c r="S15" s="3420" t="s">
        <v>2995</v>
      </c>
      <c r="T15" s="3420" t="s">
        <v>1077</v>
      </c>
    </row>
    <row r="16" spans="1:21" ht="14.25" customHeight="1" thickBot="1">
      <c r="A16" s="3420" t="s">
        <v>1031</v>
      </c>
      <c r="B16" s="1289" t="s">
        <v>1015</v>
      </c>
      <c r="C16" s="3420">
        <v>26790</v>
      </c>
      <c r="D16" s="3420">
        <v>30370</v>
      </c>
      <c r="E16" s="3420">
        <v>30240</v>
      </c>
      <c r="F16" s="3426">
        <v>11590</v>
      </c>
      <c r="G16" s="3426">
        <v>22090</v>
      </c>
      <c r="H16" s="1020" t="s">
        <v>847</v>
      </c>
      <c r="I16" s="1021">
        <f>SUMPRODUCT((B378:B384=基准地价!I2)*(C3:G3=基准地价!E2)*(C378:G384))</f>
        <v>0</v>
      </c>
      <c r="K16" s="3420" t="s">
        <v>1078</v>
      </c>
      <c r="L16" s="3420" t="s">
        <v>1079</v>
      </c>
      <c r="M16" s="3420" t="s">
        <v>1080</v>
      </c>
      <c r="N16" s="3420" t="s">
        <v>1081</v>
      </c>
      <c r="O16" s="3420" t="s">
        <v>1082</v>
      </c>
      <c r="P16" s="3420" t="s">
        <v>2899</v>
      </c>
      <c r="Q16" s="3420" t="s">
        <v>1075</v>
      </c>
      <c r="R16" s="3420" t="s">
        <v>1098</v>
      </c>
      <c r="S16" s="3420" t="s">
        <v>1054</v>
      </c>
      <c r="T16" s="3420" t="s">
        <v>3017</v>
      </c>
    </row>
    <row r="17" spans="1:20" ht="14.25" customHeight="1">
      <c r="A17" s="3420" t="s">
        <v>1031</v>
      </c>
      <c r="B17" s="1289" t="s">
        <v>1022</v>
      </c>
      <c r="C17" s="3420">
        <v>29180</v>
      </c>
      <c r="D17" s="3420">
        <v>27620</v>
      </c>
      <c r="E17" s="3420">
        <v>28180</v>
      </c>
      <c r="F17" s="3426">
        <v>10790</v>
      </c>
      <c r="G17" s="3427">
        <v>20090</v>
      </c>
      <c r="I17" s="1022"/>
      <c r="K17" s="3420" t="s">
        <v>1083</v>
      </c>
      <c r="L17" s="3420" t="s">
        <v>1084</v>
      </c>
      <c r="M17" s="3420" t="s">
        <v>1085</v>
      </c>
      <c r="N17" s="3420" t="s">
        <v>1086</v>
      </c>
      <c r="O17" s="3420" t="s">
        <v>1087</v>
      </c>
      <c r="P17" s="3420" t="s">
        <v>2900</v>
      </c>
      <c r="Q17" s="3420" t="s">
        <v>2932</v>
      </c>
      <c r="R17" s="3420" t="s">
        <v>1104</v>
      </c>
      <c r="S17" s="3420" t="s">
        <v>2996</v>
      </c>
      <c r="T17" s="3420" t="s">
        <v>1106</v>
      </c>
    </row>
    <row r="18" spans="1:20" ht="14.25" customHeight="1">
      <c r="A18" s="3420" t="s">
        <v>1031</v>
      </c>
      <c r="B18" s="1289" t="s">
        <v>1032</v>
      </c>
      <c r="C18" s="3420">
        <v>26840</v>
      </c>
      <c r="D18" s="3420">
        <v>28930</v>
      </c>
      <c r="E18" s="3420">
        <v>28820</v>
      </c>
      <c r="F18" s="3426"/>
      <c r="G18" s="3427">
        <v>21050</v>
      </c>
      <c r="I18" s="1022"/>
      <c r="K18" s="3420" t="s">
        <v>1092</v>
      </c>
      <c r="L18" s="3420" t="s">
        <v>1093</v>
      </c>
      <c r="M18" s="3420" t="s">
        <v>1094</v>
      </c>
      <c r="N18" s="3420" t="s">
        <v>1095</v>
      </c>
      <c r="O18" s="3420" t="s">
        <v>1096</v>
      </c>
      <c r="P18" s="3420" t="s">
        <v>2901</v>
      </c>
      <c r="Q18" s="3420" t="s">
        <v>1089</v>
      </c>
      <c r="R18" s="3420" t="s">
        <v>2960</v>
      </c>
      <c r="S18" s="3420" t="s">
        <v>1105</v>
      </c>
      <c r="T18" s="3420" t="s">
        <v>1114</v>
      </c>
    </row>
    <row r="19" spans="1:20" ht="14.25" customHeight="1">
      <c r="A19" s="3420" t="s">
        <v>1031</v>
      </c>
      <c r="B19" s="1289" t="s">
        <v>1041</v>
      </c>
      <c r="C19" s="3420">
        <v>27750</v>
      </c>
      <c r="D19" s="3420">
        <v>26680</v>
      </c>
      <c r="E19" s="3420">
        <v>26590</v>
      </c>
      <c r="F19" s="3426"/>
      <c r="G19" s="3427">
        <v>19420</v>
      </c>
      <c r="I19" s="1022"/>
      <c r="K19" s="3420" t="s">
        <v>1099</v>
      </c>
      <c r="L19" s="3420" t="s">
        <v>1100</v>
      </c>
      <c r="M19" s="3420" t="s">
        <v>1101</v>
      </c>
      <c r="N19" s="3420" t="s">
        <v>1102</v>
      </c>
      <c r="O19" s="3420" t="s">
        <v>1103</v>
      </c>
      <c r="P19" s="3420" t="s">
        <v>2902</v>
      </c>
      <c r="Q19" s="3420" t="s">
        <v>1097</v>
      </c>
      <c r="R19" s="3420" t="s">
        <v>2961</v>
      </c>
      <c r="S19" s="3420" t="s">
        <v>1113</v>
      </c>
      <c r="T19" s="3420" t="s">
        <v>3018</v>
      </c>
    </row>
    <row r="20" spans="1:20" ht="14.25" customHeight="1">
      <c r="A20" s="3420" t="s">
        <v>1031</v>
      </c>
      <c r="B20" s="1289" t="s">
        <v>1048</v>
      </c>
      <c r="C20" s="3420">
        <v>27050</v>
      </c>
      <c r="D20" s="3420">
        <v>29010</v>
      </c>
      <c r="E20" s="3420">
        <v>28910</v>
      </c>
      <c r="F20" s="3426"/>
      <c r="G20" s="3427">
        <v>21110</v>
      </c>
      <c r="K20" s="3420" t="s">
        <v>1107</v>
      </c>
      <c r="L20" s="3420" t="s">
        <v>1108</v>
      </c>
      <c r="M20" s="3420" t="s">
        <v>1109</v>
      </c>
      <c r="N20" s="3420" t="s">
        <v>1110</v>
      </c>
      <c r="O20" s="3420" t="s">
        <v>1111</v>
      </c>
      <c r="P20" s="3420" t="s">
        <v>2903</v>
      </c>
      <c r="Q20" s="3420" t="s">
        <v>2933</v>
      </c>
      <c r="R20" s="3420" t="s">
        <v>1139</v>
      </c>
      <c r="S20" s="3420" t="s">
        <v>2997</v>
      </c>
      <c r="T20" s="3420" t="s">
        <v>1126</v>
      </c>
    </row>
    <row r="21" spans="1:20" ht="14.25" customHeight="1">
      <c r="A21" s="3420" t="s">
        <v>1031</v>
      </c>
      <c r="B21" s="1289" t="s">
        <v>1055</v>
      </c>
      <c r="C21" s="3420">
        <v>32370</v>
      </c>
      <c r="D21" s="3420">
        <v>26730</v>
      </c>
      <c r="E21" s="3420">
        <v>26640</v>
      </c>
      <c r="F21" s="3426"/>
      <c r="G21" s="3427">
        <v>19440</v>
      </c>
      <c r="K21" s="3429" t="s">
        <v>2825</v>
      </c>
      <c r="L21" s="3420" t="s">
        <v>1115</v>
      </c>
      <c r="M21" s="3420" t="s">
        <v>1116</v>
      </c>
      <c r="N21" s="3420" t="s">
        <v>1117</v>
      </c>
      <c r="O21" s="3420" t="s">
        <v>1118</v>
      </c>
      <c r="P21" s="3420" t="s">
        <v>1112</v>
      </c>
      <c r="Q21" s="3420" t="s">
        <v>1132</v>
      </c>
      <c r="R21" s="3420" t="s">
        <v>1142</v>
      </c>
      <c r="S21" s="3420" t="s">
        <v>2998</v>
      </c>
      <c r="T21" s="3420" t="s">
        <v>3019</v>
      </c>
    </row>
    <row r="22" spans="1:20" ht="14.25" customHeight="1">
      <c r="A22" s="3420" t="s">
        <v>1031</v>
      </c>
      <c r="B22" s="1289" t="s">
        <v>1062</v>
      </c>
      <c r="C22" s="3420">
        <v>29830</v>
      </c>
      <c r="D22" s="3420">
        <v>27600</v>
      </c>
      <c r="E22" s="3420">
        <v>28150</v>
      </c>
      <c r="F22" s="3426"/>
      <c r="G22" s="3427">
        <v>20080</v>
      </c>
      <c r="L22" s="3429" t="s">
        <v>2827</v>
      </c>
      <c r="M22" s="3420" t="s">
        <v>1120</v>
      </c>
      <c r="N22" s="3420" t="s">
        <v>1121</v>
      </c>
      <c r="O22" s="3420" t="s">
        <v>1122</v>
      </c>
      <c r="P22" s="3420" t="s">
        <v>2904</v>
      </c>
      <c r="Q22" s="3420" t="s">
        <v>1135</v>
      </c>
      <c r="R22" s="3420" t="s">
        <v>1144</v>
      </c>
      <c r="S22" s="3420" t="s">
        <v>1091</v>
      </c>
      <c r="T22" s="1289"/>
    </row>
    <row r="23" spans="1:20" ht="14.25" customHeight="1">
      <c r="A23" s="3420" t="s">
        <v>1031</v>
      </c>
      <c r="B23" s="1289" t="s">
        <v>1070</v>
      </c>
      <c r="C23" s="3420">
        <v>27800</v>
      </c>
      <c r="D23" s="3420">
        <v>26900</v>
      </c>
      <c r="E23" s="3420">
        <v>27170</v>
      </c>
      <c r="F23" s="3426"/>
      <c r="G23" s="3427">
        <v>19570</v>
      </c>
      <c r="L23" s="3429" t="s">
        <v>2828</v>
      </c>
      <c r="M23" s="3420" t="s">
        <v>1127</v>
      </c>
      <c r="N23" s="3420" t="s">
        <v>1128</v>
      </c>
      <c r="O23" s="3420" t="s">
        <v>2858</v>
      </c>
      <c r="P23" s="3420" t="s">
        <v>2905</v>
      </c>
      <c r="Q23" s="3420" t="s">
        <v>1138</v>
      </c>
      <c r="R23" s="3420" t="s">
        <v>1147</v>
      </c>
      <c r="S23" s="3420" t="s">
        <v>2999</v>
      </c>
    </row>
    <row r="24" spans="1:20" ht="14.25" customHeight="1">
      <c r="A24" s="3420" t="s">
        <v>1031</v>
      </c>
      <c r="B24" s="1289" t="s">
        <v>1078</v>
      </c>
      <c r="C24" s="3420">
        <v>27930</v>
      </c>
      <c r="D24" s="3420">
        <v>32260</v>
      </c>
      <c r="E24" s="3420">
        <v>32120</v>
      </c>
      <c r="F24" s="3426"/>
      <c r="G24" s="3427">
        <v>23470</v>
      </c>
      <c r="L24" s="3429" t="s">
        <v>2829</v>
      </c>
      <c r="M24" s="3420" t="s">
        <v>1130</v>
      </c>
      <c r="N24" s="3420" t="s">
        <v>1131</v>
      </c>
      <c r="O24" s="3420" t="s">
        <v>2859</v>
      </c>
      <c r="P24" s="3420" t="s">
        <v>1134</v>
      </c>
      <c r="Q24" s="3420" t="s">
        <v>2934</v>
      </c>
      <c r="R24" s="3420" t="s">
        <v>2962</v>
      </c>
      <c r="S24" s="3420" t="s">
        <v>3000</v>
      </c>
    </row>
    <row r="25" spans="1:20" ht="14.25" customHeight="1">
      <c r="A25" s="3420" t="s">
        <v>1031</v>
      </c>
      <c r="B25" s="1289" t="s">
        <v>1083</v>
      </c>
      <c r="C25" s="3420">
        <v>32230</v>
      </c>
      <c r="D25" s="3420">
        <v>29640</v>
      </c>
      <c r="E25" s="3420">
        <v>29510</v>
      </c>
      <c r="F25" s="3426"/>
      <c r="G25" s="3427">
        <v>21560</v>
      </c>
      <c r="L25" s="3429" t="s">
        <v>2830</v>
      </c>
      <c r="M25" s="3420" t="s">
        <v>2833</v>
      </c>
      <c r="N25" s="3420" t="s">
        <v>1133</v>
      </c>
      <c r="O25" s="3420" t="s">
        <v>1141</v>
      </c>
      <c r="P25" s="3420" t="s">
        <v>1137</v>
      </c>
      <c r="Q25" s="3420" t="s">
        <v>1124</v>
      </c>
      <c r="R25" s="3420" t="s">
        <v>1119</v>
      </c>
      <c r="S25" s="3420" t="s">
        <v>3001</v>
      </c>
    </row>
    <row r="26" spans="1:20" ht="14.25" customHeight="1">
      <c r="A26" s="3420" t="s">
        <v>1031</v>
      </c>
      <c r="B26" s="1289" t="s">
        <v>1092</v>
      </c>
      <c r="C26" s="3420">
        <v>31690</v>
      </c>
      <c r="D26" s="3420">
        <v>27650</v>
      </c>
      <c r="E26" s="3420">
        <v>28200</v>
      </c>
      <c r="F26" s="3426"/>
      <c r="G26" s="3427">
        <v>20110</v>
      </c>
      <c r="L26" s="3429" t="s">
        <v>2831</v>
      </c>
      <c r="M26" s="3420" t="s">
        <v>2834</v>
      </c>
      <c r="N26" s="3420" t="s">
        <v>1136</v>
      </c>
      <c r="O26" s="3420" t="s">
        <v>1143</v>
      </c>
      <c r="P26" s="3420" t="s">
        <v>2906</v>
      </c>
      <c r="Q26" s="3420" t="s">
        <v>2935</v>
      </c>
      <c r="R26" s="3420" t="s">
        <v>1125</v>
      </c>
      <c r="S26" s="3420" t="s">
        <v>3002</v>
      </c>
    </row>
    <row r="27" spans="1:20" ht="14.25" customHeight="1">
      <c r="A27" s="3420" t="s">
        <v>1031</v>
      </c>
      <c r="B27" s="1289" t="s">
        <v>1099</v>
      </c>
      <c r="C27" s="3420">
        <v>29610</v>
      </c>
      <c r="D27" s="3420">
        <v>27770</v>
      </c>
      <c r="E27" s="3420">
        <v>28300</v>
      </c>
      <c r="F27" s="3426"/>
      <c r="G27" s="3427">
        <v>20210</v>
      </c>
      <c r="M27" s="3420" t="s">
        <v>2835</v>
      </c>
      <c r="N27" s="3420" t="s">
        <v>1140</v>
      </c>
      <c r="O27" s="3420" t="s">
        <v>1146</v>
      </c>
      <c r="P27" s="3420" t="s">
        <v>1123</v>
      </c>
      <c r="Q27" s="3420" t="s">
        <v>2936</v>
      </c>
      <c r="R27" s="3420" t="s">
        <v>2963</v>
      </c>
      <c r="S27" s="3420" t="s">
        <v>3003</v>
      </c>
    </row>
    <row r="28" spans="1:20" ht="14.25" customHeight="1">
      <c r="A28" s="3434" t="s">
        <v>1031</v>
      </c>
      <c r="B28" s="2600" t="s">
        <v>1107</v>
      </c>
      <c r="C28" s="1287"/>
      <c r="D28" s="1287">
        <v>31520</v>
      </c>
      <c r="E28" s="1287">
        <v>31410</v>
      </c>
      <c r="F28" s="3431"/>
      <c r="G28" s="3432">
        <v>22940</v>
      </c>
      <c r="M28" s="3420" t="s">
        <v>2836</v>
      </c>
      <c r="N28" s="3420" t="s">
        <v>2843</v>
      </c>
      <c r="O28" s="3420" t="s">
        <v>2860</v>
      </c>
      <c r="P28" s="3420" t="s">
        <v>2907</v>
      </c>
      <c r="Q28" s="3420" t="s">
        <v>2937</v>
      </c>
      <c r="R28" s="3420" t="s">
        <v>2964</v>
      </c>
      <c r="S28" s="3429" t="s">
        <v>3004</v>
      </c>
    </row>
    <row r="29" spans="1:20" ht="14.25" customHeight="1" thickBot="1">
      <c r="A29" s="3435" t="s">
        <v>1031</v>
      </c>
      <c r="B29" s="3423" t="s">
        <v>2825</v>
      </c>
      <c r="C29" s="3423"/>
      <c r="D29" s="3423">
        <v>29460</v>
      </c>
      <c r="E29" s="3423">
        <v>28640</v>
      </c>
      <c r="F29" s="3424"/>
      <c r="G29" s="3436">
        <v>21430</v>
      </c>
      <c r="M29" s="3429" t="s">
        <v>2837</v>
      </c>
      <c r="N29" s="3420" t="s">
        <v>2844</v>
      </c>
      <c r="O29" s="3420" t="s">
        <v>2861</v>
      </c>
      <c r="P29" s="3420" t="s">
        <v>2908</v>
      </c>
      <c r="Q29" s="3420" t="s">
        <v>2938</v>
      </c>
      <c r="R29" s="3420" t="s">
        <v>2965</v>
      </c>
      <c r="S29" s="3429" t="s">
        <v>1129</v>
      </c>
    </row>
    <row r="30" spans="1:20" ht="14.25" customHeight="1">
      <c r="A30" s="3434" t="s">
        <v>1145</v>
      </c>
      <c r="B30" s="1289" t="s">
        <v>2826</v>
      </c>
      <c r="C30" s="1289">
        <v>26890</v>
      </c>
      <c r="D30" s="1289">
        <v>26770</v>
      </c>
      <c r="E30" s="1289">
        <v>25700</v>
      </c>
      <c r="F30" s="3421">
        <v>8180</v>
      </c>
      <c r="G30" s="3421">
        <v>18740</v>
      </c>
      <c r="I30" s="1022"/>
      <c r="M30" s="3429" t="s">
        <v>2838</v>
      </c>
      <c r="N30" s="3420" t="s">
        <v>2845</v>
      </c>
      <c r="O30" s="3420" t="s">
        <v>2862</v>
      </c>
      <c r="P30" s="3420" t="s">
        <v>2909</v>
      </c>
      <c r="Q30" s="3420" t="s">
        <v>2939</v>
      </c>
      <c r="R30" s="3420" t="s">
        <v>2966</v>
      </c>
      <c r="S30" s="3429" t="s">
        <v>3005</v>
      </c>
    </row>
    <row r="31" spans="1:20" ht="14.25" customHeight="1">
      <c r="A31" s="3420" t="s">
        <v>1145</v>
      </c>
      <c r="B31" s="1289" t="s">
        <v>974</v>
      </c>
      <c r="C31" s="3420">
        <v>24550</v>
      </c>
      <c r="D31" s="3420">
        <v>23990</v>
      </c>
      <c r="E31" s="3420">
        <v>22930</v>
      </c>
      <c r="F31" s="3426">
        <v>7470</v>
      </c>
      <c r="G31" s="3426">
        <v>16790</v>
      </c>
      <c r="I31" s="1022"/>
      <c r="M31" s="3429" t="s">
        <v>2839</v>
      </c>
      <c r="N31" s="3420" t="s">
        <v>2846</v>
      </c>
      <c r="O31" s="3420" t="s">
        <v>2863</v>
      </c>
      <c r="P31" s="3420" t="s">
        <v>2910</v>
      </c>
      <c r="Q31" s="3420" t="s">
        <v>2940</v>
      </c>
      <c r="R31" s="3420" t="s">
        <v>2967</v>
      </c>
      <c r="S31" s="3429" t="s">
        <v>3006</v>
      </c>
    </row>
    <row r="32" spans="1:20" ht="14.25" customHeight="1">
      <c r="A32" s="3420" t="s">
        <v>1145</v>
      </c>
      <c r="B32" s="1289" t="s">
        <v>984</v>
      </c>
      <c r="C32" s="3420">
        <v>27210</v>
      </c>
      <c r="D32" s="3420">
        <v>23240</v>
      </c>
      <c r="E32" s="3420">
        <v>23260</v>
      </c>
      <c r="F32" s="3426">
        <v>7130</v>
      </c>
      <c r="G32" s="3426">
        <v>16270</v>
      </c>
      <c r="I32" s="1022"/>
      <c r="M32" s="3429" t="s">
        <v>2840</v>
      </c>
      <c r="N32" s="3420" t="s">
        <v>2847</v>
      </c>
      <c r="O32" s="3420" t="s">
        <v>1149</v>
      </c>
      <c r="P32" s="3420" t="s">
        <v>2911</v>
      </c>
      <c r="Q32" s="3420" t="s">
        <v>1148</v>
      </c>
      <c r="R32" s="3420" t="s">
        <v>2968</v>
      </c>
      <c r="S32" s="3429" t="s">
        <v>3007</v>
      </c>
    </row>
    <row r="33" spans="1:18" ht="14.25" customHeight="1">
      <c r="A33" s="3420" t="s">
        <v>1145</v>
      </c>
      <c r="B33" s="1289" t="s">
        <v>993</v>
      </c>
      <c r="C33" s="3420">
        <v>27300</v>
      </c>
      <c r="D33" s="3420">
        <v>22980</v>
      </c>
      <c r="E33" s="3420">
        <v>24260</v>
      </c>
      <c r="F33" s="3426">
        <v>5860</v>
      </c>
      <c r="G33" s="3426">
        <v>16090</v>
      </c>
      <c r="I33" s="1022"/>
      <c r="M33" s="3429" t="s">
        <v>2841</v>
      </c>
      <c r="N33" s="3420" t="s">
        <v>2848</v>
      </c>
      <c r="O33" s="3420" t="s">
        <v>1150</v>
      </c>
      <c r="P33" s="3420" t="s">
        <v>2912</v>
      </c>
      <c r="Q33" s="3420" t="s">
        <v>2941</v>
      </c>
      <c r="R33" s="3420" t="s">
        <v>2969</v>
      </c>
    </row>
    <row r="34" spans="1:18" ht="14.25" customHeight="1">
      <c r="A34" s="3420" t="s">
        <v>1145</v>
      </c>
      <c r="B34" s="1289" t="s">
        <v>1003</v>
      </c>
      <c r="C34" s="3420">
        <v>23090</v>
      </c>
      <c r="D34" s="3420">
        <v>23390</v>
      </c>
      <c r="E34" s="3420">
        <v>23510</v>
      </c>
      <c r="F34" s="3426">
        <v>6700</v>
      </c>
      <c r="G34" s="3426">
        <v>16370</v>
      </c>
      <c r="I34" s="1022"/>
      <c r="N34" s="3420" t="s">
        <v>2849</v>
      </c>
      <c r="O34" s="3420" t="s">
        <v>1151</v>
      </c>
      <c r="P34" s="3420" t="s">
        <v>2913</v>
      </c>
      <c r="Q34" s="3420" t="s">
        <v>2942</v>
      </c>
      <c r="R34" s="3420" t="s">
        <v>2970</v>
      </c>
    </row>
    <row r="35" spans="1:18" ht="14.25" customHeight="1">
      <c r="A35" s="3420" t="s">
        <v>1145</v>
      </c>
      <c r="B35" s="1289" t="s">
        <v>1010</v>
      </c>
      <c r="C35" s="3420">
        <v>27270</v>
      </c>
      <c r="D35" s="3420">
        <v>24270</v>
      </c>
      <c r="E35" s="3420">
        <v>24950</v>
      </c>
      <c r="F35" s="3426">
        <v>6600</v>
      </c>
      <c r="G35" s="3426">
        <v>16990</v>
      </c>
      <c r="I35" s="1022"/>
      <c r="N35" s="3420" t="s">
        <v>2850</v>
      </c>
      <c r="O35" s="3420" t="s">
        <v>2864</v>
      </c>
      <c r="P35" s="3420" t="s">
        <v>2914</v>
      </c>
      <c r="Q35" s="3420" t="s">
        <v>2943</v>
      </c>
      <c r="R35" s="3420" t="s">
        <v>2971</v>
      </c>
    </row>
    <row r="36" spans="1:18" ht="14.25" customHeight="1">
      <c r="A36" s="3420" t="s">
        <v>1145</v>
      </c>
      <c r="B36" s="1289" t="s">
        <v>1016</v>
      </c>
      <c r="C36" s="3420">
        <v>23490</v>
      </c>
      <c r="D36" s="3420">
        <v>23020</v>
      </c>
      <c r="E36" s="3420">
        <v>25230</v>
      </c>
      <c r="F36" s="3426">
        <v>6780</v>
      </c>
      <c r="G36" s="3426">
        <v>16120</v>
      </c>
      <c r="I36" s="1022"/>
      <c r="N36" s="3429" t="s">
        <v>2851</v>
      </c>
      <c r="O36" s="3457" t="s">
        <v>2865</v>
      </c>
      <c r="P36" s="3420" t="s">
        <v>2915</v>
      </c>
      <c r="Q36" s="3420" t="s">
        <v>2944</v>
      </c>
      <c r="R36" s="3420" t="s">
        <v>2972</v>
      </c>
    </row>
    <row r="37" spans="1:18" ht="14.25" customHeight="1">
      <c r="A37" s="3420" t="s">
        <v>1145</v>
      </c>
      <c r="B37" s="1289" t="s">
        <v>1023</v>
      </c>
      <c r="C37" s="3420">
        <v>24380</v>
      </c>
      <c r="D37" s="3420">
        <v>22240</v>
      </c>
      <c r="E37" s="3420">
        <v>25980</v>
      </c>
      <c r="F37" s="3426">
        <v>8160</v>
      </c>
      <c r="G37" s="3426">
        <v>15570</v>
      </c>
      <c r="I37" s="1023"/>
      <c r="N37" s="3429" t="s">
        <v>2852</v>
      </c>
      <c r="O37" s="3457" t="s">
        <v>2866</v>
      </c>
      <c r="P37" s="3420" t="s">
        <v>2916</v>
      </c>
      <c r="Q37" s="3420" t="s">
        <v>2945</v>
      </c>
      <c r="R37" s="3420" t="s">
        <v>2973</v>
      </c>
    </row>
    <row r="38" spans="1:18" ht="14.25" customHeight="1">
      <c r="A38" s="3420" t="s">
        <v>1145</v>
      </c>
      <c r="B38" s="1289" t="s">
        <v>1033</v>
      </c>
      <c r="C38" s="3420">
        <v>23120</v>
      </c>
      <c r="D38" s="3420">
        <v>24630</v>
      </c>
      <c r="E38" s="3420">
        <v>25030</v>
      </c>
      <c r="F38" s="3426">
        <v>7710</v>
      </c>
      <c r="G38" s="3426">
        <v>17240</v>
      </c>
      <c r="I38" s="1024"/>
      <c r="N38" s="3429" t="s">
        <v>2853</v>
      </c>
      <c r="O38" s="3457" t="s">
        <v>2867</v>
      </c>
      <c r="P38" s="3420" t="s">
        <v>2917</v>
      </c>
      <c r="Q38" s="3420" t="s">
        <v>2946</v>
      </c>
      <c r="R38" s="3420" t="s">
        <v>2974</v>
      </c>
    </row>
    <row r="39" spans="1:18" ht="14.25" customHeight="1">
      <c r="A39" s="3420" t="s">
        <v>1145</v>
      </c>
      <c r="B39" s="1289" t="s">
        <v>1042</v>
      </c>
      <c r="C39" s="3420">
        <v>22330</v>
      </c>
      <c r="D39" s="3420">
        <v>21140</v>
      </c>
      <c r="E39" s="3420">
        <v>23970</v>
      </c>
      <c r="F39" s="3426">
        <v>7940</v>
      </c>
      <c r="G39" s="3426">
        <v>14790</v>
      </c>
      <c r="I39" s="1024"/>
      <c r="N39" s="3429" t="s">
        <v>2854</v>
      </c>
      <c r="O39" s="3457" t="s">
        <v>2868</v>
      </c>
      <c r="P39" s="3420" t="s">
        <v>2918</v>
      </c>
      <c r="Q39" s="3420" t="s">
        <v>2947</v>
      </c>
      <c r="R39" s="3420" t="s">
        <v>2975</v>
      </c>
    </row>
    <row r="40" spans="1:18" ht="14.25" customHeight="1">
      <c r="A40" s="3420" t="s">
        <v>1145</v>
      </c>
      <c r="B40" s="1289" t="s">
        <v>1049</v>
      </c>
      <c r="C40" s="3420">
        <v>24740</v>
      </c>
      <c r="D40" s="3420">
        <v>24690</v>
      </c>
      <c r="E40" s="3420">
        <v>22610</v>
      </c>
      <c r="F40" s="3426"/>
      <c r="G40" s="3426">
        <v>17280</v>
      </c>
      <c r="I40" s="1024"/>
      <c r="N40" s="3429" t="s">
        <v>2855</v>
      </c>
      <c r="O40" s="3457" t="s">
        <v>2869</v>
      </c>
      <c r="P40" s="3420" t="s">
        <v>2919</v>
      </c>
      <c r="Q40" s="3420" t="s">
        <v>2948</v>
      </c>
      <c r="R40" s="3420" t="s">
        <v>2976</v>
      </c>
    </row>
    <row r="41" spans="1:18" ht="14.25" customHeight="1">
      <c r="A41" s="3420" t="s">
        <v>1145</v>
      </c>
      <c r="B41" s="1289" t="s">
        <v>1056</v>
      </c>
      <c r="C41" s="3420">
        <v>21220</v>
      </c>
      <c r="D41" s="3420">
        <v>21120</v>
      </c>
      <c r="E41" s="3420">
        <v>22590</v>
      </c>
      <c r="F41" s="3426"/>
      <c r="G41" s="3426">
        <v>14780</v>
      </c>
      <c r="I41" s="1024"/>
      <c r="N41" s="3429" t="s">
        <v>2856</v>
      </c>
      <c r="O41" s="3458" t="s">
        <v>2870</v>
      </c>
      <c r="P41" s="1289" t="s">
        <v>2920</v>
      </c>
      <c r="Q41" s="3429" t="s">
        <v>2949</v>
      </c>
      <c r="R41" s="1289" t="s">
        <v>2977</v>
      </c>
    </row>
    <row r="42" spans="1:18" ht="14.25" customHeight="1">
      <c r="A42" s="3420" t="s">
        <v>1145</v>
      </c>
      <c r="B42" s="1289" t="s">
        <v>1063</v>
      </c>
      <c r="C42" s="3420">
        <v>24800</v>
      </c>
      <c r="D42" s="3420">
        <v>22280</v>
      </c>
      <c r="E42" s="3420">
        <v>24350</v>
      </c>
      <c r="F42" s="3426"/>
      <c r="G42" s="3426">
        <v>15590</v>
      </c>
      <c r="I42" s="1024"/>
      <c r="O42" s="3420" t="s">
        <v>2871</v>
      </c>
      <c r="P42" s="3420" t="s">
        <v>2921</v>
      </c>
      <c r="Q42" s="3429" t="s">
        <v>2950</v>
      </c>
      <c r="R42" s="3420" t="s">
        <v>2978</v>
      </c>
    </row>
    <row r="43" spans="1:18" ht="14.25" customHeight="1">
      <c r="A43" s="3420" t="s">
        <v>1145</v>
      </c>
      <c r="B43" s="1289" t="s">
        <v>1071</v>
      </c>
      <c r="C43" s="3420">
        <v>21210</v>
      </c>
      <c r="D43" s="3420">
        <v>21160</v>
      </c>
      <c r="E43" s="3420">
        <v>22650</v>
      </c>
      <c r="F43" s="3426"/>
      <c r="G43" s="3426">
        <v>14800</v>
      </c>
      <c r="I43" s="1024"/>
      <c r="O43" s="3420" t="s">
        <v>2872</v>
      </c>
      <c r="P43" s="3420" t="s">
        <v>2922</v>
      </c>
      <c r="Q43" s="3429" t="s">
        <v>2951</v>
      </c>
      <c r="R43" s="3420" t="s">
        <v>2979</v>
      </c>
    </row>
    <row r="44" spans="1:18" ht="14.25" customHeight="1">
      <c r="A44" s="3420" t="s">
        <v>1145</v>
      </c>
      <c r="B44" s="1289" t="s">
        <v>1079</v>
      </c>
      <c r="C44" s="3420">
        <v>22370</v>
      </c>
      <c r="D44" s="3420">
        <v>23140</v>
      </c>
      <c r="E44" s="3420">
        <v>25090</v>
      </c>
      <c r="F44" s="3426"/>
      <c r="G44" s="3426">
        <v>16190</v>
      </c>
      <c r="I44" s="1024"/>
      <c r="O44" s="3420" t="s">
        <v>2873</v>
      </c>
      <c r="P44" s="3420" t="s">
        <v>2923</v>
      </c>
      <c r="Q44" s="3429" t="s">
        <v>2952</v>
      </c>
      <c r="R44" s="3420" t="s">
        <v>2980</v>
      </c>
    </row>
    <row r="45" spans="1:18" ht="14.25" customHeight="1">
      <c r="A45" s="3420" t="s">
        <v>1145</v>
      </c>
      <c r="B45" s="1289" t="s">
        <v>1084</v>
      </c>
      <c r="C45" s="3420">
        <v>21240</v>
      </c>
      <c r="D45" s="3420">
        <v>27050</v>
      </c>
      <c r="E45" s="3420">
        <v>28000</v>
      </c>
      <c r="F45" s="3426"/>
      <c r="G45" s="3426">
        <v>18940</v>
      </c>
      <c r="I45" s="1022"/>
      <c r="O45" s="3420" t="s">
        <v>2874</v>
      </c>
      <c r="P45" s="3420" t="s">
        <v>2924</v>
      </c>
      <c r="R45" s="3420" t="s">
        <v>2981</v>
      </c>
    </row>
    <row r="46" spans="1:18" ht="14.25" customHeight="1">
      <c r="A46" s="3420" t="s">
        <v>1145</v>
      </c>
      <c r="B46" s="1289" t="s">
        <v>1093</v>
      </c>
      <c r="C46" s="3420">
        <v>23240</v>
      </c>
      <c r="D46" s="3420">
        <v>23000</v>
      </c>
      <c r="E46" s="3420">
        <v>24980</v>
      </c>
      <c r="F46" s="3426"/>
      <c r="G46" s="3426">
        <v>16100</v>
      </c>
      <c r="I46" s="1024"/>
      <c r="O46" s="3420" t="s">
        <v>2875</v>
      </c>
      <c r="P46" s="3420"/>
      <c r="R46" s="3420" t="s">
        <v>2982</v>
      </c>
    </row>
    <row r="47" spans="1:18" ht="14.25" customHeight="1">
      <c r="A47" s="3420" t="s">
        <v>1145</v>
      </c>
      <c r="B47" s="2600" t="s">
        <v>1100</v>
      </c>
      <c r="C47" s="1287">
        <v>27150</v>
      </c>
      <c r="D47" s="1287">
        <v>23310</v>
      </c>
      <c r="E47" s="1287">
        <v>25150</v>
      </c>
      <c r="F47" s="3431"/>
      <c r="G47" s="3431">
        <v>16310</v>
      </c>
      <c r="I47" s="1024"/>
      <c r="O47" s="3420" t="s">
        <v>2876</v>
      </c>
      <c r="P47" s="3420"/>
      <c r="R47" s="3429" t="s">
        <v>2983</v>
      </c>
    </row>
    <row r="48" spans="1:18" ht="14.25" customHeight="1">
      <c r="A48" s="3420" t="s">
        <v>1145</v>
      </c>
      <c r="B48" s="3420" t="s">
        <v>1108</v>
      </c>
      <c r="C48" s="3420">
        <v>23100</v>
      </c>
      <c r="D48" s="3420">
        <v>21110</v>
      </c>
      <c r="E48" s="3420">
        <v>23080</v>
      </c>
      <c r="F48" s="3426"/>
      <c r="G48" s="3433">
        <v>14780</v>
      </c>
      <c r="I48" s="1022"/>
      <c r="O48" s="3420" t="s">
        <v>2877</v>
      </c>
      <c r="P48" s="3420"/>
      <c r="R48" s="3429" t="s">
        <v>2984</v>
      </c>
    </row>
    <row r="49" spans="1:18" ht="14.25" customHeight="1">
      <c r="A49" s="3420" t="s">
        <v>1145</v>
      </c>
      <c r="B49" s="1289" t="s">
        <v>1115</v>
      </c>
      <c r="C49" s="1289">
        <v>23400</v>
      </c>
      <c r="D49" s="1289">
        <v>22920</v>
      </c>
      <c r="E49" s="1289">
        <v>24900</v>
      </c>
      <c r="F49" s="3421"/>
      <c r="G49" s="3421">
        <v>16040</v>
      </c>
      <c r="I49" s="1024"/>
      <c r="O49" s="3420" t="s">
        <v>2878</v>
      </c>
      <c r="P49" s="3420"/>
      <c r="R49" s="3429" t="s">
        <v>2985</v>
      </c>
    </row>
    <row r="50" spans="1:18" ht="14.25" customHeight="1">
      <c r="A50" s="3420" t="s">
        <v>1145</v>
      </c>
      <c r="B50" s="3420" t="s">
        <v>2827</v>
      </c>
      <c r="C50" s="3420">
        <v>21200</v>
      </c>
      <c r="D50" s="3420">
        <v>26540</v>
      </c>
      <c r="E50" s="3420">
        <v>23200</v>
      </c>
      <c r="F50" s="3426"/>
      <c r="G50" s="3426">
        <v>18580</v>
      </c>
      <c r="I50" s="1024"/>
      <c r="O50" s="3429" t="s">
        <v>2879</v>
      </c>
      <c r="R50" s="3429" t="s">
        <v>2986</v>
      </c>
    </row>
    <row r="51" spans="1:18" ht="14.25" customHeight="1">
      <c r="A51" s="3420" t="s">
        <v>1145</v>
      </c>
      <c r="B51" s="3420" t="s">
        <v>2828</v>
      </c>
      <c r="C51" s="3420">
        <v>23000</v>
      </c>
      <c r="D51" s="3420">
        <v>23460</v>
      </c>
      <c r="E51" s="3420">
        <v>25290</v>
      </c>
      <c r="F51" s="3426"/>
      <c r="G51" s="3426">
        <v>16420</v>
      </c>
      <c r="I51" s="1024"/>
      <c r="O51" s="3429" t="s">
        <v>2880</v>
      </c>
      <c r="R51" s="3429" t="s">
        <v>2987</v>
      </c>
    </row>
    <row r="52" spans="1:18" ht="14.25" customHeight="1">
      <c r="A52" s="3420" t="s">
        <v>1145</v>
      </c>
      <c r="B52" s="3420" t="s">
        <v>2829</v>
      </c>
      <c r="C52" s="3420">
        <v>26660</v>
      </c>
      <c r="D52" s="3420">
        <v>22350</v>
      </c>
      <c r="E52" s="3420">
        <v>22920</v>
      </c>
      <c r="F52" s="3426"/>
      <c r="G52" s="3426">
        <v>15640</v>
      </c>
      <c r="I52" s="1024"/>
      <c r="O52" s="3429" t="s">
        <v>2881</v>
      </c>
    </row>
    <row r="53" spans="1:18" ht="14.25" customHeight="1">
      <c r="A53" s="3420" t="s">
        <v>1145</v>
      </c>
      <c r="B53" s="3420" t="s">
        <v>2830</v>
      </c>
      <c r="C53" s="3420">
        <v>23580</v>
      </c>
      <c r="D53" s="3420"/>
      <c r="E53" s="3420">
        <v>24280</v>
      </c>
      <c r="F53" s="3426"/>
      <c r="G53" s="3426"/>
      <c r="I53" s="1024"/>
      <c r="O53" s="3429" t="s">
        <v>2882</v>
      </c>
    </row>
    <row r="54" spans="1:18" ht="14.25" customHeight="1" thickBot="1">
      <c r="A54" s="3435" t="s">
        <v>1145</v>
      </c>
      <c r="B54" s="3423" t="s">
        <v>2831</v>
      </c>
      <c r="C54" s="3423">
        <v>22460</v>
      </c>
      <c r="D54" s="3423"/>
      <c r="E54" s="3423"/>
      <c r="F54" s="3424"/>
      <c r="G54" s="3436"/>
      <c r="I54" s="1024"/>
      <c r="O54" s="3429" t="s">
        <v>2883</v>
      </c>
    </row>
    <row r="55" spans="1:18" ht="14.25" customHeight="1">
      <c r="A55" s="3434" t="s">
        <v>853</v>
      </c>
      <c r="B55" s="1289" t="s">
        <v>2832</v>
      </c>
      <c r="C55" s="1289">
        <v>21970</v>
      </c>
      <c r="D55" s="1289">
        <v>20370</v>
      </c>
      <c r="E55" s="1289">
        <v>20180</v>
      </c>
      <c r="F55" s="3421">
        <v>5730</v>
      </c>
      <c r="G55" s="3421">
        <v>13820</v>
      </c>
      <c r="I55" s="1024"/>
      <c r="O55" s="3429" t="s">
        <v>2884</v>
      </c>
    </row>
    <row r="56" spans="1:18" ht="14.25" customHeight="1">
      <c r="A56" s="3420" t="s">
        <v>853</v>
      </c>
      <c r="B56" s="3420" t="s">
        <v>975</v>
      </c>
      <c r="C56" s="3420">
        <v>20470</v>
      </c>
      <c r="D56" s="3420">
        <v>20700</v>
      </c>
      <c r="E56" s="3420">
        <v>20380</v>
      </c>
      <c r="F56" s="3426">
        <v>4760</v>
      </c>
      <c r="G56" s="3426">
        <v>14050</v>
      </c>
      <c r="I56" s="1024"/>
      <c r="O56" s="3429" t="s">
        <v>2885</v>
      </c>
    </row>
    <row r="57" spans="1:18" ht="14.25" customHeight="1">
      <c r="A57" s="3420" t="s">
        <v>853</v>
      </c>
      <c r="B57" s="3420" t="s">
        <v>985</v>
      </c>
      <c r="C57" s="3420">
        <v>20790</v>
      </c>
      <c r="D57" s="3420">
        <v>21370</v>
      </c>
      <c r="E57" s="3420">
        <v>20890</v>
      </c>
      <c r="F57" s="3426">
        <v>4910</v>
      </c>
      <c r="G57" s="3426">
        <v>14510</v>
      </c>
      <c r="I57" s="1024"/>
      <c r="O57" s="3429" t="s">
        <v>2886</v>
      </c>
    </row>
    <row r="58" spans="1:18" ht="14.25" customHeight="1">
      <c r="A58" s="3420" t="s">
        <v>853</v>
      </c>
      <c r="B58" s="3420" t="s">
        <v>994</v>
      </c>
      <c r="C58" s="3420">
        <v>21460</v>
      </c>
      <c r="D58" s="3420">
        <v>20920</v>
      </c>
      <c r="E58" s="3420">
        <v>23410</v>
      </c>
      <c r="F58" s="3426">
        <v>5100</v>
      </c>
      <c r="G58" s="3426">
        <v>14200</v>
      </c>
      <c r="I58" s="1024"/>
      <c r="O58" s="3429" t="s">
        <v>2887</v>
      </c>
    </row>
    <row r="59" spans="1:18" ht="14.25" customHeight="1">
      <c r="A59" s="3420" t="s">
        <v>853</v>
      </c>
      <c r="B59" s="3420" t="s">
        <v>1004</v>
      </c>
      <c r="C59" s="3420">
        <v>21000</v>
      </c>
      <c r="D59" s="3420">
        <v>21550</v>
      </c>
      <c r="E59" s="3420">
        <v>21150</v>
      </c>
      <c r="F59" s="3426">
        <v>5250</v>
      </c>
      <c r="G59" s="3426">
        <v>14630</v>
      </c>
      <c r="I59" s="1024"/>
      <c r="O59" s="3429" t="s">
        <v>2888</v>
      </c>
    </row>
    <row r="60" spans="1:18" ht="14.25" customHeight="1">
      <c r="A60" s="3420" t="s">
        <v>853</v>
      </c>
      <c r="B60" s="3420" t="s">
        <v>1011</v>
      </c>
      <c r="C60" s="3420">
        <v>21640</v>
      </c>
      <c r="D60" s="3420">
        <v>21260</v>
      </c>
      <c r="E60" s="3420">
        <v>24040</v>
      </c>
      <c r="F60" s="3426">
        <v>4470</v>
      </c>
      <c r="G60" s="3426">
        <v>14430</v>
      </c>
      <c r="I60" s="1024"/>
      <c r="O60" s="3429" t="s">
        <v>2889</v>
      </c>
    </row>
    <row r="61" spans="1:18" ht="14.25" customHeight="1">
      <c r="A61" s="3420" t="s">
        <v>853</v>
      </c>
      <c r="B61" s="3420" t="s">
        <v>1017</v>
      </c>
      <c r="C61" s="3420">
        <v>21330</v>
      </c>
      <c r="D61" s="3420">
        <v>18640</v>
      </c>
      <c r="E61" s="3420">
        <v>21190</v>
      </c>
      <c r="F61" s="3426">
        <v>4180</v>
      </c>
      <c r="G61" s="3428">
        <v>12650</v>
      </c>
      <c r="I61" s="1024"/>
      <c r="O61" s="3429" t="s">
        <v>2890</v>
      </c>
    </row>
    <row r="62" spans="1:18" ht="14.25" customHeight="1">
      <c r="A62" s="3420" t="s">
        <v>853</v>
      </c>
      <c r="B62" s="3420" t="s">
        <v>1024</v>
      </c>
      <c r="C62" s="3420">
        <v>18710</v>
      </c>
      <c r="D62" s="3420">
        <v>19400</v>
      </c>
      <c r="E62" s="3420">
        <v>23750</v>
      </c>
      <c r="F62" s="3426">
        <v>4860</v>
      </c>
      <c r="G62" s="3428">
        <v>13170</v>
      </c>
      <c r="I62" s="1024"/>
      <c r="O62" s="3429" t="s">
        <v>2891</v>
      </c>
    </row>
    <row r="63" spans="1:18" ht="14.25" customHeight="1">
      <c r="A63" s="3420" t="s">
        <v>853</v>
      </c>
      <c r="B63" s="3420" t="s">
        <v>1034</v>
      </c>
      <c r="C63" s="3420">
        <v>19480</v>
      </c>
      <c r="D63" s="3420">
        <v>16830</v>
      </c>
      <c r="E63" s="3420">
        <v>21590</v>
      </c>
      <c r="F63" s="3426">
        <v>4560</v>
      </c>
      <c r="G63" s="3428">
        <v>11420</v>
      </c>
      <c r="I63" s="1024"/>
      <c r="O63" s="3429" t="s">
        <v>2892</v>
      </c>
    </row>
    <row r="64" spans="1:18" ht="14.25" customHeight="1">
      <c r="A64" s="3420" t="s">
        <v>853</v>
      </c>
      <c r="B64" s="3420" t="s">
        <v>1043</v>
      </c>
      <c r="C64" s="3420">
        <v>16920</v>
      </c>
      <c r="D64" s="3420">
        <v>19190</v>
      </c>
      <c r="E64" s="3420">
        <v>22200</v>
      </c>
      <c r="F64" s="3426">
        <v>4390</v>
      </c>
      <c r="G64" s="3428">
        <v>13030</v>
      </c>
      <c r="I64" s="1024"/>
      <c r="O64" s="3429" t="s">
        <v>2893</v>
      </c>
    </row>
    <row r="65" spans="1:21" s="1011" customFormat="1" ht="14.25" customHeight="1">
      <c r="A65" s="3420" t="s">
        <v>853</v>
      </c>
      <c r="B65" s="3420" t="s">
        <v>1050</v>
      </c>
      <c r="C65" s="3420">
        <v>19290</v>
      </c>
      <c r="D65" s="3420">
        <v>17020</v>
      </c>
      <c r="E65" s="3420">
        <v>19880</v>
      </c>
      <c r="F65" s="3426">
        <v>4070</v>
      </c>
      <c r="G65" s="3426">
        <v>11550</v>
      </c>
      <c r="I65" s="1024"/>
      <c r="J65" s="3456"/>
      <c r="K65" s="3456"/>
      <c r="L65" s="3456"/>
      <c r="M65" s="3456"/>
      <c r="N65" s="3456"/>
      <c r="O65" s="3456"/>
      <c r="P65" s="3456"/>
      <c r="Q65" s="3456"/>
      <c r="R65" s="3456"/>
      <c r="S65" s="3456"/>
      <c r="T65" s="3456"/>
      <c r="U65" s="3456"/>
    </row>
    <row r="66" spans="1:21" s="1011" customFormat="1" ht="14.25" customHeight="1">
      <c r="A66" s="3420" t="s">
        <v>853</v>
      </c>
      <c r="B66" s="3420" t="s">
        <v>1057</v>
      </c>
      <c r="C66" s="3420">
        <v>17090</v>
      </c>
      <c r="D66" s="3420">
        <v>18340</v>
      </c>
      <c r="E66" s="3420">
        <v>21830</v>
      </c>
      <c r="F66" s="3426">
        <v>4690</v>
      </c>
      <c r="G66" s="3426">
        <v>12450</v>
      </c>
      <c r="I66" s="1024"/>
      <c r="J66" s="3456"/>
      <c r="K66" s="3456"/>
      <c r="L66" s="3456"/>
      <c r="M66" s="3456"/>
      <c r="N66" s="3456"/>
      <c r="O66" s="3456"/>
      <c r="P66" s="3456"/>
      <c r="Q66" s="3456"/>
      <c r="R66" s="3456"/>
      <c r="S66" s="3456"/>
      <c r="T66" s="3456"/>
      <c r="U66" s="3456"/>
    </row>
    <row r="67" spans="1:21" s="1011" customFormat="1" ht="14.25" customHeight="1">
      <c r="A67" s="3420" t="s">
        <v>853</v>
      </c>
      <c r="B67" s="3420" t="s">
        <v>1064</v>
      </c>
      <c r="C67" s="3420">
        <v>18420</v>
      </c>
      <c r="D67" s="3420">
        <v>16360</v>
      </c>
      <c r="E67" s="3420">
        <v>20020</v>
      </c>
      <c r="F67" s="3426">
        <v>5150</v>
      </c>
      <c r="G67" s="3426">
        <v>11110</v>
      </c>
      <c r="I67" s="1024"/>
      <c r="J67" s="3456"/>
      <c r="K67" s="3456"/>
      <c r="L67" s="3456"/>
      <c r="M67" s="3456"/>
      <c r="N67" s="3456"/>
      <c r="O67" s="3456"/>
      <c r="P67" s="3456"/>
      <c r="Q67" s="3456"/>
      <c r="R67" s="3456"/>
      <c r="S67" s="3456"/>
      <c r="T67" s="3456"/>
      <c r="U67" s="3456"/>
    </row>
    <row r="68" spans="1:21" s="1011" customFormat="1" ht="14.25" customHeight="1">
      <c r="A68" s="3420" t="s">
        <v>853</v>
      </c>
      <c r="B68" s="3420" t="s">
        <v>1072</v>
      </c>
      <c r="C68" s="3420">
        <v>16450</v>
      </c>
      <c r="D68" s="3420">
        <v>18430</v>
      </c>
      <c r="E68" s="3420">
        <v>21010</v>
      </c>
      <c r="F68" s="3426">
        <v>4720</v>
      </c>
      <c r="G68" s="3426">
        <v>12510</v>
      </c>
      <c r="I68" s="1024"/>
      <c r="J68" s="3456"/>
      <c r="K68" s="3456"/>
      <c r="L68" s="3456"/>
      <c r="M68" s="3456"/>
      <c r="N68" s="3456"/>
      <c r="O68" s="3456"/>
      <c r="P68" s="3456"/>
      <c r="Q68" s="3456"/>
      <c r="R68" s="3456"/>
      <c r="S68" s="3456"/>
      <c r="T68" s="3456"/>
      <c r="U68" s="3456"/>
    </row>
    <row r="69" spans="1:21" s="1011" customFormat="1" ht="14.25" customHeight="1">
      <c r="A69" s="3420" t="s">
        <v>853</v>
      </c>
      <c r="B69" s="3420" t="s">
        <v>1080</v>
      </c>
      <c r="C69" s="3420">
        <v>18510</v>
      </c>
      <c r="D69" s="3420">
        <v>16300</v>
      </c>
      <c r="E69" s="3420">
        <v>18830</v>
      </c>
      <c r="F69" s="3426">
        <v>5400</v>
      </c>
      <c r="G69" s="3426">
        <v>11070</v>
      </c>
      <c r="I69" s="1024"/>
      <c r="J69" s="3456"/>
      <c r="K69" s="3456"/>
      <c r="L69" s="3456"/>
      <c r="M69" s="3456"/>
      <c r="N69" s="3456"/>
      <c r="O69" s="3456"/>
      <c r="P69" s="3456"/>
      <c r="Q69" s="3456"/>
      <c r="R69" s="3456"/>
      <c r="S69" s="3456"/>
      <c r="T69" s="3456"/>
      <c r="U69" s="3456"/>
    </row>
    <row r="70" spans="1:21" s="1011" customFormat="1" ht="14.25" customHeight="1">
      <c r="A70" s="3420" t="s">
        <v>853</v>
      </c>
      <c r="B70" s="3420" t="s">
        <v>1085</v>
      </c>
      <c r="C70" s="3420">
        <v>16370</v>
      </c>
      <c r="D70" s="3420">
        <v>18620</v>
      </c>
      <c r="E70" s="3420">
        <v>21100</v>
      </c>
      <c r="F70" s="3426">
        <v>5700</v>
      </c>
      <c r="G70" s="3426">
        <v>12640</v>
      </c>
      <c r="I70" s="1024"/>
      <c r="J70" s="3456"/>
      <c r="K70" s="3456"/>
      <c r="L70" s="3456"/>
      <c r="M70" s="3456"/>
      <c r="N70" s="3456"/>
      <c r="O70" s="3456"/>
      <c r="P70" s="3456"/>
      <c r="Q70" s="3456"/>
      <c r="R70" s="3456"/>
      <c r="S70" s="3456"/>
      <c r="T70" s="3456"/>
      <c r="U70" s="3456"/>
    </row>
    <row r="71" spans="1:21" s="1011" customFormat="1" ht="14.25" customHeight="1">
      <c r="A71" s="3420" t="s">
        <v>853</v>
      </c>
      <c r="B71" s="3420" t="s">
        <v>1094</v>
      </c>
      <c r="C71" s="3420">
        <v>18700</v>
      </c>
      <c r="D71" s="3420">
        <v>16290</v>
      </c>
      <c r="E71" s="3420">
        <v>18760</v>
      </c>
      <c r="F71" s="3426">
        <v>4780</v>
      </c>
      <c r="G71" s="3426">
        <v>11050</v>
      </c>
      <c r="I71" s="1024"/>
      <c r="J71" s="3456"/>
      <c r="K71" s="3456"/>
      <c r="L71" s="3456"/>
      <c r="M71" s="3456"/>
      <c r="N71" s="3456"/>
      <c r="O71" s="3456"/>
      <c r="P71" s="3456"/>
      <c r="Q71" s="3456"/>
      <c r="R71" s="3456"/>
      <c r="S71" s="3456"/>
      <c r="T71" s="3456"/>
      <c r="U71" s="3456"/>
    </row>
    <row r="72" spans="1:21" s="1011" customFormat="1" ht="14.25" customHeight="1">
      <c r="A72" s="3420" t="s">
        <v>853</v>
      </c>
      <c r="B72" s="3420" t="s">
        <v>1101</v>
      </c>
      <c r="C72" s="3420">
        <v>16340</v>
      </c>
      <c r="D72" s="3420">
        <v>17520</v>
      </c>
      <c r="E72" s="3420">
        <v>21170</v>
      </c>
      <c r="F72" s="3426"/>
      <c r="G72" s="3426">
        <v>11900</v>
      </c>
      <c r="I72" s="1024"/>
      <c r="J72" s="3456"/>
      <c r="K72" s="3456"/>
      <c r="L72" s="3456"/>
      <c r="M72" s="3456"/>
      <c r="N72" s="3456"/>
      <c r="O72" s="3456"/>
      <c r="P72" s="3456"/>
      <c r="Q72" s="3456"/>
      <c r="R72" s="3456"/>
      <c r="S72" s="3456"/>
      <c r="T72" s="3456"/>
      <c r="U72" s="3456"/>
    </row>
    <row r="73" spans="1:21" s="1011" customFormat="1" ht="14.25" customHeight="1">
      <c r="A73" s="3420" t="s">
        <v>853</v>
      </c>
      <c r="B73" s="3420" t="s">
        <v>1109</v>
      </c>
      <c r="C73" s="3420">
        <v>17610</v>
      </c>
      <c r="D73" s="3420">
        <v>18520</v>
      </c>
      <c r="E73" s="3420">
        <v>18720</v>
      </c>
      <c r="F73" s="3426"/>
      <c r="G73" s="3426">
        <v>12570</v>
      </c>
      <c r="I73" s="1024"/>
      <c r="J73" s="3456"/>
      <c r="K73" s="3456"/>
      <c r="L73" s="3456"/>
      <c r="M73" s="3456"/>
      <c r="N73" s="3456"/>
      <c r="O73" s="3456"/>
      <c r="P73" s="3456"/>
      <c r="Q73" s="3456"/>
      <c r="R73" s="3456"/>
      <c r="S73" s="3456"/>
      <c r="T73" s="3456"/>
      <c r="U73" s="3456"/>
    </row>
    <row r="74" spans="1:21" s="1011" customFormat="1" ht="14.25" customHeight="1">
      <c r="A74" s="3420" t="s">
        <v>853</v>
      </c>
      <c r="B74" s="3420" t="s">
        <v>1116</v>
      </c>
      <c r="C74" s="3420">
        <v>18600</v>
      </c>
      <c r="D74" s="3420">
        <v>16480</v>
      </c>
      <c r="E74" s="3420">
        <v>20100</v>
      </c>
      <c r="F74" s="3426"/>
      <c r="G74" s="3426">
        <v>11190</v>
      </c>
      <c r="I74" s="1024"/>
      <c r="J74" s="3456"/>
      <c r="K74" s="3456"/>
      <c r="L74" s="3456"/>
      <c r="M74" s="3456"/>
      <c r="N74" s="3456"/>
      <c r="O74" s="3456"/>
      <c r="P74" s="3456"/>
      <c r="Q74" s="3456"/>
      <c r="R74" s="3456"/>
      <c r="S74" s="3456"/>
      <c r="T74" s="3456"/>
      <c r="U74" s="3456"/>
    </row>
    <row r="75" spans="1:21" s="1011" customFormat="1" ht="14.25" customHeight="1">
      <c r="A75" s="3420" t="s">
        <v>853</v>
      </c>
      <c r="B75" s="3420" t="s">
        <v>1120</v>
      </c>
      <c r="C75" s="3420">
        <v>16570</v>
      </c>
      <c r="D75" s="3420">
        <v>17530</v>
      </c>
      <c r="E75" s="3420">
        <v>21030</v>
      </c>
      <c r="F75" s="3426"/>
      <c r="G75" s="3433">
        <v>11900</v>
      </c>
      <c r="I75" s="1024"/>
      <c r="J75" s="3456"/>
      <c r="K75" s="3456"/>
      <c r="L75" s="3456"/>
      <c r="M75" s="3456"/>
      <c r="N75" s="3456"/>
      <c r="O75" s="3456"/>
      <c r="P75" s="3456"/>
      <c r="Q75" s="3456"/>
      <c r="R75" s="3456"/>
      <c r="S75" s="3456"/>
      <c r="T75" s="3456"/>
      <c r="U75" s="3456"/>
    </row>
    <row r="76" spans="1:21" s="1011" customFormat="1" ht="14.25" customHeight="1">
      <c r="A76" s="3420" t="s">
        <v>853</v>
      </c>
      <c r="B76" s="1289" t="s">
        <v>1127</v>
      </c>
      <c r="C76" s="1289">
        <v>17610</v>
      </c>
      <c r="D76" s="1289">
        <v>20800</v>
      </c>
      <c r="E76" s="1289">
        <v>18920</v>
      </c>
      <c r="F76" s="3421"/>
      <c r="G76" s="3421">
        <v>14120</v>
      </c>
      <c r="I76" s="1024"/>
      <c r="J76" s="3456"/>
      <c r="K76" s="3456"/>
      <c r="L76" s="3456"/>
      <c r="M76" s="3456"/>
      <c r="N76" s="3456"/>
      <c r="O76" s="3456"/>
      <c r="P76" s="3456"/>
      <c r="Q76" s="3456"/>
      <c r="R76" s="3456"/>
      <c r="S76" s="3456"/>
      <c r="T76" s="3456"/>
      <c r="U76" s="3456"/>
    </row>
    <row r="77" spans="1:21" s="1011" customFormat="1" ht="14.25" customHeight="1">
      <c r="A77" s="3420" t="s">
        <v>853</v>
      </c>
      <c r="B77" s="3420" t="s">
        <v>1130</v>
      </c>
      <c r="C77" s="3420">
        <v>20890</v>
      </c>
      <c r="D77" s="3420">
        <v>19740</v>
      </c>
      <c r="E77" s="3420">
        <v>20110</v>
      </c>
      <c r="F77" s="3426"/>
      <c r="G77" s="3426">
        <v>13400</v>
      </c>
      <c r="I77" s="1024"/>
      <c r="J77" s="3456"/>
      <c r="K77" s="3456"/>
      <c r="L77" s="3456"/>
      <c r="M77" s="3456"/>
      <c r="N77" s="3456"/>
      <c r="O77" s="3456"/>
      <c r="P77" s="3456"/>
      <c r="Q77" s="3456"/>
      <c r="R77" s="3456"/>
      <c r="S77" s="3456"/>
      <c r="T77" s="3456"/>
      <c r="U77" s="3456"/>
    </row>
    <row r="78" spans="1:21" s="1011" customFormat="1" ht="14.25" customHeight="1">
      <c r="A78" s="3420" t="s">
        <v>853</v>
      </c>
      <c r="B78" s="3420" t="s">
        <v>2833</v>
      </c>
      <c r="C78" s="3420">
        <v>19820</v>
      </c>
      <c r="D78" s="3420">
        <v>19780</v>
      </c>
      <c r="E78" s="3420">
        <v>18560</v>
      </c>
      <c r="F78" s="3426"/>
      <c r="G78" s="3426">
        <v>13430</v>
      </c>
      <c r="I78" s="1024"/>
      <c r="J78" s="3456"/>
      <c r="K78" s="3456"/>
      <c r="L78" s="3456"/>
      <c r="M78" s="3456"/>
      <c r="N78" s="3456"/>
      <c r="O78" s="3456"/>
      <c r="P78" s="3456"/>
      <c r="Q78" s="3456"/>
      <c r="R78" s="3456"/>
      <c r="S78" s="3456"/>
      <c r="T78" s="3456"/>
      <c r="U78" s="3456"/>
    </row>
    <row r="79" spans="1:21" s="1011" customFormat="1" ht="14.25" customHeight="1">
      <c r="A79" s="3420" t="s">
        <v>853</v>
      </c>
      <c r="B79" s="3420" t="s">
        <v>2834</v>
      </c>
      <c r="C79" s="3420">
        <v>21660</v>
      </c>
      <c r="D79" s="3420">
        <v>18000</v>
      </c>
      <c r="E79" s="3420">
        <v>22570</v>
      </c>
      <c r="F79" s="3426"/>
      <c r="G79" s="3426">
        <v>12220</v>
      </c>
      <c r="I79" s="1024"/>
      <c r="J79" s="3456"/>
      <c r="K79" s="3456"/>
      <c r="L79" s="3456"/>
      <c r="M79" s="3456"/>
      <c r="N79" s="3456"/>
      <c r="O79" s="3456"/>
      <c r="P79" s="3456"/>
      <c r="Q79" s="3456"/>
      <c r="R79" s="3456"/>
      <c r="S79" s="3456"/>
      <c r="T79" s="3456"/>
      <c r="U79" s="3456"/>
    </row>
    <row r="80" spans="1:21" s="1011" customFormat="1" ht="14.25" customHeight="1">
      <c r="A80" s="3420" t="s">
        <v>853</v>
      </c>
      <c r="B80" s="3420" t="s">
        <v>2835</v>
      </c>
      <c r="C80" s="3420">
        <v>19850</v>
      </c>
      <c r="D80" s="3420"/>
      <c r="E80" s="3420">
        <v>21700</v>
      </c>
      <c r="F80" s="3426"/>
      <c r="G80" s="3426"/>
      <c r="I80" s="1024"/>
      <c r="J80" s="3456"/>
      <c r="K80" s="3456"/>
      <c r="L80" s="3456"/>
      <c r="M80" s="3456"/>
      <c r="N80" s="3456"/>
      <c r="O80" s="3456"/>
      <c r="P80" s="3456"/>
      <c r="Q80" s="3456"/>
      <c r="R80" s="3456"/>
      <c r="S80" s="3456"/>
      <c r="T80" s="3456"/>
      <c r="U80" s="3456"/>
    </row>
    <row r="81" spans="1:21" s="1011" customFormat="1" ht="14.25" customHeight="1">
      <c r="A81" s="3420" t="s">
        <v>853</v>
      </c>
      <c r="B81" s="3420" t="s">
        <v>2836</v>
      </c>
      <c r="C81" s="3420">
        <v>18080</v>
      </c>
      <c r="D81" s="3420"/>
      <c r="E81" s="3420">
        <v>20900</v>
      </c>
      <c r="F81" s="3426"/>
      <c r="G81" s="3426"/>
      <c r="I81" s="1024"/>
      <c r="J81" s="3456"/>
      <c r="K81" s="3456"/>
      <c r="L81" s="3456"/>
      <c r="M81" s="3456"/>
      <c r="N81" s="3456"/>
      <c r="O81" s="3456"/>
      <c r="P81" s="3456"/>
      <c r="Q81" s="3456"/>
      <c r="R81" s="3456"/>
      <c r="S81" s="3456"/>
      <c r="T81" s="3456"/>
      <c r="U81" s="3456"/>
    </row>
    <row r="82" spans="1:21" s="1011" customFormat="1" ht="14.25" customHeight="1">
      <c r="A82" s="3420" t="s">
        <v>853</v>
      </c>
      <c r="B82" s="3420" t="s">
        <v>2837</v>
      </c>
      <c r="C82" s="3420"/>
      <c r="D82" s="3420"/>
      <c r="E82" s="3420">
        <v>20840</v>
      </c>
      <c r="F82" s="3426"/>
      <c r="G82" s="3426"/>
      <c r="I82" s="1024"/>
      <c r="J82" s="3456"/>
      <c r="K82" s="3456"/>
      <c r="L82" s="3456"/>
      <c r="M82" s="3456"/>
      <c r="N82" s="3456"/>
      <c r="O82" s="3456"/>
      <c r="P82" s="3456"/>
      <c r="Q82" s="3456"/>
      <c r="R82" s="3456"/>
      <c r="S82" s="3456"/>
      <c r="T82" s="3456"/>
      <c r="U82" s="3456"/>
    </row>
    <row r="83" spans="1:21" s="1011" customFormat="1" ht="14.25" customHeight="1">
      <c r="A83" s="3420" t="s">
        <v>853</v>
      </c>
      <c r="B83" s="3420" t="s">
        <v>2838</v>
      </c>
      <c r="C83" s="3420"/>
      <c r="D83" s="3420"/>
      <c r="E83" s="3420"/>
      <c r="F83" s="3426">
        <v>4770</v>
      </c>
      <c r="G83" s="3426"/>
      <c r="I83" s="1024"/>
      <c r="J83" s="3456"/>
      <c r="K83" s="3456"/>
      <c r="L83" s="3456"/>
      <c r="M83" s="3456"/>
      <c r="N83" s="3456"/>
      <c r="O83" s="3456"/>
      <c r="P83" s="3456"/>
      <c r="Q83" s="3456"/>
      <c r="R83" s="3456"/>
      <c r="S83" s="3456"/>
      <c r="T83" s="3456"/>
      <c r="U83" s="3456"/>
    </row>
    <row r="84" spans="1:21" s="1011" customFormat="1" ht="14.25" customHeight="1">
      <c r="A84" s="3420" t="s">
        <v>853</v>
      </c>
      <c r="B84" s="3420" t="s">
        <v>2839</v>
      </c>
      <c r="C84" s="3420"/>
      <c r="D84" s="3420"/>
      <c r="E84" s="3420"/>
      <c r="F84" s="3426">
        <v>4600</v>
      </c>
      <c r="G84" s="3426"/>
      <c r="I84" s="1024"/>
      <c r="J84" s="3456"/>
      <c r="K84" s="3456"/>
      <c r="L84" s="3456"/>
      <c r="M84" s="3456"/>
      <c r="N84" s="3456"/>
      <c r="O84" s="3456"/>
      <c r="P84" s="3456"/>
      <c r="Q84" s="3456"/>
      <c r="R84" s="3456"/>
      <c r="S84" s="3456"/>
      <c r="T84" s="3456"/>
      <c r="U84" s="3456"/>
    </row>
    <row r="85" spans="1:21" s="1011" customFormat="1" ht="14.25" customHeight="1">
      <c r="A85" s="3420" t="s">
        <v>853</v>
      </c>
      <c r="B85" s="1287" t="s">
        <v>2840</v>
      </c>
      <c r="C85" s="1287"/>
      <c r="D85" s="1287"/>
      <c r="E85" s="1287"/>
      <c r="F85" s="3431">
        <v>4680</v>
      </c>
      <c r="G85" s="3431"/>
      <c r="I85" s="1024"/>
      <c r="J85" s="3456"/>
      <c r="K85" s="3456"/>
      <c r="L85" s="3456"/>
      <c r="M85" s="3456"/>
      <c r="N85" s="3456"/>
      <c r="O85" s="3456"/>
      <c r="P85" s="3456"/>
      <c r="Q85" s="3456"/>
      <c r="R85" s="3456"/>
      <c r="S85" s="3456"/>
      <c r="T85" s="3456"/>
      <c r="U85" s="3456"/>
    </row>
    <row r="86" spans="1:21" s="1011" customFormat="1" ht="14.25" customHeight="1" thickBot="1">
      <c r="A86" s="3435" t="s">
        <v>853</v>
      </c>
      <c r="B86" s="3423" t="s">
        <v>2841</v>
      </c>
      <c r="C86" s="3423">
        <v>16610</v>
      </c>
      <c r="D86" s="3423">
        <v>16540</v>
      </c>
      <c r="E86" s="3423">
        <v>18850</v>
      </c>
      <c r="F86" s="3424"/>
      <c r="G86" s="3436">
        <v>11220</v>
      </c>
      <c r="I86" s="1024"/>
      <c r="J86" s="3456"/>
      <c r="K86" s="3456"/>
      <c r="L86" s="3456"/>
      <c r="M86" s="3456"/>
      <c r="N86" s="3456"/>
      <c r="O86" s="3456"/>
      <c r="P86" s="3456"/>
      <c r="Q86" s="3456"/>
      <c r="R86" s="3456"/>
      <c r="S86" s="3456"/>
      <c r="T86" s="3456"/>
      <c r="U86" s="3456"/>
    </row>
    <row r="87" spans="1:21" s="1011" customFormat="1" ht="14.25" customHeight="1">
      <c r="A87" s="3434" t="s">
        <v>1152</v>
      </c>
      <c r="B87" s="1289" t="s">
        <v>2842</v>
      </c>
      <c r="C87" s="1289">
        <v>15240</v>
      </c>
      <c r="D87" s="1289">
        <v>15170</v>
      </c>
      <c r="E87" s="1289">
        <v>18260</v>
      </c>
      <c r="F87" s="3421">
        <v>3830</v>
      </c>
      <c r="G87" s="3437">
        <v>10020</v>
      </c>
      <c r="I87" s="1024"/>
      <c r="J87" s="3456"/>
      <c r="K87" s="3456"/>
      <c r="L87" s="3456"/>
      <c r="M87" s="3456"/>
      <c r="N87" s="3456"/>
      <c r="O87" s="3456"/>
      <c r="P87" s="3456"/>
      <c r="Q87" s="3456"/>
      <c r="R87" s="3456"/>
      <c r="S87" s="3456"/>
      <c r="T87" s="3456"/>
      <c r="U87" s="3456"/>
    </row>
    <row r="88" spans="1:21" s="1011" customFormat="1" ht="14.25" customHeight="1">
      <c r="A88" s="3420" t="s">
        <v>1152</v>
      </c>
      <c r="B88" s="3420" t="s">
        <v>976</v>
      </c>
      <c r="C88" s="3420">
        <v>17310</v>
      </c>
      <c r="D88" s="3420">
        <v>17220</v>
      </c>
      <c r="E88" s="3420">
        <v>18610</v>
      </c>
      <c r="F88" s="3426">
        <v>3990</v>
      </c>
      <c r="G88" s="3428">
        <v>11380</v>
      </c>
      <c r="I88" s="1024"/>
      <c r="J88" s="3456"/>
      <c r="K88" s="3456"/>
      <c r="L88" s="3456"/>
      <c r="M88" s="3456"/>
      <c r="N88" s="3456"/>
      <c r="O88" s="3456"/>
      <c r="P88" s="3456"/>
      <c r="Q88" s="3456"/>
      <c r="R88" s="3456"/>
      <c r="S88" s="3456"/>
      <c r="T88" s="3456"/>
      <c r="U88" s="3456"/>
    </row>
    <row r="89" spans="1:21" s="1011" customFormat="1" ht="14.25" customHeight="1">
      <c r="A89" s="3420" t="s">
        <v>1152</v>
      </c>
      <c r="B89" s="3420" t="s">
        <v>986</v>
      </c>
      <c r="C89" s="3420">
        <v>15600</v>
      </c>
      <c r="D89" s="3420">
        <v>15550</v>
      </c>
      <c r="E89" s="3420">
        <v>19200</v>
      </c>
      <c r="F89" s="3426">
        <v>4110</v>
      </c>
      <c r="G89" s="3428">
        <v>10270</v>
      </c>
      <c r="I89" s="1024"/>
      <c r="J89" s="3456"/>
      <c r="K89" s="3456"/>
      <c r="L89" s="3456"/>
      <c r="M89" s="3456"/>
      <c r="N89" s="3456"/>
      <c r="O89" s="3456"/>
      <c r="P89" s="3456"/>
      <c r="Q89" s="3456"/>
      <c r="R89" s="3456"/>
      <c r="S89" s="3456"/>
      <c r="T89" s="3456"/>
      <c r="U89" s="3456"/>
    </row>
    <row r="90" spans="1:21" s="1011" customFormat="1" ht="14.25" customHeight="1">
      <c r="A90" s="3420" t="s">
        <v>1152</v>
      </c>
      <c r="B90" s="3420" t="s">
        <v>995</v>
      </c>
      <c r="C90" s="3420">
        <v>17330</v>
      </c>
      <c r="D90" s="3420">
        <v>17240</v>
      </c>
      <c r="E90" s="3420">
        <v>18570</v>
      </c>
      <c r="F90" s="3426">
        <v>4070</v>
      </c>
      <c r="G90" s="3428">
        <v>11390</v>
      </c>
      <c r="I90" s="1024"/>
      <c r="J90" s="3456"/>
      <c r="K90" s="3456"/>
      <c r="L90" s="3456"/>
      <c r="M90" s="3456"/>
      <c r="N90" s="3456"/>
      <c r="O90" s="3456"/>
      <c r="P90" s="3456"/>
      <c r="Q90" s="3456"/>
      <c r="R90" s="3456"/>
      <c r="S90" s="3456"/>
      <c r="T90" s="3456"/>
      <c r="U90" s="3456"/>
    </row>
    <row r="91" spans="1:21" s="1011" customFormat="1" ht="14.25" customHeight="1">
      <c r="A91" s="3420" t="s">
        <v>1152</v>
      </c>
      <c r="B91" s="3420" t="s">
        <v>1005</v>
      </c>
      <c r="C91" s="3420">
        <v>16330</v>
      </c>
      <c r="D91" s="3420">
        <v>16260</v>
      </c>
      <c r="E91" s="3420">
        <v>16800</v>
      </c>
      <c r="F91" s="3426">
        <v>3410</v>
      </c>
      <c r="G91" s="3428">
        <v>10740</v>
      </c>
      <c r="I91" s="1024"/>
      <c r="J91" s="3456"/>
      <c r="K91" s="3456"/>
      <c r="L91" s="3456"/>
      <c r="M91" s="3456"/>
      <c r="N91" s="3456"/>
      <c r="O91" s="3456"/>
      <c r="P91" s="3456"/>
      <c r="Q91" s="3456"/>
      <c r="R91" s="3456"/>
      <c r="S91" s="3456"/>
      <c r="T91" s="3456"/>
      <c r="U91" s="3456"/>
    </row>
    <row r="92" spans="1:21" s="1011" customFormat="1" ht="14.25" customHeight="1">
      <c r="A92" s="3420" t="s">
        <v>1152</v>
      </c>
      <c r="B92" s="3420" t="s">
        <v>1012</v>
      </c>
      <c r="C92" s="3420">
        <v>15570</v>
      </c>
      <c r="D92" s="3420">
        <v>15500</v>
      </c>
      <c r="E92" s="3420">
        <v>17360</v>
      </c>
      <c r="F92" s="3426">
        <v>3510</v>
      </c>
      <c r="G92" s="3428">
        <v>10240</v>
      </c>
      <c r="I92" s="1024"/>
      <c r="J92" s="3456"/>
      <c r="K92" s="3456"/>
      <c r="L92" s="3456"/>
      <c r="M92" s="3456"/>
      <c r="N92" s="3456"/>
      <c r="O92" s="3456"/>
      <c r="P92" s="3456"/>
      <c r="Q92" s="3456"/>
      <c r="R92" s="3456"/>
      <c r="S92" s="3456"/>
      <c r="T92" s="3456"/>
      <c r="U92" s="3456"/>
    </row>
    <row r="93" spans="1:21" s="1011" customFormat="1" ht="14.25" customHeight="1">
      <c r="A93" s="3420" t="s">
        <v>1152</v>
      </c>
      <c r="B93" s="3420" t="s">
        <v>1018</v>
      </c>
      <c r="C93" s="3420">
        <v>14000</v>
      </c>
      <c r="D93" s="3420">
        <v>13930</v>
      </c>
      <c r="E93" s="3420">
        <v>18200</v>
      </c>
      <c r="F93" s="3426">
        <v>3640</v>
      </c>
      <c r="G93" s="3428">
        <v>9210</v>
      </c>
      <c r="I93" s="1024"/>
      <c r="J93" s="3456"/>
      <c r="K93" s="3456"/>
      <c r="L93" s="3456"/>
      <c r="M93" s="3456"/>
      <c r="N93" s="3456"/>
      <c r="O93" s="3456"/>
      <c r="P93" s="3456"/>
      <c r="Q93" s="3456"/>
      <c r="R93" s="3456"/>
      <c r="S93" s="3456"/>
      <c r="T93" s="3456"/>
      <c r="U93" s="3456"/>
    </row>
    <row r="94" spans="1:21" s="1011" customFormat="1" ht="14.25" customHeight="1">
      <c r="A94" s="3420" t="s">
        <v>1152</v>
      </c>
      <c r="B94" s="3420" t="s">
        <v>1025</v>
      </c>
      <c r="C94" s="3420">
        <v>14530</v>
      </c>
      <c r="D94" s="3420">
        <v>14470</v>
      </c>
      <c r="E94" s="3420">
        <v>18240</v>
      </c>
      <c r="F94" s="3426">
        <v>3180</v>
      </c>
      <c r="G94" s="3428">
        <v>9560</v>
      </c>
      <c r="I94" s="1024"/>
      <c r="J94" s="3456"/>
      <c r="K94" s="3456"/>
      <c r="L94" s="3456"/>
      <c r="M94" s="3456"/>
      <c r="N94" s="3456"/>
      <c r="O94" s="3456"/>
      <c r="P94" s="3456"/>
      <c r="Q94" s="3456"/>
      <c r="R94" s="3456"/>
      <c r="S94" s="3456"/>
      <c r="T94" s="3456"/>
      <c r="U94" s="3456"/>
    </row>
    <row r="95" spans="1:21" s="1011" customFormat="1" ht="14.25" customHeight="1">
      <c r="A95" s="3420" t="s">
        <v>1152</v>
      </c>
      <c r="B95" s="3420" t="s">
        <v>1035</v>
      </c>
      <c r="C95" s="3420">
        <v>17330</v>
      </c>
      <c r="D95" s="3420">
        <v>17260</v>
      </c>
      <c r="E95" s="3420">
        <v>18420</v>
      </c>
      <c r="F95" s="3426">
        <v>3060</v>
      </c>
      <c r="G95" s="3426">
        <v>11410</v>
      </c>
      <c r="I95" s="1024"/>
      <c r="J95" s="3456"/>
      <c r="K95" s="3456"/>
      <c r="L95" s="3456"/>
      <c r="M95" s="3456"/>
      <c r="N95" s="3456"/>
      <c r="O95" s="3456"/>
      <c r="P95" s="3456"/>
      <c r="Q95" s="3456"/>
      <c r="R95" s="3456"/>
      <c r="S95" s="3456"/>
      <c r="T95" s="3456"/>
      <c r="U95" s="3456"/>
    </row>
    <row r="96" spans="1:21" s="1011" customFormat="1" ht="14.25" customHeight="1">
      <c r="A96" s="3420" t="s">
        <v>1152</v>
      </c>
      <c r="B96" s="3420" t="s">
        <v>1044</v>
      </c>
      <c r="C96" s="3420">
        <v>15030</v>
      </c>
      <c r="D96" s="3420">
        <v>14970</v>
      </c>
      <c r="E96" s="3420">
        <v>17580</v>
      </c>
      <c r="F96" s="3426">
        <v>2970</v>
      </c>
      <c r="G96" s="3426">
        <v>9890</v>
      </c>
      <c r="I96" s="1024"/>
      <c r="J96" s="3456"/>
      <c r="K96" s="3456"/>
      <c r="L96" s="3456"/>
      <c r="M96" s="3456"/>
      <c r="N96" s="3456"/>
      <c r="O96" s="3456"/>
      <c r="P96" s="3456"/>
      <c r="Q96" s="3456"/>
      <c r="R96" s="3456"/>
      <c r="S96" s="3456"/>
      <c r="T96" s="3456"/>
      <c r="U96" s="3456"/>
    </row>
    <row r="97" spans="1:21" s="1011" customFormat="1" ht="14.25" customHeight="1">
      <c r="A97" s="3420" t="s">
        <v>1152</v>
      </c>
      <c r="B97" s="3420" t="s">
        <v>1051</v>
      </c>
      <c r="C97" s="3420">
        <v>17400</v>
      </c>
      <c r="D97" s="3420">
        <v>17330</v>
      </c>
      <c r="E97" s="3420">
        <v>16430</v>
      </c>
      <c r="F97" s="3426">
        <v>2950</v>
      </c>
      <c r="G97" s="3426">
        <v>11450</v>
      </c>
      <c r="I97" s="1024"/>
      <c r="J97" s="3456"/>
      <c r="K97" s="3456"/>
      <c r="L97" s="3456"/>
      <c r="M97" s="3456"/>
      <c r="N97" s="3456"/>
      <c r="O97" s="3456"/>
      <c r="P97" s="3456"/>
      <c r="Q97" s="3456"/>
      <c r="R97" s="3456"/>
      <c r="S97" s="3456"/>
      <c r="T97" s="3456"/>
      <c r="U97" s="3456"/>
    </row>
    <row r="98" spans="1:21" s="1011" customFormat="1" ht="14.25" customHeight="1">
      <c r="A98" s="3420" t="s">
        <v>1152</v>
      </c>
      <c r="B98" s="3420" t="s">
        <v>1058</v>
      </c>
      <c r="C98" s="3420">
        <v>15200</v>
      </c>
      <c r="D98" s="3420">
        <v>15120</v>
      </c>
      <c r="E98" s="3420">
        <v>17550</v>
      </c>
      <c r="F98" s="3426">
        <v>3080</v>
      </c>
      <c r="G98" s="3426">
        <v>9990</v>
      </c>
      <c r="I98" s="1024"/>
      <c r="J98" s="3456"/>
      <c r="K98" s="3456"/>
      <c r="L98" s="3456"/>
      <c r="M98" s="3456"/>
      <c r="N98" s="3456"/>
      <c r="O98" s="3456"/>
      <c r="P98" s="3456"/>
      <c r="Q98" s="3456"/>
      <c r="R98" s="3456"/>
      <c r="S98" s="3456"/>
      <c r="T98" s="3456"/>
      <c r="U98" s="3456"/>
    </row>
    <row r="99" spans="1:21" s="1011" customFormat="1" ht="14.25" customHeight="1">
      <c r="A99" s="3420" t="s">
        <v>1152</v>
      </c>
      <c r="B99" s="3420" t="s">
        <v>1065</v>
      </c>
      <c r="C99" s="3420">
        <v>17520</v>
      </c>
      <c r="D99" s="3420">
        <v>17430</v>
      </c>
      <c r="E99" s="3420">
        <v>16350</v>
      </c>
      <c r="F99" s="3426">
        <v>3260</v>
      </c>
      <c r="G99" s="3426">
        <v>11510</v>
      </c>
      <c r="I99" s="1024"/>
      <c r="J99" s="3456"/>
      <c r="K99" s="3456"/>
      <c r="L99" s="3456"/>
      <c r="M99" s="3456"/>
      <c r="N99" s="3456"/>
      <c r="O99" s="3456"/>
      <c r="P99" s="3456"/>
      <c r="Q99" s="3456"/>
      <c r="R99" s="3456"/>
      <c r="S99" s="3456"/>
      <c r="T99" s="3456"/>
      <c r="U99" s="3456"/>
    </row>
    <row r="100" spans="1:21" s="1011" customFormat="1" ht="14.25" customHeight="1">
      <c r="A100" s="3420" t="s">
        <v>1152</v>
      </c>
      <c r="B100" s="3420" t="s">
        <v>1073</v>
      </c>
      <c r="C100" s="3420">
        <v>15340</v>
      </c>
      <c r="D100" s="3420">
        <v>15260</v>
      </c>
      <c r="E100" s="3420">
        <v>15930</v>
      </c>
      <c r="F100" s="3426">
        <v>2740</v>
      </c>
      <c r="G100" s="3426">
        <v>10080</v>
      </c>
      <c r="I100" s="1024"/>
      <c r="J100" s="3456"/>
      <c r="K100" s="3456"/>
      <c r="L100" s="3456"/>
      <c r="M100" s="3456"/>
      <c r="N100" s="3456"/>
      <c r="O100" s="3456"/>
      <c r="P100" s="3456"/>
      <c r="Q100" s="3456"/>
      <c r="R100" s="3456"/>
      <c r="S100" s="3456"/>
      <c r="T100" s="3456"/>
      <c r="U100" s="3456"/>
    </row>
    <row r="101" spans="1:21" s="1011" customFormat="1" ht="14.25" customHeight="1">
      <c r="A101" s="3420" t="s">
        <v>1152</v>
      </c>
      <c r="B101" s="3420" t="s">
        <v>1081</v>
      </c>
      <c r="C101" s="3420">
        <v>14620</v>
      </c>
      <c r="D101" s="3420">
        <v>14560</v>
      </c>
      <c r="E101" s="3420">
        <v>15570</v>
      </c>
      <c r="F101" s="3426">
        <v>3500</v>
      </c>
      <c r="G101" s="3426">
        <v>9630</v>
      </c>
      <c r="I101" s="1024"/>
      <c r="J101" s="3456"/>
      <c r="K101" s="3456"/>
      <c r="L101" s="3456"/>
      <c r="M101" s="3456"/>
      <c r="N101" s="3456"/>
      <c r="O101" s="3456"/>
      <c r="P101" s="3456"/>
      <c r="Q101" s="3456"/>
      <c r="R101" s="3456"/>
      <c r="S101" s="3456"/>
      <c r="T101" s="3456"/>
      <c r="U101" s="3456"/>
    </row>
    <row r="102" spans="1:21" s="1011" customFormat="1" ht="14.25" customHeight="1">
      <c r="A102" s="3420" t="s">
        <v>1152</v>
      </c>
      <c r="B102" s="3420" t="s">
        <v>1086</v>
      </c>
      <c r="C102" s="3420">
        <v>13680</v>
      </c>
      <c r="D102" s="3420">
        <v>13610</v>
      </c>
      <c r="E102" s="3420">
        <v>15690</v>
      </c>
      <c r="F102" s="3426">
        <v>2870</v>
      </c>
      <c r="G102" s="3426">
        <v>8990</v>
      </c>
      <c r="I102" s="1024"/>
      <c r="J102" s="3456"/>
      <c r="K102" s="3456"/>
      <c r="L102" s="3456"/>
      <c r="M102" s="3456"/>
      <c r="N102" s="3456"/>
      <c r="O102" s="3456"/>
      <c r="P102" s="3456"/>
      <c r="Q102" s="3456"/>
      <c r="R102" s="3456"/>
      <c r="S102" s="3456"/>
      <c r="T102" s="3456"/>
      <c r="U102" s="3456"/>
    </row>
    <row r="103" spans="1:21" s="1011" customFormat="1" ht="14.25" customHeight="1">
      <c r="A103" s="3420" t="s">
        <v>1152</v>
      </c>
      <c r="B103" s="3420" t="s">
        <v>1095</v>
      </c>
      <c r="C103" s="3420">
        <v>14620</v>
      </c>
      <c r="D103" s="3420">
        <v>14540</v>
      </c>
      <c r="E103" s="3420">
        <v>15240</v>
      </c>
      <c r="F103" s="3426">
        <v>2840</v>
      </c>
      <c r="G103" s="3426">
        <v>9610</v>
      </c>
      <c r="I103" s="1024"/>
      <c r="J103" s="3456"/>
      <c r="K103" s="3456"/>
      <c r="L103" s="3456"/>
      <c r="M103" s="3456"/>
      <c r="N103" s="3456"/>
      <c r="O103" s="3456"/>
      <c r="P103" s="3456"/>
      <c r="Q103" s="3456"/>
      <c r="R103" s="3456"/>
      <c r="S103" s="3456"/>
      <c r="T103" s="3456"/>
      <c r="U103" s="3456"/>
    </row>
    <row r="104" spans="1:21" s="1011" customFormat="1" ht="14.25" customHeight="1">
      <c r="A104" s="3420" t="s">
        <v>1152</v>
      </c>
      <c r="B104" s="3420" t="s">
        <v>1102</v>
      </c>
      <c r="C104" s="3420">
        <v>13610</v>
      </c>
      <c r="D104" s="3420">
        <v>13540</v>
      </c>
      <c r="E104" s="3420">
        <v>15750</v>
      </c>
      <c r="F104" s="3426">
        <v>2770</v>
      </c>
      <c r="G104" s="3426">
        <v>8940</v>
      </c>
      <c r="I104" s="1024"/>
      <c r="J104" s="3456"/>
      <c r="K104" s="3456"/>
      <c r="L104" s="3456"/>
      <c r="M104" s="3456"/>
      <c r="N104" s="3456"/>
      <c r="O104" s="3456"/>
      <c r="P104" s="3456"/>
      <c r="Q104" s="3456"/>
      <c r="R104" s="3456"/>
      <c r="S104" s="3456"/>
      <c r="T104" s="3456"/>
      <c r="U104" s="3456"/>
    </row>
    <row r="105" spans="1:21" s="1011" customFormat="1" ht="14.25" customHeight="1">
      <c r="A105" s="3420" t="s">
        <v>1152</v>
      </c>
      <c r="B105" s="3420" t="s">
        <v>1110</v>
      </c>
      <c r="C105" s="3420">
        <v>13310</v>
      </c>
      <c r="D105" s="3420">
        <v>13240</v>
      </c>
      <c r="E105" s="3420">
        <v>16280</v>
      </c>
      <c r="F105" s="3426">
        <v>3210</v>
      </c>
      <c r="G105" s="3426">
        <v>8750</v>
      </c>
      <c r="I105" s="1024"/>
      <c r="J105" s="3456"/>
      <c r="K105" s="3456"/>
      <c r="L105" s="3456"/>
      <c r="M105" s="3456"/>
      <c r="N105" s="3456"/>
      <c r="O105" s="3456"/>
      <c r="P105" s="3456"/>
      <c r="Q105" s="3456"/>
      <c r="R105" s="3456"/>
      <c r="S105" s="3456"/>
      <c r="T105" s="3456"/>
      <c r="U105" s="3456"/>
    </row>
    <row r="106" spans="1:21" s="1011" customFormat="1" ht="14.25" customHeight="1">
      <c r="A106" s="3420" t="s">
        <v>1152</v>
      </c>
      <c r="B106" s="3420" t="s">
        <v>1117</v>
      </c>
      <c r="C106" s="3420">
        <v>13010</v>
      </c>
      <c r="D106" s="3420">
        <v>12930</v>
      </c>
      <c r="E106" s="3420">
        <v>14960</v>
      </c>
      <c r="F106" s="3426">
        <v>3530</v>
      </c>
      <c r="G106" s="3426">
        <v>8550</v>
      </c>
      <c r="I106" s="1024"/>
      <c r="J106" s="3456"/>
      <c r="K106" s="3456"/>
      <c r="L106" s="3456"/>
      <c r="M106" s="3456"/>
      <c r="N106" s="3456"/>
      <c r="O106" s="3456"/>
      <c r="P106" s="3456"/>
      <c r="Q106" s="3456"/>
      <c r="R106" s="3456"/>
      <c r="S106" s="3456"/>
      <c r="T106" s="3456"/>
      <c r="U106" s="3456"/>
    </row>
    <row r="107" spans="1:21" s="1011" customFormat="1" ht="14.25" customHeight="1">
      <c r="A107" s="3420" t="s">
        <v>1152</v>
      </c>
      <c r="B107" s="3420" t="s">
        <v>1121</v>
      </c>
      <c r="C107" s="3420">
        <v>13070</v>
      </c>
      <c r="D107" s="3420">
        <v>13000</v>
      </c>
      <c r="E107" s="3420">
        <v>15910</v>
      </c>
      <c r="F107" s="3426">
        <v>3990</v>
      </c>
      <c r="G107" s="3426">
        <v>8580</v>
      </c>
      <c r="I107" s="1024"/>
      <c r="J107" s="3456"/>
      <c r="K107" s="3456"/>
      <c r="L107" s="3456"/>
      <c r="M107" s="3456"/>
      <c r="N107" s="3456"/>
      <c r="O107" s="3456"/>
      <c r="P107" s="3456"/>
      <c r="Q107" s="3456"/>
      <c r="R107" s="3456"/>
      <c r="S107" s="3456"/>
      <c r="T107" s="3456"/>
      <c r="U107" s="3456"/>
    </row>
    <row r="108" spans="1:21" s="1011" customFormat="1" ht="14.25" customHeight="1">
      <c r="A108" s="3420" t="s">
        <v>1152</v>
      </c>
      <c r="B108" s="3420" t="s">
        <v>1128</v>
      </c>
      <c r="C108" s="3420">
        <v>12640</v>
      </c>
      <c r="D108" s="3420">
        <v>12580</v>
      </c>
      <c r="E108" s="3420">
        <v>15730</v>
      </c>
      <c r="F108" s="3426"/>
      <c r="G108" s="3426">
        <v>8310</v>
      </c>
      <c r="I108" s="1024"/>
      <c r="J108" s="3456"/>
      <c r="K108" s="3456"/>
      <c r="L108" s="3456"/>
      <c r="M108" s="3456"/>
      <c r="N108" s="3456"/>
      <c r="O108" s="3456"/>
      <c r="P108" s="3456"/>
      <c r="Q108" s="3456"/>
      <c r="R108" s="3456"/>
      <c r="S108" s="3456"/>
      <c r="T108" s="3456"/>
      <c r="U108" s="3456"/>
    </row>
    <row r="109" spans="1:21" s="1011" customFormat="1" ht="14.25" customHeight="1">
      <c r="A109" s="3420" t="s">
        <v>1152</v>
      </c>
      <c r="B109" s="3420" t="s">
        <v>1131</v>
      </c>
      <c r="C109" s="3420">
        <v>13130</v>
      </c>
      <c r="D109" s="3420">
        <v>13070</v>
      </c>
      <c r="E109" s="3420">
        <v>15000</v>
      </c>
      <c r="F109" s="3426"/>
      <c r="G109" s="3433">
        <v>8630</v>
      </c>
      <c r="I109" s="1024"/>
      <c r="J109" s="3456"/>
      <c r="K109" s="3456"/>
      <c r="L109" s="3456"/>
      <c r="M109" s="3456"/>
      <c r="N109" s="3456"/>
      <c r="O109" s="3456"/>
      <c r="P109" s="3456"/>
      <c r="Q109" s="3456"/>
      <c r="R109" s="3456"/>
      <c r="S109" s="3456"/>
      <c r="T109" s="3456"/>
      <c r="U109" s="3456"/>
    </row>
    <row r="110" spans="1:21" s="1011" customFormat="1" ht="14.25" customHeight="1">
      <c r="A110" s="3420" t="s">
        <v>1152</v>
      </c>
      <c r="B110" s="1289" t="s">
        <v>1133</v>
      </c>
      <c r="C110" s="1289">
        <v>13560</v>
      </c>
      <c r="D110" s="1289">
        <v>13490</v>
      </c>
      <c r="E110" s="1289">
        <v>16300</v>
      </c>
      <c r="F110" s="3421"/>
      <c r="G110" s="3421">
        <v>8920</v>
      </c>
      <c r="I110" s="1024"/>
      <c r="J110" s="3456"/>
      <c r="K110" s="3456"/>
      <c r="L110" s="3456"/>
      <c r="M110" s="3456"/>
      <c r="N110" s="3456"/>
      <c r="O110" s="3456"/>
      <c r="P110" s="3456"/>
      <c r="Q110" s="3456"/>
      <c r="R110" s="3456"/>
      <c r="S110" s="3456"/>
      <c r="T110" s="3456"/>
      <c r="U110" s="3456"/>
    </row>
    <row r="111" spans="1:21" s="1011" customFormat="1" ht="14.25" customHeight="1">
      <c r="A111" s="3420" t="s">
        <v>1152</v>
      </c>
      <c r="B111" s="3420" t="s">
        <v>1136</v>
      </c>
      <c r="C111" s="3420">
        <v>12440</v>
      </c>
      <c r="D111" s="3420">
        <v>12380</v>
      </c>
      <c r="E111" s="3420">
        <v>17850</v>
      </c>
      <c r="F111" s="3426"/>
      <c r="G111" s="3426">
        <v>8180</v>
      </c>
      <c r="I111" s="1024"/>
      <c r="J111" s="3456"/>
      <c r="K111" s="3456"/>
      <c r="L111" s="3456"/>
      <c r="M111" s="3456"/>
      <c r="N111" s="3456"/>
      <c r="O111" s="3456"/>
      <c r="P111" s="3456"/>
      <c r="Q111" s="3456"/>
      <c r="R111" s="3456"/>
      <c r="S111" s="3456"/>
      <c r="T111" s="3456"/>
      <c r="U111" s="3456"/>
    </row>
    <row r="112" spans="1:21" s="1011" customFormat="1" ht="14.25" customHeight="1">
      <c r="A112" s="3420" t="s">
        <v>1152</v>
      </c>
      <c r="B112" s="3420" t="s">
        <v>1140</v>
      </c>
      <c r="C112" s="3420">
        <v>13260</v>
      </c>
      <c r="D112" s="3420">
        <v>13180</v>
      </c>
      <c r="E112" s="3420">
        <v>19740</v>
      </c>
      <c r="F112" s="3426"/>
      <c r="G112" s="3426">
        <v>8710</v>
      </c>
      <c r="I112" s="1024"/>
      <c r="J112" s="3456"/>
      <c r="K112" s="3456"/>
      <c r="L112" s="3456"/>
      <c r="M112" s="3456"/>
      <c r="N112" s="3456"/>
      <c r="O112" s="3456"/>
      <c r="P112" s="3456"/>
      <c r="Q112" s="3456"/>
      <c r="R112" s="3456"/>
      <c r="S112" s="3456"/>
      <c r="T112" s="3456"/>
      <c r="U112" s="3456"/>
    </row>
    <row r="113" spans="1:21" s="1011" customFormat="1" ht="14.25" customHeight="1">
      <c r="A113" s="3420" t="s">
        <v>1152</v>
      </c>
      <c r="B113" s="3420" t="s">
        <v>2843</v>
      </c>
      <c r="C113" s="3420">
        <v>15520</v>
      </c>
      <c r="D113" s="3420">
        <v>15450</v>
      </c>
      <c r="E113" s="3420"/>
      <c r="F113" s="3426"/>
      <c r="G113" s="3426">
        <v>10210</v>
      </c>
      <c r="I113" s="1024"/>
      <c r="J113" s="3456"/>
      <c r="K113" s="3456"/>
      <c r="L113" s="3456"/>
      <c r="M113" s="3456"/>
      <c r="N113" s="3456"/>
      <c r="O113" s="3456"/>
      <c r="P113" s="3456"/>
      <c r="Q113" s="3456"/>
      <c r="R113" s="3456"/>
      <c r="S113" s="3456"/>
      <c r="T113" s="3456"/>
      <c r="U113" s="3456"/>
    </row>
    <row r="114" spans="1:21" s="1011" customFormat="1" ht="14.25" customHeight="1">
      <c r="A114" s="3420" t="s">
        <v>1152</v>
      </c>
      <c r="B114" s="3420" t="s">
        <v>2844</v>
      </c>
      <c r="C114" s="3420">
        <v>13110</v>
      </c>
      <c r="D114" s="3420">
        <v>13050</v>
      </c>
      <c r="E114" s="3420"/>
      <c r="F114" s="3426"/>
      <c r="G114" s="3426">
        <v>8620</v>
      </c>
      <c r="I114" s="1024"/>
      <c r="J114" s="3456"/>
      <c r="K114" s="3456"/>
      <c r="L114" s="3456"/>
      <c r="M114" s="3456"/>
      <c r="N114" s="3456"/>
      <c r="O114" s="3456"/>
      <c r="P114" s="3456"/>
      <c r="Q114" s="3456"/>
      <c r="R114" s="3456"/>
      <c r="S114" s="3456"/>
      <c r="T114" s="3456"/>
      <c r="U114" s="3456"/>
    </row>
    <row r="115" spans="1:21" s="1011" customFormat="1" ht="14.25" customHeight="1">
      <c r="A115" s="3420" t="s">
        <v>1152</v>
      </c>
      <c r="B115" s="3420" t="s">
        <v>2845</v>
      </c>
      <c r="C115" s="3420">
        <v>12460</v>
      </c>
      <c r="D115" s="3420">
        <v>12390</v>
      </c>
      <c r="E115" s="3420"/>
      <c r="F115" s="3426"/>
      <c r="G115" s="3426">
        <v>8190</v>
      </c>
      <c r="I115" s="1024"/>
      <c r="J115" s="3456"/>
      <c r="K115" s="3456"/>
      <c r="L115" s="3456"/>
      <c r="M115" s="3456"/>
      <c r="N115" s="3456"/>
      <c r="O115" s="3456"/>
      <c r="P115" s="3456"/>
      <c r="Q115" s="3456"/>
      <c r="R115" s="3456"/>
      <c r="S115" s="3456"/>
      <c r="T115" s="3456"/>
      <c r="U115" s="3456"/>
    </row>
    <row r="116" spans="1:21" s="1011" customFormat="1" ht="14.25" customHeight="1">
      <c r="A116" s="3420" t="s">
        <v>1152</v>
      </c>
      <c r="B116" s="3420" t="s">
        <v>2846</v>
      </c>
      <c r="C116" s="3420">
        <v>13580</v>
      </c>
      <c r="D116" s="3420">
        <v>13520</v>
      </c>
      <c r="E116" s="3420"/>
      <c r="F116" s="3426"/>
      <c r="G116" s="3426">
        <v>8930</v>
      </c>
      <c r="I116" s="1024"/>
      <c r="J116" s="3456"/>
      <c r="K116" s="3456"/>
      <c r="L116" s="3456"/>
      <c r="M116" s="3456"/>
      <c r="N116" s="3456"/>
      <c r="O116" s="3456"/>
      <c r="P116" s="3456"/>
      <c r="Q116" s="3456"/>
      <c r="R116" s="3456"/>
      <c r="S116" s="3456"/>
      <c r="T116" s="3456"/>
      <c r="U116" s="3456"/>
    </row>
    <row r="117" spans="1:21" s="1011" customFormat="1" ht="14.25" customHeight="1">
      <c r="A117" s="3420" t="s">
        <v>1152</v>
      </c>
      <c r="B117" s="3420" t="s">
        <v>2847</v>
      </c>
      <c r="C117" s="3420">
        <v>17120</v>
      </c>
      <c r="D117" s="3420">
        <v>17040</v>
      </c>
      <c r="E117" s="3420"/>
      <c r="F117" s="3426"/>
      <c r="G117" s="3426">
        <v>11260</v>
      </c>
      <c r="I117" s="1024"/>
      <c r="J117" s="3456"/>
      <c r="K117" s="3456"/>
      <c r="L117" s="3456"/>
      <c r="M117" s="3456"/>
      <c r="N117" s="3456"/>
      <c r="O117" s="3456"/>
      <c r="P117" s="3456"/>
      <c r="Q117" s="3456"/>
      <c r="R117" s="3456"/>
      <c r="S117" s="3456"/>
      <c r="T117" s="3456"/>
      <c r="U117" s="3456"/>
    </row>
    <row r="118" spans="1:21" s="1011" customFormat="1" ht="14.25" customHeight="1">
      <c r="A118" s="3420" t="s">
        <v>1152</v>
      </c>
      <c r="B118" s="3420" t="s">
        <v>2848</v>
      </c>
      <c r="C118" s="3420">
        <v>14860</v>
      </c>
      <c r="D118" s="3420">
        <v>14790</v>
      </c>
      <c r="E118" s="3420"/>
      <c r="F118" s="3426"/>
      <c r="G118" s="3426">
        <v>9780</v>
      </c>
      <c r="I118" s="1024"/>
      <c r="J118" s="3456"/>
      <c r="K118" s="3456"/>
      <c r="L118" s="3456"/>
      <c r="M118" s="3456"/>
      <c r="N118" s="3456"/>
      <c r="O118" s="3456"/>
      <c r="P118" s="3456"/>
      <c r="Q118" s="3456"/>
      <c r="R118" s="3456"/>
      <c r="S118" s="3456"/>
      <c r="T118" s="3456"/>
      <c r="U118" s="3456"/>
    </row>
    <row r="119" spans="1:21" s="1011" customFormat="1" ht="14.25" customHeight="1">
      <c r="A119" s="3420" t="s">
        <v>1152</v>
      </c>
      <c r="B119" s="3420" t="s">
        <v>2849</v>
      </c>
      <c r="C119" s="3420">
        <v>16470</v>
      </c>
      <c r="D119" s="3420">
        <v>16400</v>
      </c>
      <c r="E119" s="3420"/>
      <c r="F119" s="3426"/>
      <c r="G119" s="3426">
        <v>10840</v>
      </c>
      <c r="I119" s="1024"/>
      <c r="J119" s="3456"/>
      <c r="K119" s="3456"/>
      <c r="L119" s="3456"/>
      <c r="M119" s="3456"/>
      <c r="N119" s="3456"/>
      <c r="O119" s="3456"/>
      <c r="P119" s="3456"/>
      <c r="Q119" s="3456"/>
      <c r="R119" s="3456"/>
      <c r="S119" s="3456"/>
      <c r="T119" s="3456"/>
      <c r="U119" s="3456"/>
    </row>
    <row r="120" spans="1:21" s="1011" customFormat="1" ht="14.25" customHeight="1">
      <c r="A120" s="3420" t="s">
        <v>1152</v>
      </c>
      <c r="B120" s="3420" t="s">
        <v>2850</v>
      </c>
      <c r="C120" s="3420"/>
      <c r="D120" s="3420"/>
      <c r="E120" s="3420"/>
      <c r="F120" s="3426">
        <v>4160</v>
      </c>
      <c r="G120" s="3426"/>
      <c r="I120" s="1024"/>
      <c r="J120" s="3456"/>
      <c r="K120" s="3456"/>
      <c r="L120" s="3456"/>
      <c r="M120" s="3456"/>
      <c r="N120" s="3456"/>
      <c r="O120" s="3456"/>
      <c r="P120" s="3456"/>
      <c r="Q120" s="3456"/>
      <c r="R120" s="3456"/>
      <c r="S120" s="3456"/>
      <c r="T120" s="3456"/>
      <c r="U120" s="3456"/>
    </row>
    <row r="121" spans="1:21" s="1011" customFormat="1" ht="14.25" customHeight="1">
      <c r="A121" s="3420" t="s">
        <v>1152</v>
      </c>
      <c r="B121" s="3420" t="s">
        <v>2851</v>
      </c>
      <c r="C121" s="3420"/>
      <c r="D121" s="3420"/>
      <c r="E121" s="3420"/>
      <c r="F121" s="3426">
        <v>3880</v>
      </c>
      <c r="G121" s="3426"/>
      <c r="I121" s="1024"/>
      <c r="J121" s="3456"/>
      <c r="K121" s="3456"/>
      <c r="L121" s="3456"/>
      <c r="M121" s="3456"/>
      <c r="N121" s="3456"/>
      <c r="O121" s="3456"/>
      <c r="P121" s="3456"/>
      <c r="Q121" s="3456"/>
      <c r="R121" s="3456"/>
      <c r="S121" s="3456"/>
      <c r="T121" s="3456"/>
      <c r="U121" s="3456"/>
    </row>
    <row r="122" spans="1:21" s="1011" customFormat="1" ht="14.25" customHeight="1">
      <c r="A122" s="3420" t="s">
        <v>1152</v>
      </c>
      <c r="B122" s="3420" t="s">
        <v>2852</v>
      </c>
      <c r="C122" s="3420">
        <v>13750</v>
      </c>
      <c r="D122" s="3420">
        <v>13680</v>
      </c>
      <c r="E122" s="3420">
        <v>16460</v>
      </c>
      <c r="F122" s="3426">
        <v>2880</v>
      </c>
      <c r="G122" s="3426">
        <v>9040</v>
      </c>
      <c r="I122" s="1024"/>
      <c r="J122" s="3456"/>
      <c r="K122" s="3456"/>
      <c r="L122" s="3456"/>
      <c r="M122" s="3456"/>
      <c r="N122" s="3456"/>
      <c r="O122" s="3456"/>
      <c r="P122" s="3456"/>
      <c r="Q122" s="3456"/>
      <c r="R122" s="3456"/>
      <c r="S122" s="3456"/>
      <c r="T122" s="3456"/>
      <c r="U122" s="3456"/>
    </row>
    <row r="123" spans="1:21" s="1011" customFormat="1" ht="14.25" customHeight="1">
      <c r="A123" s="3420" t="s">
        <v>1152</v>
      </c>
      <c r="B123" s="3420" t="s">
        <v>2853</v>
      </c>
      <c r="C123" s="3420">
        <v>13590</v>
      </c>
      <c r="D123" s="3420">
        <v>13520</v>
      </c>
      <c r="E123" s="3420">
        <v>16290</v>
      </c>
      <c r="F123" s="3426">
        <v>2790</v>
      </c>
      <c r="G123" s="3426">
        <v>8930</v>
      </c>
      <c r="I123" s="1024"/>
      <c r="J123" s="3456"/>
      <c r="K123" s="3456"/>
      <c r="L123" s="3456"/>
      <c r="M123" s="3456"/>
      <c r="N123" s="3456"/>
      <c r="O123" s="3456"/>
      <c r="P123" s="3456"/>
      <c r="Q123" s="3456"/>
      <c r="R123" s="3456"/>
      <c r="S123" s="3456"/>
      <c r="T123" s="3456"/>
      <c r="U123" s="3456"/>
    </row>
    <row r="124" spans="1:21" s="1011" customFormat="1" ht="14.25" customHeight="1">
      <c r="A124" s="3420" t="s">
        <v>1152</v>
      </c>
      <c r="B124" s="3420" t="s">
        <v>2854</v>
      </c>
      <c r="C124" s="3420">
        <v>13400</v>
      </c>
      <c r="D124" s="3420">
        <v>13320</v>
      </c>
      <c r="E124" s="3420">
        <v>16100</v>
      </c>
      <c r="F124" s="3426">
        <v>2320</v>
      </c>
      <c r="G124" s="3428">
        <v>8800</v>
      </c>
      <c r="I124" s="1024"/>
      <c r="J124" s="3456"/>
      <c r="K124" s="3456"/>
      <c r="L124" s="3456"/>
      <c r="M124" s="3456"/>
      <c r="N124" s="3456"/>
      <c r="O124" s="3456"/>
      <c r="P124" s="3456"/>
      <c r="Q124" s="3456"/>
      <c r="R124" s="3456"/>
      <c r="S124" s="3456"/>
      <c r="T124" s="3456"/>
      <c r="U124" s="3456"/>
    </row>
    <row r="125" spans="1:21" s="1011" customFormat="1" ht="14.25" customHeight="1">
      <c r="A125" s="3420" t="s">
        <v>1152</v>
      </c>
      <c r="B125" s="1287" t="s">
        <v>2855</v>
      </c>
      <c r="C125" s="1287">
        <v>12860</v>
      </c>
      <c r="D125" s="1287">
        <v>12790</v>
      </c>
      <c r="E125" s="1287">
        <v>15370</v>
      </c>
      <c r="F125" s="3431">
        <v>2280</v>
      </c>
      <c r="G125" s="3438">
        <v>8450</v>
      </c>
      <c r="I125" s="1024"/>
      <c r="J125" s="3456"/>
      <c r="K125" s="3456"/>
      <c r="L125" s="3456"/>
      <c r="M125" s="3456"/>
      <c r="N125" s="3456"/>
      <c r="O125" s="3456"/>
      <c r="P125" s="3456"/>
      <c r="Q125" s="3456"/>
      <c r="R125" s="3456"/>
      <c r="S125" s="3456"/>
      <c r="T125" s="3456"/>
      <c r="U125" s="3456"/>
    </row>
    <row r="126" spans="1:21" s="1011" customFormat="1" ht="14.25" customHeight="1" thickBot="1">
      <c r="A126" s="3435" t="s">
        <v>1152</v>
      </c>
      <c r="B126" s="3423" t="s">
        <v>2856</v>
      </c>
      <c r="C126" s="3423">
        <v>12960</v>
      </c>
      <c r="D126" s="3423">
        <v>12890</v>
      </c>
      <c r="E126" s="3423">
        <v>15530</v>
      </c>
      <c r="F126" s="3424">
        <v>2910</v>
      </c>
      <c r="G126" s="3439">
        <v>8520</v>
      </c>
      <c r="I126" s="1024"/>
      <c r="J126" s="3456"/>
      <c r="K126" s="3456"/>
      <c r="L126" s="3456"/>
      <c r="M126" s="3456"/>
      <c r="N126" s="3456"/>
      <c r="O126" s="3456"/>
      <c r="P126" s="3456"/>
      <c r="Q126" s="3456"/>
      <c r="R126" s="3456"/>
      <c r="S126" s="3456"/>
      <c r="T126" s="3456"/>
      <c r="U126" s="3456"/>
    </row>
    <row r="127" spans="1:21" s="1011" customFormat="1" ht="14.25" customHeight="1">
      <c r="A127" s="3434" t="s">
        <v>1153</v>
      </c>
      <c r="B127" s="1289" t="s">
        <v>2857</v>
      </c>
      <c r="C127" s="1289">
        <v>12280</v>
      </c>
      <c r="D127" s="1289">
        <v>12250</v>
      </c>
      <c r="E127" s="1289">
        <v>15130</v>
      </c>
      <c r="F127" s="3421">
        <v>2710</v>
      </c>
      <c r="G127" s="3437">
        <v>7870</v>
      </c>
      <c r="I127" s="1024"/>
      <c r="J127" s="3456"/>
      <c r="K127" s="3456"/>
      <c r="L127" s="3456"/>
      <c r="M127" s="3456"/>
      <c r="N127" s="3456"/>
      <c r="O127" s="3456"/>
      <c r="P127" s="3456"/>
      <c r="Q127" s="3456"/>
      <c r="R127" s="3456"/>
      <c r="S127" s="3456"/>
      <c r="T127" s="3456"/>
      <c r="U127" s="3456"/>
    </row>
    <row r="128" spans="1:21" s="1011" customFormat="1" ht="14.25" customHeight="1">
      <c r="A128" s="3420" t="s">
        <v>1153</v>
      </c>
      <c r="B128" s="3420" t="s">
        <v>977</v>
      </c>
      <c r="C128" s="3420">
        <v>13180</v>
      </c>
      <c r="D128" s="3420">
        <v>13150</v>
      </c>
      <c r="E128" s="3420">
        <v>16190</v>
      </c>
      <c r="F128" s="3426">
        <v>2820</v>
      </c>
      <c r="G128" s="3428">
        <v>8460</v>
      </c>
      <c r="I128" s="1024"/>
      <c r="J128" s="3456"/>
      <c r="K128" s="3456"/>
      <c r="L128" s="3456"/>
      <c r="M128" s="3456"/>
      <c r="N128" s="3456"/>
      <c r="O128" s="3456"/>
      <c r="P128" s="3456"/>
      <c r="Q128" s="3456"/>
      <c r="R128" s="3456"/>
      <c r="S128" s="3456"/>
      <c r="T128" s="3456"/>
      <c r="U128" s="3456"/>
    </row>
    <row r="129" spans="1:21" s="1011" customFormat="1" ht="14.25" customHeight="1">
      <c r="A129" s="3420" t="s">
        <v>1153</v>
      </c>
      <c r="B129" s="3420" t="s">
        <v>987</v>
      </c>
      <c r="C129" s="3420">
        <v>10950</v>
      </c>
      <c r="D129" s="3420">
        <v>10920</v>
      </c>
      <c r="E129" s="3420">
        <v>13820</v>
      </c>
      <c r="F129" s="3426">
        <v>2500</v>
      </c>
      <c r="G129" s="3428">
        <v>7020</v>
      </c>
      <c r="I129" s="1024"/>
      <c r="J129" s="3456"/>
      <c r="K129" s="3456"/>
      <c r="L129" s="3456"/>
      <c r="M129" s="3456"/>
      <c r="N129" s="3456"/>
      <c r="O129" s="3456"/>
      <c r="P129" s="3456"/>
      <c r="Q129" s="3456"/>
      <c r="R129" s="3456"/>
      <c r="S129" s="3456"/>
      <c r="T129" s="3456"/>
      <c r="U129" s="3456"/>
    </row>
    <row r="130" spans="1:21" s="1011" customFormat="1" ht="14.25" customHeight="1">
      <c r="A130" s="3420" t="s">
        <v>1153</v>
      </c>
      <c r="B130" s="3420" t="s">
        <v>996</v>
      </c>
      <c r="C130" s="3420">
        <v>10910</v>
      </c>
      <c r="D130" s="3420">
        <v>10860</v>
      </c>
      <c r="E130" s="3420">
        <v>13730</v>
      </c>
      <c r="F130" s="3426">
        <v>2760</v>
      </c>
      <c r="G130" s="3428">
        <v>6990</v>
      </c>
      <c r="I130" s="1024"/>
      <c r="J130" s="3456"/>
      <c r="K130" s="3456"/>
      <c r="L130" s="3456"/>
      <c r="M130" s="3456"/>
      <c r="N130" s="3456"/>
      <c r="O130" s="3456"/>
      <c r="P130" s="3456"/>
      <c r="Q130" s="3456"/>
      <c r="R130" s="3456"/>
      <c r="S130" s="3456"/>
      <c r="T130" s="3456"/>
      <c r="U130" s="3456"/>
    </row>
    <row r="131" spans="1:21" s="1011" customFormat="1" ht="14.25" customHeight="1">
      <c r="A131" s="3420" t="s">
        <v>1153</v>
      </c>
      <c r="B131" s="3420" t="s">
        <v>1006</v>
      </c>
      <c r="C131" s="3420">
        <v>12910</v>
      </c>
      <c r="D131" s="3420">
        <v>12870</v>
      </c>
      <c r="E131" s="3420">
        <v>15720</v>
      </c>
      <c r="F131" s="3426">
        <v>2750</v>
      </c>
      <c r="G131" s="3428">
        <v>8280</v>
      </c>
      <c r="I131" s="1024"/>
      <c r="J131" s="3456"/>
      <c r="K131" s="3456"/>
      <c r="L131" s="3456"/>
      <c r="M131" s="3456"/>
      <c r="N131" s="3456"/>
      <c r="O131" s="3456"/>
      <c r="P131" s="3456"/>
      <c r="Q131" s="3456"/>
      <c r="R131" s="3456"/>
      <c r="S131" s="3456"/>
      <c r="T131" s="3456"/>
      <c r="U131" s="3456"/>
    </row>
    <row r="132" spans="1:21" s="1011" customFormat="1" ht="14.25" customHeight="1">
      <c r="A132" s="3420" t="s">
        <v>1153</v>
      </c>
      <c r="B132" s="3420" t="s">
        <v>1013</v>
      </c>
      <c r="C132" s="3420">
        <v>11910</v>
      </c>
      <c r="D132" s="3420">
        <v>11860</v>
      </c>
      <c r="E132" s="3420">
        <v>14730</v>
      </c>
      <c r="F132" s="3426">
        <v>2360</v>
      </c>
      <c r="G132" s="3428">
        <v>7630</v>
      </c>
      <c r="I132" s="1024"/>
      <c r="J132" s="3456"/>
      <c r="K132" s="3456"/>
      <c r="L132" s="3456"/>
      <c r="M132" s="3456"/>
      <c r="N132" s="3456"/>
      <c r="O132" s="3456"/>
      <c r="P132" s="3456"/>
      <c r="Q132" s="3456"/>
      <c r="R132" s="3456"/>
      <c r="S132" s="3456"/>
      <c r="T132" s="3456"/>
      <c r="U132" s="3456"/>
    </row>
    <row r="133" spans="1:21" s="1011" customFormat="1" ht="14.25" customHeight="1">
      <c r="A133" s="3420" t="s">
        <v>1153</v>
      </c>
      <c r="B133" s="3420" t="s">
        <v>1019</v>
      </c>
      <c r="C133" s="3420">
        <v>12270</v>
      </c>
      <c r="D133" s="3420">
        <v>12210</v>
      </c>
      <c r="E133" s="3420">
        <v>15010</v>
      </c>
      <c r="F133" s="3426">
        <v>2580</v>
      </c>
      <c r="G133" s="3428">
        <v>7860</v>
      </c>
      <c r="I133" s="1024"/>
      <c r="J133" s="3456"/>
      <c r="K133" s="3456"/>
      <c r="L133" s="3456"/>
      <c r="M133" s="3456"/>
      <c r="N133" s="3456"/>
      <c r="O133" s="3456"/>
      <c r="P133" s="3456"/>
      <c r="Q133" s="3456"/>
      <c r="R133" s="3456"/>
      <c r="S133" s="3456"/>
      <c r="T133" s="3456"/>
      <c r="U133" s="3456"/>
    </row>
    <row r="134" spans="1:21" s="1011" customFormat="1" ht="14.25" customHeight="1">
      <c r="A134" s="3420" t="s">
        <v>1153</v>
      </c>
      <c r="B134" s="3420" t="s">
        <v>1026</v>
      </c>
      <c r="C134" s="3420">
        <v>10800</v>
      </c>
      <c r="D134" s="3420">
        <v>10780</v>
      </c>
      <c r="E134" s="3420">
        <v>13640</v>
      </c>
      <c r="F134" s="3426">
        <v>2110</v>
      </c>
      <c r="G134" s="3426">
        <v>6930</v>
      </c>
      <c r="I134" s="1024"/>
      <c r="J134" s="3456"/>
      <c r="K134" s="3456"/>
      <c r="L134" s="3456"/>
      <c r="M134" s="3456"/>
      <c r="N134" s="3456"/>
      <c r="O134" s="3456"/>
      <c r="P134" s="3456"/>
      <c r="Q134" s="3456"/>
      <c r="R134" s="3456"/>
      <c r="S134" s="3456"/>
      <c r="T134" s="3456"/>
      <c r="U134" s="3456"/>
    </row>
    <row r="135" spans="1:21" s="1011" customFormat="1" ht="14.25" customHeight="1">
      <c r="A135" s="3420" t="s">
        <v>1153</v>
      </c>
      <c r="B135" s="3420" t="s">
        <v>1036</v>
      </c>
      <c r="C135" s="3420">
        <v>10430</v>
      </c>
      <c r="D135" s="3420">
        <v>10390</v>
      </c>
      <c r="E135" s="3420">
        <v>13140</v>
      </c>
      <c r="F135" s="3426">
        <v>2240</v>
      </c>
      <c r="G135" s="3428">
        <v>6680</v>
      </c>
      <c r="I135" s="1024"/>
      <c r="J135" s="3456"/>
      <c r="K135" s="3456"/>
      <c r="L135" s="3456"/>
      <c r="M135" s="3456"/>
      <c r="N135" s="3456"/>
      <c r="O135" s="3456"/>
      <c r="P135" s="3456"/>
      <c r="Q135" s="3456"/>
      <c r="R135" s="3456"/>
      <c r="S135" s="3456"/>
      <c r="T135" s="3456"/>
      <c r="U135" s="3456"/>
    </row>
    <row r="136" spans="1:21" s="1011" customFormat="1" ht="14.25" customHeight="1">
      <c r="A136" s="3420" t="s">
        <v>1153</v>
      </c>
      <c r="B136" s="3420" t="s">
        <v>1045</v>
      </c>
      <c r="C136" s="3420">
        <v>11930</v>
      </c>
      <c r="D136" s="3420">
        <v>11880</v>
      </c>
      <c r="E136" s="3420">
        <v>14770</v>
      </c>
      <c r="F136" s="3426">
        <v>1970</v>
      </c>
      <c r="G136" s="3428">
        <v>7640</v>
      </c>
      <c r="I136" s="1024"/>
      <c r="J136" s="3456"/>
      <c r="K136" s="3456"/>
      <c r="L136" s="3456"/>
      <c r="M136" s="3456"/>
      <c r="N136" s="3456"/>
      <c r="O136" s="3456"/>
      <c r="P136" s="3456"/>
      <c r="Q136" s="3456"/>
      <c r="R136" s="3456"/>
      <c r="S136" s="3456"/>
      <c r="T136" s="3456"/>
      <c r="U136" s="3456"/>
    </row>
    <row r="137" spans="1:21" s="1011" customFormat="1" ht="14.25" customHeight="1">
      <c r="A137" s="3420" t="s">
        <v>1153</v>
      </c>
      <c r="B137" s="3420" t="s">
        <v>1052</v>
      </c>
      <c r="C137" s="3420">
        <v>10470</v>
      </c>
      <c r="D137" s="3420">
        <v>10430</v>
      </c>
      <c r="E137" s="3420">
        <v>13190</v>
      </c>
      <c r="F137" s="3426">
        <v>1990</v>
      </c>
      <c r="G137" s="3428">
        <v>6710</v>
      </c>
      <c r="I137" s="1024"/>
      <c r="J137" s="3456"/>
      <c r="K137" s="3456"/>
      <c r="L137" s="3456"/>
      <c r="M137" s="3456"/>
      <c r="N137" s="3456"/>
      <c r="O137" s="3456"/>
      <c r="P137" s="3456"/>
      <c r="Q137" s="3456"/>
      <c r="R137" s="3456"/>
      <c r="S137" s="3456"/>
      <c r="T137" s="3456"/>
      <c r="U137" s="3456"/>
    </row>
    <row r="138" spans="1:21" s="1011" customFormat="1" ht="14.25" customHeight="1">
      <c r="A138" s="3420" t="s">
        <v>1153</v>
      </c>
      <c r="B138" s="3420" t="s">
        <v>1059</v>
      </c>
      <c r="C138" s="3420">
        <v>10410</v>
      </c>
      <c r="D138" s="3420">
        <v>10380</v>
      </c>
      <c r="E138" s="3420">
        <v>13130</v>
      </c>
      <c r="F138" s="3426">
        <v>2030</v>
      </c>
      <c r="G138" s="3428">
        <v>6680</v>
      </c>
      <c r="I138" s="1024"/>
      <c r="J138" s="3456"/>
      <c r="K138" s="3456"/>
      <c r="L138" s="3456"/>
      <c r="M138" s="3456"/>
      <c r="N138" s="3456"/>
      <c r="O138" s="3456"/>
      <c r="P138" s="3456"/>
      <c r="Q138" s="3456"/>
      <c r="R138" s="3456"/>
      <c r="S138" s="3456"/>
      <c r="T138" s="3456"/>
      <c r="U138" s="3456"/>
    </row>
    <row r="139" spans="1:21" s="1011" customFormat="1" ht="14.25" customHeight="1">
      <c r="A139" s="3420" t="s">
        <v>1153</v>
      </c>
      <c r="B139" s="3420" t="s">
        <v>1066</v>
      </c>
      <c r="C139" s="3420">
        <v>9460</v>
      </c>
      <c r="D139" s="3420">
        <v>9410</v>
      </c>
      <c r="E139" s="3420">
        <v>12050</v>
      </c>
      <c r="F139" s="3426">
        <v>2140</v>
      </c>
      <c r="G139" s="3426">
        <v>6050</v>
      </c>
      <c r="I139" s="1024"/>
      <c r="J139" s="3456"/>
      <c r="K139" s="3456"/>
      <c r="L139" s="3456"/>
      <c r="M139" s="3456"/>
      <c r="N139" s="3456"/>
      <c r="O139" s="3456"/>
      <c r="P139" s="3456"/>
      <c r="Q139" s="3456"/>
      <c r="R139" s="3456"/>
      <c r="S139" s="3456"/>
      <c r="T139" s="3456"/>
      <c r="U139" s="3456"/>
    </row>
    <row r="140" spans="1:21" s="1011" customFormat="1" ht="14.25" customHeight="1">
      <c r="A140" s="3420" t="s">
        <v>1153</v>
      </c>
      <c r="B140" s="3420" t="s">
        <v>1074</v>
      </c>
      <c r="C140" s="3420">
        <v>11030</v>
      </c>
      <c r="D140" s="3420">
        <v>10980</v>
      </c>
      <c r="E140" s="3420">
        <v>13880</v>
      </c>
      <c r="F140" s="3426">
        <v>2210</v>
      </c>
      <c r="G140" s="3426">
        <v>7060</v>
      </c>
      <c r="I140" s="1024"/>
      <c r="J140" s="3456"/>
      <c r="K140" s="3456"/>
      <c r="L140" s="3456"/>
      <c r="M140" s="3456"/>
      <c r="N140" s="3456"/>
      <c r="O140" s="3456"/>
      <c r="P140" s="3456"/>
      <c r="Q140" s="3456"/>
      <c r="R140" s="3456"/>
      <c r="S140" s="3456"/>
      <c r="T140" s="3456"/>
      <c r="U140" s="3456"/>
    </row>
    <row r="141" spans="1:21" s="1011" customFormat="1" ht="14.25" customHeight="1">
      <c r="A141" s="3420" t="s">
        <v>1153</v>
      </c>
      <c r="B141" s="3420" t="s">
        <v>1082</v>
      </c>
      <c r="C141" s="3420">
        <v>11200</v>
      </c>
      <c r="D141" s="3420">
        <v>11150</v>
      </c>
      <c r="E141" s="3420">
        <v>14100</v>
      </c>
      <c r="F141" s="3426">
        <v>2470</v>
      </c>
      <c r="G141" s="3428">
        <v>7170</v>
      </c>
      <c r="I141" s="1024"/>
      <c r="J141" s="3456"/>
      <c r="K141" s="3456"/>
      <c r="L141" s="3456"/>
      <c r="M141" s="3456"/>
      <c r="N141" s="3456"/>
      <c r="O141" s="3456"/>
      <c r="P141" s="3456"/>
      <c r="Q141" s="3456"/>
      <c r="R141" s="3456"/>
      <c r="S141" s="3456"/>
      <c r="T141" s="3456"/>
      <c r="U141" s="3456"/>
    </row>
    <row r="142" spans="1:21" s="1011" customFormat="1" ht="14.25" customHeight="1">
      <c r="A142" s="3420" t="s">
        <v>1153</v>
      </c>
      <c r="B142" s="3420" t="s">
        <v>1087</v>
      </c>
      <c r="C142" s="3420">
        <v>10780</v>
      </c>
      <c r="D142" s="3420">
        <v>10730</v>
      </c>
      <c r="E142" s="3420">
        <v>13540</v>
      </c>
      <c r="F142" s="3426">
        <v>2280</v>
      </c>
      <c r="G142" s="3428">
        <v>6900</v>
      </c>
      <c r="I142" s="1024"/>
      <c r="J142" s="3456"/>
      <c r="K142" s="3456"/>
      <c r="L142" s="3456"/>
      <c r="M142" s="3456"/>
      <c r="N142" s="3456"/>
      <c r="O142" s="3456"/>
      <c r="P142" s="3456"/>
      <c r="Q142" s="3456"/>
      <c r="R142" s="3456"/>
      <c r="S142" s="3456"/>
      <c r="T142" s="3456"/>
      <c r="U142" s="3456"/>
    </row>
    <row r="143" spans="1:21" s="1011" customFormat="1" ht="14.25" customHeight="1">
      <c r="A143" s="3420" t="s">
        <v>1153</v>
      </c>
      <c r="B143" s="3420" t="s">
        <v>1096</v>
      </c>
      <c r="C143" s="3420">
        <v>11550</v>
      </c>
      <c r="D143" s="3420">
        <v>11490</v>
      </c>
      <c r="E143" s="3420">
        <v>14480</v>
      </c>
      <c r="F143" s="3426">
        <v>2070</v>
      </c>
      <c r="G143" s="3428">
        <v>7390</v>
      </c>
      <c r="I143" s="1024"/>
      <c r="J143" s="3456"/>
      <c r="K143" s="3456"/>
      <c r="L143" s="3456"/>
      <c r="M143" s="3456"/>
      <c r="N143" s="3456"/>
      <c r="O143" s="3456"/>
      <c r="P143" s="3456"/>
      <c r="Q143" s="3456"/>
      <c r="R143" s="3456"/>
      <c r="S143" s="3456"/>
      <c r="T143" s="3456"/>
      <c r="U143" s="3456"/>
    </row>
    <row r="144" spans="1:21" s="1011" customFormat="1" ht="14.25" customHeight="1">
      <c r="A144" s="3420" t="s">
        <v>1153</v>
      </c>
      <c r="B144" s="3420" t="s">
        <v>1103</v>
      </c>
      <c r="C144" s="3420">
        <v>10720</v>
      </c>
      <c r="D144" s="3420">
        <v>10680</v>
      </c>
      <c r="E144" s="3420">
        <v>13480</v>
      </c>
      <c r="F144" s="3426">
        <v>2440</v>
      </c>
      <c r="G144" s="3428">
        <v>6870</v>
      </c>
      <c r="I144" s="1024"/>
      <c r="J144" s="3456"/>
      <c r="K144" s="3456"/>
      <c r="L144" s="3456"/>
      <c r="M144" s="3456"/>
      <c r="N144" s="3456"/>
      <c r="O144" s="3456"/>
      <c r="P144" s="3456"/>
      <c r="Q144" s="3456"/>
      <c r="R144" s="3456"/>
      <c r="S144" s="3456"/>
      <c r="T144" s="3456"/>
      <c r="U144" s="3456"/>
    </row>
    <row r="145" spans="1:21" s="1011" customFormat="1" ht="14.25" customHeight="1">
      <c r="A145" s="3420" t="s">
        <v>1153</v>
      </c>
      <c r="B145" s="3420" t="s">
        <v>1111</v>
      </c>
      <c r="C145" s="3420">
        <v>10340</v>
      </c>
      <c r="D145" s="3420">
        <v>10290</v>
      </c>
      <c r="E145" s="3420">
        <v>12880</v>
      </c>
      <c r="F145" s="3426">
        <v>2650</v>
      </c>
      <c r="G145" s="3426">
        <v>6620</v>
      </c>
      <c r="I145" s="1024"/>
      <c r="J145" s="3456"/>
      <c r="K145" s="3456"/>
      <c r="L145" s="3456"/>
      <c r="M145" s="3456"/>
      <c r="N145" s="3456"/>
      <c r="O145" s="3456"/>
      <c r="P145" s="3456"/>
      <c r="Q145" s="3456"/>
      <c r="R145" s="3456"/>
      <c r="S145" s="3456"/>
      <c r="T145" s="3456"/>
      <c r="U145" s="3456"/>
    </row>
    <row r="146" spans="1:21" s="1011" customFormat="1" ht="14.25" customHeight="1">
      <c r="A146" s="3420" t="s">
        <v>1153</v>
      </c>
      <c r="B146" s="3420" t="s">
        <v>1118</v>
      </c>
      <c r="C146" s="3420">
        <v>11890</v>
      </c>
      <c r="D146" s="3420">
        <v>11830</v>
      </c>
      <c r="E146" s="3420">
        <v>14670</v>
      </c>
      <c r="F146" s="3426"/>
      <c r="G146" s="3426">
        <v>7610</v>
      </c>
      <c r="I146" s="1024"/>
      <c r="J146" s="3456"/>
      <c r="K146" s="3456"/>
      <c r="L146" s="3456"/>
      <c r="M146" s="3456"/>
      <c r="N146" s="3456"/>
      <c r="O146" s="3456"/>
      <c r="P146" s="3456"/>
      <c r="Q146" s="3456"/>
      <c r="R146" s="3456"/>
      <c r="S146" s="3456"/>
      <c r="T146" s="3456"/>
      <c r="U146" s="3456"/>
    </row>
    <row r="147" spans="1:21" s="1011" customFormat="1" ht="14.25" customHeight="1">
      <c r="A147" s="3420" t="s">
        <v>1153</v>
      </c>
      <c r="B147" s="3420" t="s">
        <v>1122</v>
      </c>
      <c r="C147" s="3420">
        <v>12650</v>
      </c>
      <c r="D147" s="3420">
        <v>12600</v>
      </c>
      <c r="E147" s="3420">
        <v>15440</v>
      </c>
      <c r="F147" s="3426"/>
      <c r="G147" s="3426">
        <v>8110</v>
      </c>
      <c r="I147" s="1024"/>
      <c r="J147" s="3456"/>
      <c r="K147" s="3456"/>
      <c r="L147" s="3456"/>
      <c r="M147" s="3456"/>
      <c r="N147" s="3456"/>
      <c r="O147" s="3456"/>
      <c r="P147" s="3456"/>
      <c r="Q147" s="3456"/>
      <c r="R147" s="3456"/>
      <c r="S147" s="3456"/>
      <c r="T147" s="3456"/>
      <c r="U147" s="3456"/>
    </row>
    <row r="148" spans="1:21" s="1011" customFormat="1" ht="14.25" customHeight="1">
      <c r="A148" s="3420" t="s">
        <v>1153</v>
      </c>
      <c r="B148" s="3420" t="s">
        <v>2858</v>
      </c>
      <c r="C148" s="3420">
        <v>10370</v>
      </c>
      <c r="D148" s="3420">
        <v>10310</v>
      </c>
      <c r="E148" s="3420">
        <v>12970</v>
      </c>
      <c r="F148" s="3426"/>
      <c r="G148" s="3426">
        <v>6630</v>
      </c>
      <c r="I148" s="1024"/>
      <c r="J148" s="3456"/>
      <c r="K148" s="3456"/>
      <c r="L148" s="3456"/>
      <c r="M148" s="3456"/>
      <c r="N148" s="3456"/>
      <c r="O148" s="3456"/>
      <c r="P148" s="3456"/>
      <c r="Q148" s="3456"/>
      <c r="R148" s="3456"/>
      <c r="S148" s="3456"/>
      <c r="T148" s="3456"/>
      <c r="U148" s="3456"/>
    </row>
    <row r="149" spans="1:21" s="1011" customFormat="1" ht="14.25" customHeight="1">
      <c r="A149" s="3420" t="s">
        <v>1153</v>
      </c>
      <c r="B149" s="3420" t="s">
        <v>2859</v>
      </c>
      <c r="C149" s="3420">
        <v>11600</v>
      </c>
      <c r="D149" s="3420">
        <v>11560</v>
      </c>
      <c r="E149" s="3420">
        <v>14540</v>
      </c>
      <c r="F149" s="3426">
        <v>2390</v>
      </c>
      <c r="G149" s="3426">
        <v>7430</v>
      </c>
      <c r="I149" s="1024"/>
      <c r="J149" s="3456"/>
      <c r="K149" s="3456"/>
      <c r="L149" s="3456"/>
      <c r="M149" s="3456"/>
      <c r="N149" s="3456"/>
      <c r="O149" s="3456"/>
      <c r="P149" s="3456"/>
      <c r="Q149" s="3456"/>
      <c r="R149" s="3456"/>
      <c r="S149" s="3456"/>
      <c r="T149" s="3456"/>
      <c r="U149" s="3456"/>
    </row>
    <row r="150" spans="1:21" s="1011" customFormat="1" ht="14.25" customHeight="1">
      <c r="A150" s="3420" t="s">
        <v>1153</v>
      </c>
      <c r="B150" s="3420" t="s">
        <v>1141</v>
      </c>
      <c r="C150" s="3420">
        <v>9950</v>
      </c>
      <c r="D150" s="3420">
        <v>9890</v>
      </c>
      <c r="E150" s="3420">
        <v>12590</v>
      </c>
      <c r="F150" s="3426">
        <v>1970</v>
      </c>
      <c r="G150" s="3426">
        <v>6360</v>
      </c>
      <c r="I150" s="1024"/>
      <c r="J150" s="3456"/>
      <c r="K150" s="3456"/>
      <c r="L150" s="3456"/>
      <c r="M150" s="3456"/>
      <c r="N150" s="3456"/>
      <c r="O150" s="3456"/>
      <c r="P150" s="3456"/>
      <c r="Q150" s="3456"/>
      <c r="R150" s="3456"/>
      <c r="S150" s="3456"/>
      <c r="T150" s="3456"/>
      <c r="U150" s="3456"/>
    </row>
    <row r="151" spans="1:21" s="1011" customFormat="1" ht="14.25" customHeight="1">
      <c r="A151" s="3420" t="s">
        <v>1153</v>
      </c>
      <c r="B151" s="3420" t="s">
        <v>1143</v>
      </c>
      <c r="C151" s="3420">
        <v>10700</v>
      </c>
      <c r="D151" s="3420">
        <v>10650</v>
      </c>
      <c r="E151" s="3420">
        <v>13420</v>
      </c>
      <c r="F151" s="3426">
        <v>2020</v>
      </c>
      <c r="G151" s="3426">
        <v>6850</v>
      </c>
      <c r="I151" s="1024"/>
      <c r="J151" s="3456"/>
      <c r="K151" s="3456"/>
      <c r="L151" s="3456"/>
      <c r="M151" s="3456"/>
      <c r="N151" s="3456"/>
      <c r="O151" s="3456"/>
      <c r="P151" s="3456"/>
      <c r="Q151" s="3456"/>
      <c r="R151" s="3456"/>
      <c r="S151" s="3456"/>
      <c r="T151" s="3456"/>
      <c r="U151" s="3456"/>
    </row>
    <row r="152" spans="1:21" s="1011" customFormat="1" ht="14.25" customHeight="1">
      <c r="A152" s="3420" t="s">
        <v>1153</v>
      </c>
      <c r="B152" s="3420" t="s">
        <v>1146</v>
      </c>
      <c r="C152" s="3420">
        <v>10310</v>
      </c>
      <c r="D152" s="3420">
        <v>10260</v>
      </c>
      <c r="E152" s="3420">
        <v>12820</v>
      </c>
      <c r="F152" s="3426">
        <v>1980</v>
      </c>
      <c r="G152" s="3426">
        <v>6600</v>
      </c>
      <c r="I152" s="1024"/>
      <c r="J152" s="3456"/>
      <c r="K152" s="3456"/>
      <c r="L152" s="3456"/>
      <c r="M152" s="3456"/>
      <c r="N152" s="3456"/>
      <c r="O152" s="3456"/>
      <c r="P152" s="3456"/>
      <c r="Q152" s="3456"/>
      <c r="R152" s="3456"/>
      <c r="S152" s="3456"/>
      <c r="T152" s="3456"/>
      <c r="U152" s="3456"/>
    </row>
    <row r="153" spans="1:21" s="1011" customFormat="1" ht="14.25" customHeight="1">
      <c r="A153" s="3420" t="s">
        <v>1153</v>
      </c>
      <c r="B153" s="3420" t="s">
        <v>2860</v>
      </c>
      <c r="C153" s="3420">
        <v>10880</v>
      </c>
      <c r="D153" s="3420">
        <v>10820</v>
      </c>
      <c r="E153" s="3420">
        <v>13660</v>
      </c>
      <c r="F153" s="3426">
        <v>2260</v>
      </c>
      <c r="G153" s="3426">
        <v>6970</v>
      </c>
      <c r="I153" s="1024"/>
      <c r="J153" s="3456"/>
      <c r="K153" s="3456"/>
      <c r="L153" s="3456"/>
      <c r="M153" s="3456"/>
      <c r="N153" s="3456"/>
      <c r="O153" s="3456"/>
      <c r="P153" s="3456"/>
      <c r="Q153" s="3456"/>
      <c r="R153" s="3456"/>
      <c r="S153" s="3456"/>
      <c r="T153" s="3456"/>
      <c r="U153" s="3456"/>
    </row>
    <row r="154" spans="1:21" s="1011" customFormat="1" ht="14.25" customHeight="1">
      <c r="A154" s="3420" t="s">
        <v>1153</v>
      </c>
      <c r="B154" s="3420" t="s">
        <v>2861</v>
      </c>
      <c r="C154" s="3420">
        <v>11220</v>
      </c>
      <c r="D154" s="3420">
        <v>11160</v>
      </c>
      <c r="E154" s="3420">
        <v>14130</v>
      </c>
      <c r="F154" s="3426">
        <v>2230</v>
      </c>
      <c r="G154" s="3426">
        <v>7180</v>
      </c>
      <c r="I154" s="1024"/>
      <c r="J154" s="3456"/>
      <c r="K154" s="3456"/>
      <c r="L154" s="3456"/>
      <c r="M154" s="3456"/>
      <c r="N154" s="3456"/>
      <c r="O154" s="3456"/>
      <c r="P154" s="3456"/>
      <c r="Q154" s="3456"/>
      <c r="R154" s="3456"/>
      <c r="S154" s="3456"/>
      <c r="T154" s="3456"/>
      <c r="U154" s="3456"/>
    </row>
    <row r="155" spans="1:21" s="1011" customFormat="1" ht="14.25" customHeight="1">
      <c r="A155" s="3420" t="s">
        <v>1153</v>
      </c>
      <c r="B155" s="3420" t="s">
        <v>2862</v>
      </c>
      <c r="C155" s="3420">
        <v>10430</v>
      </c>
      <c r="D155" s="3420">
        <v>10380</v>
      </c>
      <c r="E155" s="3420">
        <v>13140</v>
      </c>
      <c r="F155" s="3426">
        <v>2080</v>
      </c>
      <c r="G155" s="3426">
        <v>6650</v>
      </c>
      <c r="I155" s="1024"/>
      <c r="J155" s="3456"/>
      <c r="K155" s="3456"/>
      <c r="L155" s="3456"/>
      <c r="M155" s="3456"/>
      <c r="N155" s="3456"/>
      <c r="O155" s="3456"/>
      <c r="P155" s="3456"/>
      <c r="Q155" s="3456"/>
      <c r="R155" s="3456"/>
      <c r="S155" s="3456"/>
      <c r="T155" s="3456"/>
      <c r="U155" s="3456"/>
    </row>
    <row r="156" spans="1:21" s="1011" customFormat="1" ht="14.25" customHeight="1">
      <c r="A156" s="3420" t="s">
        <v>1153</v>
      </c>
      <c r="B156" s="3420" t="s">
        <v>2863</v>
      </c>
      <c r="C156" s="3420">
        <v>10440</v>
      </c>
      <c r="D156" s="3420">
        <v>10400</v>
      </c>
      <c r="E156" s="3420">
        <v>13150</v>
      </c>
      <c r="F156" s="3426">
        <v>2490</v>
      </c>
      <c r="G156" s="3426">
        <v>6690</v>
      </c>
      <c r="I156" s="1024"/>
      <c r="J156" s="3456"/>
      <c r="K156" s="3456"/>
      <c r="L156" s="3456"/>
      <c r="M156" s="3456"/>
      <c r="N156" s="3456"/>
      <c r="O156" s="3456"/>
      <c r="P156" s="3456"/>
      <c r="Q156" s="3456"/>
      <c r="R156" s="3456"/>
      <c r="S156" s="3456"/>
      <c r="T156" s="3456"/>
      <c r="U156" s="3456"/>
    </row>
    <row r="157" spans="1:21" s="1011" customFormat="1" ht="14.25" customHeight="1">
      <c r="A157" s="3420" t="s">
        <v>1153</v>
      </c>
      <c r="B157" s="3420" t="s">
        <v>1149</v>
      </c>
      <c r="C157" s="3420">
        <v>10970</v>
      </c>
      <c r="D157" s="3420">
        <v>10920</v>
      </c>
      <c r="E157" s="3420">
        <v>13840</v>
      </c>
      <c r="F157" s="3426">
        <v>2420</v>
      </c>
      <c r="G157" s="3433">
        <v>7020</v>
      </c>
      <c r="I157" s="1024"/>
      <c r="J157" s="3456"/>
      <c r="K157" s="3456"/>
      <c r="L157" s="3456"/>
      <c r="M157" s="3456"/>
      <c r="N157" s="3456"/>
      <c r="O157" s="3456"/>
      <c r="P157" s="3456"/>
      <c r="Q157" s="3456"/>
      <c r="R157" s="3456"/>
      <c r="S157" s="3456"/>
      <c r="T157" s="3456"/>
      <c r="U157" s="3456"/>
    </row>
    <row r="158" spans="1:21" s="1011" customFormat="1" ht="14.25" customHeight="1">
      <c r="A158" s="1289" t="s">
        <v>1153</v>
      </c>
      <c r="B158" s="1289" t="s">
        <v>1150</v>
      </c>
      <c r="C158" s="1289">
        <v>9590</v>
      </c>
      <c r="D158" s="1289">
        <v>9540</v>
      </c>
      <c r="E158" s="1289">
        <v>12210</v>
      </c>
      <c r="F158" s="3421">
        <v>2100</v>
      </c>
      <c r="G158" s="3421">
        <v>6130</v>
      </c>
      <c r="I158" s="1024"/>
      <c r="J158" s="3456"/>
      <c r="K158" s="3456"/>
      <c r="L158" s="3456"/>
      <c r="M158" s="3456"/>
      <c r="N158" s="3456"/>
      <c r="O158" s="3456"/>
      <c r="P158" s="3456"/>
      <c r="Q158" s="3456"/>
      <c r="R158" s="3456"/>
      <c r="S158" s="3456"/>
      <c r="T158" s="3456"/>
      <c r="U158" s="3456"/>
    </row>
    <row r="159" spans="1:21" s="1011" customFormat="1" ht="14.25" customHeight="1">
      <c r="A159" s="3420" t="s">
        <v>1153</v>
      </c>
      <c r="B159" s="3420" t="s">
        <v>1151</v>
      </c>
      <c r="C159" s="3420">
        <v>11190</v>
      </c>
      <c r="D159" s="3420">
        <v>11140</v>
      </c>
      <c r="E159" s="3420">
        <v>14090</v>
      </c>
      <c r="F159" s="3426">
        <v>2470</v>
      </c>
      <c r="G159" s="3426">
        <v>7170</v>
      </c>
      <c r="I159" s="1024"/>
      <c r="J159" s="3456"/>
      <c r="K159" s="3456"/>
      <c r="L159" s="3456"/>
      <c r="M159" s="3456"/>
      <c r="N159" s="3456"/>
      <c r="O159" s="3456"/>
      <c r="P159" s="3456"/>
      <c r="Q159" s="3456"/>
      <c r="R159" s="3456"/>
      <c r="S159" s="3456"/>
      <c r="T159" s="3456"/>
      <c r="U159" s="3456"/>
    </row>
    <row r="160" spans="1:21" s="1011" customFormat="1" ht="14.25" customHeight="1">
      <c r="A160" s="3420" t="s">
        <v>1153</v>
      </c>
      <c r="B160" s="3420" t="s">
        <v>2864</v>
      </c>
      <c r="C160" s="3420">
        <v>11180</v>
      </c>
      <c r="D160" s="3420">
        <v>11140</v>
      </c>
      <c r="E160" s="3420">
        <v>14050</v>
      </c>
      <c r="F160" s="3426">
        <v>2270</v>
      </c>
      <c r="G160" s="3426">
        <v>7170</v>
      </c>
      <c r="I160" s="1024"/>
      <c r="J160" s="3456"/>
      <c r="K160" s="3456"/>
      <c r="L160" s="3456"/>
      <c r="M160" s="3456"/>
      <c r="N160" s="3456"/>
      <c r="O160" s="3456"/>
      <c r="P160" s="3456"/>
      <c r="Q160" s="3456"/>
      <c r="R160" s="3456"/>
      <c r="S160" s="3456"/>
      <c r="T160" s="3456"/>
      <c r="U160" s="3456"/>
    </row>
    <row r="161" spans="1:21" s="1011" customFormat="1" ht="14.25" customHeight="1">
      <c r="A161" s="3420" t="s">
        <v>1153</v>
      </c>
      <c r="B161" s="3420" t="s">
        <v>2865</v>
      </c>
      <c r="C161" s="3420">
        <v>11160</v>
      </c>
      <c r="D161" s="3420">
        <v>11120</v>
      </c>
      <c r="E161" s="3420">
        <v>14020</v>
      </c>
      <c r="F161" s="3426">
        <v>2150</v>
      </c>
      <c r="G161" s="3426">
        <v>7160</v>
      </c>
      <c r="I161" s="1024"/>
      <c r="J161" s="3456"/>
      <c r="K161" s="3456"/>
      <c r="L161" s="3456"/>
      <c r="M161" s="3456"/>
      <c r="N161" s="3456"/>
      <c r="O161" s="3456"/>
      <c r="P161" s="3456"/>
      <c r="Q161" s="3456"/>
      <c r="R161" s="3456"/>
      <c r="S161" s="3456"/>
      <c r="T161" s="3456"/>
      <c r="U161" s="3456"/>
    </row>
    <row r="162" spans="1:21" s="1011" customFormat="1" ht="14.25" customHeight="1">
      <c r="A162" s="3420" t="s">
        <v>1153</v>
      </c>
      <c r="B162" s="3420" t="s">
        <v>2866</v>
      </c>
      <c r="C162" s="3420">
        <v>9620</v>
      </c>
      <c r="D162" s="3420">
        <v>9570</v>
      </c>
      <c r="E162" s="3420">
        <v>12320</v>
      </c>
      <c r="F162" s="3426">
        <v>2010</v>
      </c>
      <c r="G162" s="3426">
        <v>6160</v>
      </c>
      <c r="I162" s="1024"/>
      <c r="J162" s="3456"/>
      <c r="K162" s="3456"/>
      <c r="L162" s="3456"/>
      <c r="M162" s="3456"/>
      <c r="N162" s="3456"/>
      <c r="O162" s="3456"/>
      <c r="P162" s="3456"/>
      <c r="Q162" s="3456"/>
      <c r="R162" s="3456"/>
      <c r="S162" s="3456"/>
      <c r="T162" s="3456"/>
      <c r="U162" s="3456"/>
    </row>
    <row r="163" spans="1:21" s="1011" customFormat="1" ht="14.25" customHeight="1">
      <c r="A163" s="3420" t="s">
        <v>1153</v>
      </c>
      <c r="B163" s="3420" t="s">
        <v>2867</v>
      </c>
      <c r="C163" s="3420">
        <v>9320</v>
      </c>
      <c r="D163" s="3420">
        <v>9270</v>
      </c>
      <c r="E163" s="3420">
        <v>11790</v>
      </c>
      <c r="F163" s="3426">
        <v>1920</v>
      </c>
      <c r="G163" s="3426">
        <v>5960</v>
      </c>
      <c r="I163" s="1024"/>
      <c r="J163" s="3456"/>
      <c r="K163" s="3456"/>
      <c r="L163" s="3456"/>
      <c r="M163" s="3456"/>
      <c r="N163" s="3456"/>
      <c r="O163" s="3456"/>
      <c r="P163" s="3456"/>
      <c r="Q163" s="3456"/>
      <c r="R163" s="3456"/>
      <c r="S163" s="3456"/>
      <c r="T163" s="3456"/>
      <c r="U163" s="3456"/>
    </row>
    <row r="164" spans="1:21" s="1011" customFormat="1" ht="14.25" customHeight="1">
      <c r="A164" s="3420" t="s">
        <v>1153</v>
      </c>
      <c r="B164" s="3420" t="s">
        <v>2868</v>
      </c>
      <c r="C164" s="3420"/>
      <c r="D164" s="3420"/>
      <c r="E164" s="3420"/>
      <c r="F164" s="3426">
        <v>1980</v>
      </c>
      <c r="G164" s="3426"/>
      <c r="I164" s="1024"/>
      <c r="J164" s="3456"/>
      <c r="K164" s="3456"/>
      <c r="L164" s="3456"/>
      <c r="M164" s="3456"/>
      <c r="N164" s="3456"/>
      <c r="O164" s="3456"/>
      <c r="P164" s="3456"/>
      <c r="Q164" s="3456"/>
      <c r="R164" s="3456"/>
      <c r="S164" s="3456"/>
      <c r="T164" s="3456"/>
      <c r="U164" s="3456"/>
    </row>
    <row r="165" spans="1:21" s="1011" customFormat="1" ht="14.25" customHeight="1">
      <c r="A165" s="3420" t="s">
        <v>1153</v>
      </c>
      <c r="B165" s="3420" t="s">
        <v>2869</v>
      </c>
      <c r="C165" s="3420">
        <v>11060</v>
      </c>
      <c r="D165" s="3420">
        <v>11030</v>
      </c>
      <c r="E165" s="3420">
        <v>13850</v>
      </c>
      <c r="F165" s="3426">
        <v>2170</v>
      </c>
      <c r="G165" s="3426">
        <v>7090</v>
      </c>
      <c r="I165" s="1024"/>
      <c r="J165" s="3456"/>
      <c r="K165" s="3456"/>
      <c r="L165" s="3456"/>
      <c r="M165" s="3456"/>
      <c r="N165" s="3456"/>
      <c r="O165" s="3456"/>
      <c r="P165" s="3456"/>
      <c r="Q165" s="3456"/>
      <c r="R165" s="3456"/>
      <c r="S165" s="3456"/>
      <c r="T165" s="3456"/>
      <c r="U165" s="3456"/>
    </row>
    <row r="166" spans="1:21" s="1011" customFormat="1" ht="14.25" customHeight="1">
      <c r="A166" s="3420" t="s">
        <v>1153</v>
      </c>
      <c r="B166" s="3420" t="s">
        <v>2870</v>
      </c>
      <c r="C166" s="3420">
        <v>11050</v>
      </c>
      <c r="D166" s="3420">
        <v>11010</v>
      </c>
      <c r="E166" s="3420">
        <v>13920</v>
      </c>
      <c r="F166" s="3426">
        <v>2140</v>
      </c>
      <c r="G166" s="3426">
        <v>7080</v>
      </c>
      <c r="I166" s="1024"/>
      <c r="J166" s="3456"/>
      <c r="K166" s="3456"/>
      <c r="L166" s="3456"/>
      <c r="M166" s="3456"/>
      <c r="N166" s="3456"/>
      <c r="O166" s="3456"/>
      <c r="P166" s="3456"/>
      <c r="Q166" s="3456"/>
      <c r="R166" s="3456"/>
      <c r="S166" s="3456"/>
      <c r="T166" s="3456"/>
      <c r="U166" s="3456"/>
    </row>
    <row r="167" spans="1:21" s="1011" customFormat="1" ht="14.25" customHeight="1">
      <c r="A167" s="3420" t="s">
        <v>1153</v>
      </c>
      <c r="B167" s="3420" t="s">
        <v>2871</v>
      </c>
      <c r="C167" s="3420">
        <v>10930</v>
      </c>
      <c r="D167" s="3420">
        <v>10890</v>
      </c>
      <c r="E167" s="3420">
        <v>13790</v>
      </c>
      <c r="F167" s="3426">
        <v>2010</v>
      </c>
      <c r="G167" s="3428">
        <v>7000</v>
      </c>
      <c r="I167" s="1024"/>
      <c r="J167" s="3456"/>
      <c r="K167" s="3456"/>
      <c r="L167" s="3456"/>
      <c r="M167" s="3456"/>
      <c r="N167" s="3456"/>
      <c r="O167" s="3456"/>
      <c r="P167" s="3456"/>
      <c r="Q167" s="3456"/>
      <c r="R167" s="3456"/>
      <c r="S167" s="3456"/>
      <c r="T167" s="3456"/>
      <c r="U167" s="3456"/>
    </row>
    <row r="168" spans="1:21" s="1011" customFormat="1" ht="14.25" customHeight="1">
      <c r="A168" s="3420" t="s">
        <v>1153</v>
      </c>
      <c r="B168" s="3420" t="s">
        <v>2872</v>
      </c>
      <c r="C168" s="3420">
        <v>9420</v>
      </c>
      <c r="D168" s="3420">
        <v>9380</v>
      </c>
      <c r="E168" s="3420">
        <v>11970</v>
      </c>
      <c r="F168" s="3426"/>
      <c r="G168" s="3428">
        <v>6040</v>
      </c>
      <c r="I168" s="1024"/>
      <c r="J168" s="3456"/>
      <c r="K168" s="3456"/>
      <c r="L168" s="3456"/>
      <c r="M168" s="3456"/>
      <c r="N168" s="3456"/>
      <c r="O168" s="3456"/>
      <c r="P168" s="3456"/>
      <c r="Q168" s="3456"/>
      <c r="R168" s="3456"/>
      <c r="S168" s="3456"/>
      <c r="T168" s="3456"/>
      <c r="U168" s="3456"/>
    </row>
    <row r="169" spans="1:21" s="1011" customFormat="1" ht="14.25" customHeight="1">
      <c r="A169" s="3420" t="s">
        <v>1153</v>
      </c>
      <c r="B169" s="3420" t="s">
        <v>2873</v>
      </c>
      <c r="C169" s="3420"/>
      <c r="D169" s="3420"/>
      <c r="E169" s="3420"/>
      <c r="F169" s="3426">
        <v>2880</v>
      </c>
      <c r="G169" s="3428"/>
      <c r="I169" s="1024"/>
      <c r="J169" s="3456"/>
      <c r="K169" s="3456"/>
      <c r="L169" s="3456"/>
      <c r="M169" s="3456"/>
      <c r="N169" s="3456"/>
      <c r="O169" s="3456"/>
      <c r="P169" s="3456"/>
      <c r="Q169" s="3456"/>
      <c r="R169" s="3456"/>
      <c r="S169" s="3456"/>
      <c r="T169" s="3456"/>
      <c r="U169" s="3456"/>
    </row>
    <row r="170" spans="1:21" s="1011" customFormat="1" ht="14.25" customHeight="1">
      <c r="A170" s="3420" t="s">
        <v>1153</v>
      </c>
      <c r="B170" s="3420" t="s">
        <v>2874</v>
      </c>
      <c r="C170" s="3420"/>
      <c r="D170" s="3420"/>
      <c r="E170" s="3420"/>
      <c r="F170" s="3426">
        <v>2880</v>
      </c>
      <c r="G170" s="3428"/>
      <c r="I170" s="1024"/>
      <c r="J170" s="3456"/>
      <c r="K170" s="3456"/>
      <c r="L170" s="3456"/>
      <c r="M170" s="3456"/>
      <c r="N170" s="3456"/>
      <c r="O170" s="3456"/>
      <c r="P170" s="3456"/>
      <c r="Q170" s="3456"/>
      <c r="R170" s="3456"/>
      <c r="S170" s="3456"/>
      <c r="T170" s="3456"/>
      <c r="U170" s="3456"/>
    </row>
    <row r="171" spans="1:21" s="1011" customFormat="1" ht="14.25" customHeight="1">
      <c r="A171" s="3420" t="s">
        <v>1153</v>
      </c>
      <c r="B171" s="3420" t="s">
        <v>2875</v>
      </c>
      <c r="C171" s="3420"/>
      <c r="D171" s="3420"/>
      <c r="E171" s="3420"/>
      <c r="F171" s="3426">
        <v>2880</v>
      </c>
      <c r="G171" s="3426"/>
      <c r="I171" s="1024"/>
      <c r="J171" s="3456"/>
      <c r="K171" s="3456"/>
      <c r="L171" s="3456"/>
      <c r="M171" s="3456"/>
      <c r="N171" s="3456"/>
      <c r="O171" s="3456"/>
      <c r="P171" s="3456"/>
      <c r="Q171" s="3456"/>
      <c r="R171" s="3456"/>
      <c r="S171" s="3456"/>
      <c r="T171" s="3456"/>
      <c r="U171" s="3456"/>
    </row>
    <row r="172" spans="1:21" s="1011" customFormat="1" ht="14.25" customHeight="1">
      <c r="A172" s="3420" t="s">
        <v>1153</v>
      </c>
      <c r="B172" s="3420" t="s">
        <v>2876</v>
      </c>
      <c r="C172" s="3420"/>
      <c r="D172" s="3420"/>
      <c r="E172" s="3420"/>
      <c r="F172" s="3426">
        <v>2880</v>
      </c>
      <c r="G172" s="3428"/>
      <c r="I172" s="1024"/>
      <c r="J172" s="3456"/>
      <c r="K172" s="3456"/>
      <c r="L172" s="3456"/>
      <c r="M172" s="3456"/>
      <c r="N172" s="3456"/>
      <c r="O172" s="3456"/>
      <c r="P172" s="3456"/>
      <c r="Q172" s="3456"/>
      <c r="R172" s="3456"/>
      <c r="S172" s="3456"/>
      <c r="T172" s="3456"/>
      <c r="U172" s="3456"/>
    </row>
    <row r="173" spans="1:21" s="1011" customFormat="1" ht="14.25" customHeight="1">
      <c r="A173" s="3420" t="s">
        <v>1153</v>
      </c>
      <c r="B173" s="3420" t="s">
        <v>2877</v>
      </c>
      <c r="C173" s="3420"/>
      <c r="D173" s="3420"/>
      <c r="E173" s="3420"/>
      <c r="F173" s="3426">
        <v>2150</v>
      </c>
      <c r="G173" s="3428"/>
      <c r="I173" s="1024"/>
      <c r="J173" s="3456"/>
      <c r="K173" s="3456"/>
      <c r="L173" s="3456"/>
      <c r="M173" s="3456"/>
      <c r="N173" s="3456"/>
      <c r="O173" s="3456"/>
      <c r="P173" s="3456"/>
      <c r="Q173" s="3456"/>
      <c r="R173" s="3456"/>
      <c r="S173" s="3456"/>
      <c r="T173" s="3456"/>
      <c r="U173" s="3456"/>
    </row>
    <row r="174" spans="1:21" s="1011" customFormat="1" ht="14.25" customHeight="1">
      <c r="A174" s="3420" t="s">
        <v>1153</v>
      </c>
      <c r="B174" s="3420" t="s">
        <v>2878</v>
      </c>
      <c r="C174" s="3420"/>
      <c r="D174" s="3420"/>
      <c r="E174" s="3420"/>
      <c r="F174" s="3426">
        <v>2030</v>
      </c>
      <c r="G174" s="3426"/>
      <c r="I174" s="1024"/>
      <c r="J174" s="3456"/>
      <c r="K174" s="3456"/>
      <c r="L174" s="3456"/>
      <c r="M174" s="3456"/>
      <c r="N174" s="3456"/>
      <c r="O174" s="3456"/>
      <c r="P174" s="3456"/>
      <c r="Q174" s="3456"/>
      <c r="R174" s="3456"/>
      <c r="S174" s="3456"/>
      <c r="T174" s="3456"/>
      <c r="U174" s="3456"/>
    </row>
    <row r="175" spans="1:21" s="1011" customFormat="1" ht="14.25" customHeight="1">
      <c r="A175" s="3420" t="s">
        <v>1153</v>
      </c>
      <c r="B175" s="3420" t="s">
        <v>2879</v>
      </c>
      <c r="C175" s="3420"/>
      <c r="D175" s="3420"/>
      <c r="E175" s="3420"/>
      <c r="F175" s="3426">
        <v>2780</v>
      </c>
      <c r="G175" s="3426"/>
      <c r="I175" s="1024"/>
      <c r="J175" s="3456"/>
      <c r="K175" s="3456"/>
      <c r="L175" s="3456"/>
      <c r="M175" s="3456"/>
      <c r="N175" s="3456"/>
      <c r="O175" s="3456"/>
      <c r="P175" s="3456"/>
      <c r="Q175" s="3456"/>
      <c r="R175" s="3456"/>
      <c r="S175" s="3456"/>
      <c r="T175" s="3456"/>
      <c r="U175" s="3456"/>
    </row>
    <row r="176" spans="1:21" s="1011" customFormat="1" ht="14.25" customHeight="1">
      <c r="A176" s="3420" t="s">
        <v>1153</v>
      </c>
      <c r="B176" s="3420" t="s">
        <v>2880</v>
      </c>
      <c r="C176" s="3420"/>
      <c r="D176" s="3420"/>
      <c r="E176" s="3420"/>
      <c r="F176" s="3426">
        <v>2780</v>
      </c>
      <c r="G176" s="3426"/>
      <c r="I176" s="1024"/>
      <c r="J176" s="3456"/>
      <c r="K176" s="3456"/>
      <c r="L176" s="3456"/>
      <c r="M176" s="3456"/>
      <c r="N176" s="3456"/>
      <c r="O176" s="3456"/>
      <c r="P176" s="3456"/>
      <c r="Q176" s="3456"/>
      <c r="R176" s="3456"/>
      <c r="S176" s="3456"/>
      <c r="T176" s="3456"/>
      <c r="U176" s="3456"/>
    </row>
    <row r="177" spans="1:21" s="1011" customFormat="1" ht="14.25" customHeight="1">
      <c r="A177" s="3420" t="s">
        <v>1153</v>
      </c>
      <c r="B177" s="3420" t="s">
        <v>2881</v>
      </c>
      <c r="C177" s="3420"/>
      <c r="D177" s="3420"/>
      <c r="E177" s="3420"/>
      <c r="F177" s="3426">
        <v>2780</v>
      </c>
      <c r="G177" s="3426"/>
      <c r="I177" s="1024"/>
      <c r="J177" s="3456"/>
      <c r="K177" s="3456"/>
      <c r="L177" s="3456"/>
      <c r="M177" s="3456"/>
      <c r="N177" s="3456"/>
      <c r="O177" s="3456"/>
      <c r="P177" s="3456"/>
      <c r="Q177" s="3456"/>
      <c r="R177" s="3456"/>
      <c r="S177" s="3456"/>
      <c r="T177" s="3456"/>
      <c r="U177" s="3456"/>
    </row>
    <row r="178" spans="1:21" s="1011" customFormat="1" ht="14.25" customHeight="1">
      <c r="A178" s="3420" t="s">
        <v>1153</v>
      </c>
      <c r="B178" s="3420" t="s">
        <v>2882</v>
      </c>
      <c r="C178" s="3420"/>
      <c r="D178" s="3420"/>
      <c r="E178" s="3420"/>
      <c r="F178" s="3426">
        <v>2060</v>
      </c>
      <c r="G178" s="3426"/>
      <c r="I178" s="1024"/>
      <c r="J178" s="3456"/>
      <c r="K178" s="3456"/>
      <c r="L178" s="3456"/>
      <c r="M178" s="3456"/>
      <c r="N178" s="3456"/>
      <c r="O178" s="3456"/>
      <c r="P178" s="3456"/>
      <c r="Q178" s="3456"/>
      <c r="R178" s="3456"/>
      <c r="S178" s="3456"/>
      <c r="T178" s="3456"/>
      <c r="U178" s="3456"/>
    </row>
    <row r="179" spans="1:21" s="1011" customFormat="1" ht="14.25" customHeight="1">
      <c r="A179" s="3420" t="s">
        <v>1153</v>
      </c>
      <c r="B179" s="3420" t="s">
        <v>2883</v>
      </c>
      <c r="C179" s="3420"/>
      <c r="D179" s="3420"/>
      <c r="E179" s="3420"/>
      <c r="F179" s="3426">
        <v>2120</v>
      </c>
      <c r="G179" s="3428"/>
      <c r="I179" s="1024"/>
      <c r="J179" s="3456"/>
      <c r="K179" s="3456"/>
      <c r="L179" s="3456"/>
      <c r="M179" s="3456"/>
      <c r="N179" s="3456"/>
      <c r="O179" s="3456"/>
      <c r="P179" s="3456"/>
      <c r="Q179" s="3456"/>
      <c r="R179" s="3456"/>
      <c r="S179" s="3456"/>
      <c r="T179" s="3456"/>
      <c r="U179" s="3456"/>
    </row>
    <row r="180" spans="1:21" s="1011" customFormat="1" ht="14.25" customHeight="1">
      <c r="A180" s="3420" t="s">
        <v>1153</v>
      </c>
      <c r="B180" s="3420" t="s">
        <v>2884</v>
      </c>
      <c r="C180" s="3420"/>
      <c r="D180" s="3420"/>
      <c r="E180" s="3420"/>
      <c r="F180" s="3426">
        <v>2340</v>
      </c>
      <c r="G180" s="3426"/>
      <c r="I180" s="1024"/>
      <c r="J180" s="3456"/>
      <c r="K180" s="3456"/>
      <c r="L180" s="3456"/>
      <c r="M180" s="3456"/>
      <c r="N180" s="3456"/>
      <c r="O180" s="3456"/>
      <c r="P180" s="3456"/>
      <c r="Q180" s="3456"/>
      <c r="R180" s="3456"/>
      <c r="S180" s="3456"/>
      <c r="T180" s="3456"/>
      <c r="U180" s="3456"/>
    </row>
    <row r="181" spans="1:21" s="1011" customFormat="1" ht="14.25" customHeight="1">
      <c r="A181" s="3420" t="s">
        <v>1153</v>
      </c>
      <c r="B181" s="3420" t="s">
        <v>2885</v>
      </c>
      <c r="C181" s="3420"/>
      <c r="D181" s="3420"/>
      <c r="E181" s="3420"/>
      <c r="F181" s="3426">
        <v>2340</v>
      </c>
      <c r="G181" s="3426"/>
      <c r="I181" s="1024"/>
      <c r="J181" s="3456"/>
      <c r="K181" s="3456"/>
      <c r="L181" s="3456"/>
      <c r="M181" s="3456"/>
      <c r="N181" s="3456"/>
      <c r="O181" s="3456"/>
      <c r="P181" s="3456"/>
      <c r="Q181" s="3456"/>
      <c r="R181" s="3456"/>
      <c r="S181" s="3456"/>
      <c r="T181" s="3456"/>
      <c r="U181" s="3456"/>
    </row>
    <row r="182" spans="1:21" s="1011" customFormat="1" ht="14.25" customHeight="1">
      <c r="A182" s="3420" t="s">
        <v>1153</v>
      </c>
      <c r="B182" s="3420" t="s">
        <v>2886</v>
      </c>
      <c r="C182" s="3420"/>
      <c r="D182" s="3420"/>
      <c r="E182" s="3420"/>
      <c r="F182" s="3426">
        <v>2340</v>
      </c>
      <c r="G182" s="3426"/>
      <c r="I182" s="1024"/>
      <c r="J182" s="3456"/>
      <c r="K182" s="3456"/>
      <c r="L182" s="3456"/>
      <c r="M182" s="3456"/>
      <c r="N182" s="3456"/>
      <c r="O182" s="3456"/>
      <c r="P182" s="3456"/>
      <c r="Q182" s="3456"/>
      <c r="R182" s="3456"/>
      <c r="S182" s="3456"/>
      <c r="T182" s="3456"/>
      <c r="U182" s="3456"/>
    </row>
    <row r="183" spans="1:21" s="1011" customFormat="1" ht="14.25" customHeight="1">
      <c r="A183" s="3420" t="s">
        <v>1153</v>
      </c>
      <c r="B183" s="3420" t="s">
        <v>2887</v>
      </c>
      <c r="C183" s="3420"/>
      <c r="D183" s="3420"/>
      <c r="E183" s="3420"/>
      <c r="F183" s="3426">
        <v>2340</v>
      </c>
      <c r="G183" s="3428"/>
      <c r="I183" s="1024"/>
      <c r="J183" s="3456"/>
      <c r="K183" s="3456"/>
      <c r="L183" s="3456"/>
      <c r="M183" s="3456"/>
      <c r="N183" s="3456"/>
      <c r="O183" s="3456"/>
      <c r="P183" s="3456"/>
      <c r="Q183" s="3456"/>
      <c r="R183" s="3456"/>
      <c r="S183" s="3456"/>
      <c r="T183" s="3456"/>
      <c r="U183" s="3456"/>
    </row>
    <row r="184" spans="1:21" s="1011" customFormat="1" ht="14.25" customHeight="1">
      <c r="A184" s="3420" t="s">
        <v>1153</v>
      </c>
      <c r="B184" s="3420" t="s">
        <v>2888</v>
      </c>
      <c r="C184" s="3420"/>
      <c r="D184" s="3420"/>
      <c r="E184" s="3420"/>
      <c r="F184" s="3426">
        <v>2340</v>
      </c>
      <c r="G184" s="3428"/>
      <c r="I184" s="1024"/>
      <c r="J184" s="3456"/>
      <c r="K184" s="3456"/>
      <c r="L184" s="3456"/>
      <c r="M184" s="3456"/>
      <c r="N184" s="3456"/>
      <c r="O184" s="3456"/>
      <c r="P184" s="3456"/>
      <c r="Q184" s="3456"/>
      <c r="R184" s="3456"/>
      <c r="S184" s="3456"/>
      <c r="T184" s="3456"/>
      <c r="U184" s="3456"/>
    </row>
    <row r="185" spans="1:21" s="1011" customFormat="1" ht="14.25" customHeight="1">
      <c r="A185" s="3420" t="s">
        <v>1153</v>
      </c>
      <c r="B185" s="3420" t="s">
        <v>2889</v>
      </c>
      <c r="C185" s="3420"/>
      <c r="D185" s="3420"/>
      <c r="E185" s="3420"/>
      <c r="F185" s="3426">
        <v>2530</v>
      </c>
      <c r="G185" s="3426"/>
      <c r="I185" s="1024"/>
      <c r="J185" s="3456"/>
      <c r="K185" s="3456"/>
      <c r="L185" s="3456"/>
      <c r="M185" s="3456"/>
      <c r="N185" s="3456"/>
      <c r="O185" s="3456"/>
      <c r="P185" s="3456"/>
      <c r="Q185" s="3456"/>
      <c r="R185" s="3456"/>
      <c r="S185" s="3456"/>
      <c r="T185" s="3456"/>
      <c r="U185" s="3456"/>
    </row>
    <row r="186" spans="1:21" s="1011" customFormat="1" ht="14.25" customHeight="1">
      <c r="A186" s="3420" t="s">
        <v>1153</v>
      </c>
      <c r="B186" s="3420" t="s">
        <v>2890</v>
      </c>
      <c r="C186" s="3420"/>
      <c r="D186" s="3420"/>
      <c r="E186" s="3420"/>
      <c r="F186" s="3426">
        <v>2550</v>
      </c>
      <c r="G186" s="3426"/>
      <c r="I186" s="1024"/>
      <c r="J186" s="3456"/>
      <c r="K186" s="3456"/>
      <c r="L186" s="3456"/>
      <c r="M186" s="3456"/>
      <c r="N186" s="3456"/>
      <c r="O186" s="3456"/>
      <c r="P186" s="3456"/>
      <c r="Q186" s="3456"/>
      <c r="R186" s="3456"/>
      <c r="S186" s="3456"/>
      <c r="T186" s="3456"/>
      <c r="U186" s="3456"/>
    </row>
    <row r="187" spans="1:21" s="1011" customFormat="1" ht="14.25" customHeight="1">
      <c r="A187" s="3420" t="s">
        <v>1153</v>
      </c>
      <c r="B187" s="3420" t="s">
        <v>2891</v>
      </c>
      <c r="C187" s="3420"/>
      <c r="D187" s="3420"/>
      <c r="E187" s="3420"/>
      <c r="F187" s="3426">
        <v>2070</v>
      </c>
      <c r="G187" s="3426"/>
      <c r="I187" s="1024"/>
      <c r="J187" s="3456"/>
      <c r="K187" s="3456"/>
      <c r="L187" s="3456"/>
      <c r="M187" s="3456"/>
      <c r="N187" s="3456"/>
      <c r="O187" s="3456"/>
      <c r="P187" s="3456"/>
      <c r="Q187" s="3456"/>
      <c r="R187" s="3456"/>
      <c r="S187" s="3456"/>
      <c r="T187" s="3456"/>
      <c r="U187" s="3456"/>
    </row>
    <row r="188" spans="1:21" s="1011" customFormat="1" ht="14.25" customHeight="1">
      <c r="A188" s="3420" t="s">
        <v>1153</v>
      </c>
      <c r="B188" s="3420" t="s">
        <v>2892</v>
      </c>
      <c r="C188" s="3420"/>
      <c r="D188" s="3420"/>
      <c r="E188" s="3420"/>
      <c r="F188" s="3426">
        <v>2340</v>
      </c>
      <c r="G188" s="3426"/>
      <c r="I188" s="1024"/>
      <c r="J188" s="3456"/>
      <c r="K188" s="3456"/>
      <c r="L188" s="3456"/>
      <c r="M188" s="3456"/>
      <c r="N188" s="3456"/>
      <c r="O188" s="3456"/>
      <c r="P188" s="3456"/>
      <c r="Q188" s="3456"/>
      <c r="R188" s="3456"/>
      <c r="S188" s="3456"/>
      <c r="T188" s="3456"/>
      <c r="U188" s="3456"/>
    </row>
    <row r="189" spans="1:21" s="1011" customFormat="1" ht="14.25" customHeight="1" thickBot="1">
      <c r="A189" s="3435" t="s">
        <v>1153</v>
      </c>
      <c r="B189" s="3423" t="s">
        <v>2893</v>
      </c>
      <c r="C189" s="3423"/>
      <c r="D189" s="3423"/>
      <c r="E189" s="3423"/>
      <c r="F189" s="3424">
        <v>2050</v>
      </c>
      <c r="G189" s="3436"/>
      <c r="I189" s="1024"/>
      <c r="J189" s="3456"/>
      <c r="K189" s="3456"/>
      <c r="L189" s="3456"/>
      <c r="M189" s="3456"/>
      <c r="N189" s="3456"/>
      <c r="O189" s="3456"/>
      <c r="P189" s="3456"/>
      <c r="Q189" s="3456"/>
      <c r="R189" s="3456"/>
      <c r="S189" s="3456"/>
      <c r="T189" s="3456"/>
      <c r="U189" s="3456"/>
    </row>
    <row r="190" spans="1:21" s="1011" customFormat="1" ht="14.25" customHeight="1">
      <c r="A190" s="3434" t="s">
        <v>1154</v>
      </c>
      <c r="B190" s="1289" t="s">
        <v>2894</v>
      </c>
      <c r="C190" s="1289">
        <v>8830</v>
      </c>
      <c r="D190" s="1289">
        <v>8790</v>
      </c>
      <c r="E190" s="1289">
        <v>11630</v>
      </c>
      <c r="F190" s="3421">
        <v>1790</v>
      </c>
      <c r="G190" s="3421">
        <v>5550</v>
      </c>
      <c r="I190" s="1024"/>
      <c r="J190" s="3456"/>
      <c r="K190" s="3456"/>
      <c r="L190" s="3456"/>
      <c r="M190" s="3456"/>
      <c r="N190" s="3456"/>
      <c r="O190" s="3456"/>
      <c r="P190" s="3456"/>
      <c r="Q190" s="3456"/>
      <c r="R190" s="3456"/>
      <c r="S190" s="3456"/>
      <c r="T190" s="3456"/>
      <c r="U190" s="3456"/>
    </row>
    <row r="191" spans="1:21" s="1011" customFormat="1" ht="14.25" customHeight="1">
      <c r="A191" s="3420" t="s">
        <v>1154</v>
      </c>
      <c r="B191" s="3420" t="s">
        <v>978</v>
      </c>
      <c r="C191" s="3420">
        <v>9780</v>
      </c>
      <c r="D191" s="3420">
        <v>9710</v>
      </c>
      <c r="E191" s="3420">
        <v>12550</v>
      </c>
      <c r="F191" s="3426">
        <v>1980</v>
      </c>
      <c r="G191" s="3426">
        <v>6130</v>
      </c>
      <c r="I191" s="1024"/>
      <c r="J191" s="3456"/>
      <c r="K191" s="3456"/>
      <c r="L191" s="3456"/>
      <c r="M191" s="3456"/>
      <c r="N191" s="3456"/>
      <c r="O191" s="3456"/>
      <c r="P191" s="3456"/>
      <c r="Q191" s="3456"/>
      <c r="R191" s="3456"/>
      <c r="S191" s="3456"/>
      <c r="T191" s="3456"/>
      <c r="U191" s="3456"/>
    </row>
    <row r="192" spans="1:21" s="1011" customFormat="1" ht="14.25" customHeight="1">
      <c r="A192" s="3420" t="s">
        <v>1154</v>
      </c>
      <c r="B192" s="3420" t="s">
        <v>988</v>
      </c>
      <c r="C192" s="3420">
        <v>8180</v>
      </c>
      <c r="D192" s="3420">
        <v>8140</v>
      </c>
      <c r="E192" s="3420">
        <v>10870</v>
      </c>
      <c r="F192" s="3426">
        <v>1690</v>
      </c>
      <c r="G192" s="3426">
        <v>5140</v>
      </c>
      <c r="I192" s="1024"/>
      <c r="J192" s="3456"/>
      <c r="K192" s="3456"/>
      <c r="L192" s="3456"/>
      <c r="M192" s="3456"/>
      <c r="N192" s="3456"/>
      <c r="O192" s="3456"/>
      <c r="P192" s="3456"/>
      <c r="Q192" s="3456"/>
      <c r="R192" s="3456"/>
      <c r="S192" s="3456"/>
      <c r="T192" s="3456"/>
      <c r="U192" s="3456"/>
    </row>
    <row r="193" spans="1:21" s="1011" customFormat="1" ht="14.25" customHeight="1">
      <c r="A193" s="3420" t="s">
        <v>1154</v>
      </c>
      <c r="B193" s="3420" t="s">
        <v>997</v>
      </c>
      <c r="C193" s="3420">
        <v>8440</v>
      </c>
      <c r="D193" s="3420">
        <v>8390</v>
      </c>
      <c r="E193" s="3420">
        <v>11210</v>
      </c>
      <c r="F193" s="3426">
        <v>1600</v>
      </c>
      <c r="G193" s="3426">
        <v>5300</v>
      </c>
      <c r="I193" s="1024"/>
      <c r="J193" s="3456"/>
      <c r="K193" s="3456"/>
      <c r="L193" s="3456"/>
      <c r="M193" s="3456"/>
      <c r="N193" s="3456"/>
      <c r="O193" s="3456"/>
      <c r="P193" s="3456"/>
      <c r="Q193" s="3456"/>
      <c r="R193" s="3456"/>
      <c r="S193" s="3456"/>
      <c r="T193" s="3456"/>
      <c r="U193" s="3456"/>
    </row>
    <row r="194" spans="1:21" s="1011" customFormat="1" ht="14.25" customHeight="1">
      <c r="A194" s="3420" t="s">
        <v>1154</v>
      </c>
      <c r="B194" s="3420" t="s">
        <v>1007</v>
      </c>
      <c r="C194" s="3420">
        <v>8780</v>
      </c>
      <c r="D194" s="3420">
        <v>8730</v>
      </c>
      <c r="E194" s="3420">
        <v>11550</v>
      </c>
      <c r="F194" s="3426">
        <v>1660</v>
      </c>
      <c r="G194" s="3426">
        <v>5520</v>
      </c>
      <c r="I194" s="1024"/>
      <c r="J194" s="3456"/>
      <c r="K194" s="3456"/>
      <c r="L194" s="3456"/>
      <c r="M194" s="3456"/>
      <c r="N194" s="3456"/>
      <c r="O194" s="3456"/>
      <c r="P194" s="3456"/>
      <c r="Q194" s="3456"/>
      <c r="R194" s="3456"/>
      <c r="S194" s="3456"/>
      <c r="T194" s="3456"/>
      <c r="U194" s="3456"/>
    </row>
    <row r="195" spans="1:21" s="1011" customFormat="1" ht="14.25" customHeight="1">
      <c r="A195" s="3420" t="s">
        <v>1154</v>
      </c>
      <c r="B195" s="3420" t="s">
        <v>1014</v>
      </c>
      <c r="C195" s="3420">
        <v>8720</v>
      </c>
      <c r="D195" s="3420">
        <v>8670</v>
      </c>
      <c r="E195" s="3420">
        <v>11450</v>
      </c>
      <c r="F195" s="3426">
        <v>1720</v>
      </c>
      <c r="G195" s="3426">
        <v>5480</v>
      </c>
      <c r="I195" s="1024"/>
      <c r="J195" s="3456"/>
      <c r="K195" s="3456"/>
      <c r="L195" s="3456"/>
      <c r="M195" s="3456"/>
      <c r="N195" s="3456"/>
      <c r="O195" s="3456"/>
      <c r="P195" s="3456"/>
      <c r="Q195" s="3456"/>
      <c r="R195" s="3456"/>
      <c r="S195" s="3456"/>
      <c r="T195" s="3456"/>
      <c r="U195" s="3456"/>
    </row>
    <row r="196" spans="1:21" s="1011" customFormat="1" ht="14.25" customHeight="1">
      <c r="A196" s="3420" t="s">
        <v>1154</v>
      </c>
      <c r="B196" s="3420" t="s">
        <v>1020</v>
      </c>
      <c r="C196" s="3420">
        <v>8460</v>
      </c>
      <c r="D196" s="3420">
        <v>8410</v>
      </c>
      <c r="E196" s="3420">
        <v>11230</v>
      </c>
      <c r="F196" s="3426">
        <v>1730</v>
      </c>
      <c r="G196" s="3426">
        <v>5310</v>
      </c>
      <c r="I196" s="1024"/>
      <c r="J196" s="3456"/>
      <c r="K196" s="3456"/>
      <c r="L196" s="3456"/>
      <c r="M196" s="3456"/>
      <c r="N196" s="3456"/>
      <c r="O196" s="3456"/>
      <c r="P196" s="3456"/>
      <c r="Q196" s="3456"/>
      <c r="R196" s="3456"/>
      <c r="S196" s="3456"/>
      <c r="T196" s="3456"/>
      <c r="U196" s="3456"/>
    </row>
    <row r="197" spans="1:21" s="1011" customFormat="1" ht="14.25" customHeight="1">
      <c r="A197" s="3420" t="s">
        <v>1154</v>
      </c>
      <c r="B197" s="3420" t="s">
        <v>1027</v>
      </c>
      <c r="C197" s="3420">
        <v>8790</v>
      </c>
      <c r="D197" s="3420">
        <v>8730</v>
      </c>
      <c r="E197" s="3420">
        <v>11560</v>
      </c>
      <c r="F197" s="3426">
        <v>1750</v>
      </c>
      <c r="G197" s="3426">
        <v>5520</v>
      </c>
      <c r="I197" s="1024"/>
      <c r="J197" s="3456"/>
      <c r="K197" s="3456"/>
      <c r="L197" s="3456"/>
      <c r="M197" s="3456"/>
      <c r="N197" s="3456"/>
      <c r="O197" s="3456"/>
      <c r="P197" s="3456"/>
      <c r="Q197" s="3456"/>
      <c r="R197" s="3456"/>
      <c r="S197" s="3456"/>
      <c r="T197" s="3456"/>
      <c r="U197" s="3456"/>
    </row>
    <row r="198" spans="1:21" s="1011" customFormat="1" ht="14.25" customHeight="1">
      <c r="A198" s="3420" t="s">
        <v>1154</v>
      </c>
      <c r="B198" s="3420" t="s">
        <v>1037</v>
      </c>
      <c r="C198" s="3420">
        <v>8720</v>
      </c>
      <c r="D198" s="3420">
        <v>8680</v>
      </c>
      <c r="E198" s="3420">
        <v>11470</v>
      </c>
      <c r="F198" s="3426"/>
      <c r="G198" s="3426">
        <v>5480</v>
      </c>
      <c r="I198" s="1024"/>
      <c r="J198" s="3456"/>
      <c r="K198" s="3456"/>
      <c r="L198" s="3456"/>
      <c r="M198" s="3456"/>
      <c r="N198" s="3456"/>
      <c r="O198" s="3456"/>
      <c r="P198" s="3456"/>
      <c r="Q198" s="3456"/>
      <c r="R198" s="3456"/>
      <c r="S198" s="3456"/>
      <c r="T198" s="3456"/>
      <c r="U198" s="3456"/>
    </row>
    <row r="199" spans="1:21" s="1011" customFormat="1" ht="14.25" customHeight="1">
      <c r="A199" s="3420" t="s">
        <v>1154</v>
      </c>
      <c r="B199" s="3420" t="s">
        <v>2895</v>
      </c>
      <c r="C199" s="3420">
        <v>8690</v>
      </c>
      <c r="D199" s="3420">
        <v>8630</v>
      </c>
      <c r="E199" s="3420">
        <v>11350</v>
      </c>
      <c r="F199" s="3426">
        <v>1600</v>
      </c>
      <c r="G199" s="3426">
        <v>5450</v>
      </c>
      <c r="I199" s="1024"/>
      <c r="J199" s="3456"/>
      <c r="K199" s="3456"/>
      <c r="L199" s="3456"/>
      <c r="M199" s="3456"/>
      <c r="N199" s="3456"/>
      <c r="O199" s="3456"/>
      <c r="P199" s="3456"/>
      <c r="Q199" s="3456"/>
      <c r="R199" s="3456"/>
      <c r="S199" s="3456"/>
      <c r="T199" s="3456"/>
      <c r="U199" s="3456"/>
    </row>
    <row r="200" spans="1:21" s="1011" customFormat="1" ht="14.25" customHeight="1">
      <c r="A200" s="3420" t="s">
        <v>1154</v>
      </c>
      <c r="B200" s="3420" t="s">
        <v>2896</v>
      </c>
      <c r="C200" s="3420"/>
      <c r="D200" s="3420"/>
      <c r="E200" s="3420"/>
      <c r="F200" s="3426">
        <v>1510</v>
      </c>
      <c r="G200" s="3426"/>
      <c r="I200" s="1024"/>
      <c r="J200" s="3456"/>
      <c r="K200" s="3456"/>
      <c r="L200" s="3456"/>
      <c r="M200" s="3456"/>
      <c r="N200" s="3456"/>
      <c r="O200" s="3456"/>
      <c r="P200" s="3456"/>
      <c r="Q200" s="3456"/>
      <c r="R200" s="3456"/>
      <c r="S200" s="3456"/>
      <c r="T200" s="3456"/>
      <c r="U200" s="3456"/>
    </row>
    <row r="201" spans="1:21" s="1011" customFormat="1" ht="14.25" customHeight="1">
      <c r="A201" s="3420" t="s">
        <v>1154</v>
      </c>
      <c r="B201" s="3420" t="s">
        <v>2897</v>
      </c>
      <c r="C201" s="3420">
        <v>8440</v>
      </c>
      <c r="D201" s="3420">
        <v>8390</v>
      </c>
      <c r="E201" s="3420">
        <v>10930</v>
      </c>
      <c r="F201" s="3426">
        <v>1500</v>
      </c>
      <c r="G201" s="3426">
        <v>5300</v>
      </c>
      <c r="I201" s="1024"/>
      <c r="J201" s="3456"/>
      <c r="K201" s="3456"/>
      <c r="L201" s="3456"/>
      <c r="M201" s="3456"/>
      <c r="N201" s="3456"/>
      <c r="O201" s="3456"/>
      <c r="P201" s="3456"/>
      <c r="Q201" s="3456"/>
      <c r="R201" s="3456"/>
      <c r="S201" s="3456"/>
      <c r="T201" s="3456"/>
      <c r="U201" s="3456"/>
    </row>
    <row r="202" spans="1:21" s="1011" customFormat="1" ht="14.25" customHeight="1">
      <c r="A202" s="3420" t="s">
        <v>1154</v>
      </c>
      <c r="B202" s="3420" t="s">
        <v>1088</v>
      </c>
      <c r="C202" s="3420">
        <v>8530</v>
      </c>
      <c r="D202" s="3420">
        <v>8490</v>
      </c>
      <c r="E202" s="3420">
        <v>11160</v>
      </c>
      <c r="F202" s="3426">
        <v>1580</v>
      </c>
      <c r="G202" s="3426">
        <v>5360</v>
      </c>
      <c r="I202" s="1024"/>
      <c r="J202" s="3456"/>
      <c r="K202" s="3456"/>
      <c r="L202" s="3456"/>
      <c r="M202" s="3456"/>
      <c r="N202" s="3456"/>
      <c r="O202" s="3456"/>
      <c r="P202" s="3456"/>
      <c r="Q202" s="3456"/>
      <c r="R202" s="3456"/>
      <c r="S202" s="3456"/>
      <c r="T202" s="3456"/>
      <c r="U202" s="3456"/>
    </row>
    <row r="203" spans="1:21" s="1011" customFormat="1" ht="14.25" customHeight="1">
      <c r="A203" s="3420" t="s">
        <v>1154</v>
      </c>
      <c r="B203" s="3420" t="s">
        <v>2898</v>
      </c>
      <c r="C203" s="3420">
        <v>8130</v>
      </c>
      <c r="D203" s="3420">
        <v>8070</v>
      </c>
      <c r="E203" s="3420">
        <v>10820</v>
      </c>
      <c r="F203" s="3426">
        <v>1690</v>
      </c>
      <c r="G203" s="3426">
        <v>5100</v>
      </c>
      <c r="I203" s="1024"/>
      <c r="J203" s="3456"/>
      <c r="K203" s="3456"/>
      <c r="L203" s="3456"/>
      <c r="M203" s="3456"/>
      <c r="N203" s="3456"/>
      <c r="O203" s="3456"/>
      <c r="P203" s="3456"/>
      <c r="Q203" s="3456"/>
      <c r="R203" s="3456"/>
      <c r="S203" s="3456"/>
      <c r="T203" s="3456"/>
      <c r="U203" s="3456"/>
    </row>
    <row r="204" spans="1:21" s="1011" customFormat="1" ht="14.25" customHeight="1">
      <c r="A204" s="3420" t="s">
        <v>1154</v>
      </c>
      <c r="B204" s="3420" t="s">
        <v>2899</v>
      </c>
      <c r="C204" s="3420">
        <v>8350</v>
      </c>
      <c r="D204" s="3420">
        <v>8290</v>
      </c>
      <c r="E204" s="3420">
        <v>11080</v>
      </c>
      <c r="F204" s="3426">
        <v>1450</v>
      </c>
      <c r="G204" s="3426">
        <v>5240</v>
      </c>
      <c r="I204" s="1024"/>
      <c r="J204" s="3456"/>
      <c r="K204" s="3456"/>
      <c r="L204" s="3456"/>
      <c r="M204" s="3456"/>
      <c r="N204" s="3456"/>
      <c r="O204" s="3456"/>
      <c r="P204" s="3456"/>
      <c r="Q204" s="3456"/>
      <c r="R204" s="3456"/>
      <c r="S204" s="3456"/>
      <c r="T204" s="3456"/>
      <c r="U204" s="3456"/>
    </row>
    <row r="205" spans="1:21" s="1011" customFormat="1" ht="14.25" customHeight="1">
      <c r="A205" s="3420" t="s">
        <v>1154</v>
      </c>
      <c r="B205" s="3420" t="s">
        <v>2900</v>
      </c>
      <c r="C205" s="3420">
        <v>7190</v>
      </c>
      <c r="D205" s="3420">
        <v>7130</v>
      </c>
      <c r="E205" s="3420">
        <v>9490</v>
      </c>
      <c r="F205" s="3426">
        <v>1470</v>
      </c>
      <c r="G205" s="3433">
        <v>4510</v>
      </c>
      <c r="I205" s="1024"/>
      <c r="J205" s="3456"/>
      <c r="K205" s="3456"/>
      <c r="L205" s="3456"/>
      <c r="M205" s="3456"/>
      <c r="N205" s="3456"/>
      <c r="O205" s="3456"/>
      <c r="P205" s="3456"/>
      <c r="Q205" s="3456"/>
      <c r="R205" s="3456"/>
      <c r="S205" s="3456"/>
      <c r="T205" s="3456"/>
      <c r="U205" s="3456"/>
    </row>
    <row r="206" spans="1:21" s="1011" customFormat="1" ht="14.25" customHeight="1">
      <c r="A206" s="1289" t="s">
        <v>1154</v>
      </c>
      <c r="B206" s="1289" t="s">
        <v>2901</v>
      </c>
      <c r="C206" s="1289">
        <v>7000</v>
      </c>
      <c r="D206" s="1289">
        <v>6950</v>
      </c>
      <c r="E206" s="1289">
        <v>9170</v>
      </c>
      <c r="F206" s="3421">
        <v>1400</v>
      </c>
      <c r="G206" s="3421">
        <v>4380</v>
      </c>
      <c r="I206" s="1024"/>
      <c r="J206" s="3456"/>
      <c r="K206" s="3456"/>
      <c r="L206" s="3456"/>
      <c r="M206" s="3456"/>
      <c r="N206" s="3456"/>
      <c r="O206" s="3456"/>
      <c r="P206" s="3456"/>
      <c r="Q206" s="3456"/>
      <c r="R206" s="3456"/>
      <c r="S206" s="3456"/>
      <c r="T206" s="3456"/>
      <c r="U206" s="3456"/>
    </row>
    <row r="207" spans="1:21" s="1011" customFormat="1" ht="14.25" customHeight="1">
      <c r="A207" s="3420" t="s">
        <v>1154</v>
      </c>
      <c r="B207" s="3420" t="s">
        <v>2902</v>
      </c>
      <c r="C207" s="3420">
        <v>6950</v>
      </c>
      <c r="D207" s="3420">
        <v>6900</v>
      </c>
      <c r="E207" s="3420">
        <v>9110</v>
      </c>
      <c r="F207" s="3426">
        <v>1790</v>
      </c>
      <c r="G207" s="3426">
        <v>4360</v>
      </c>
      <c r="I207" s="1024"/>
      <c r="J207" s="3456"/>
      <c r="K207" s="3456"/>
      <c r="L207" s="3456"/>
      <c r="M207" s="3456"/>
      <c r="N207" s="3456"/>
      <c r="O207" s="3456"/>
      <c r="P207" s="3456"/>
      <c r="Q207" s="3456"/>
      <c r="R207" s="3456"/>
      <c r="S207" s="3456"/>
      <c r="T207" s="3456"/>
      <c r="U207" s="3456"/>
    </row>
    <row r="208" spans="1:21" s="1011" customFormat="1" ht="14.25" customHeight="1">
      <c r="A208" s="3420" t="s">
        <v>1154</v>
      </c>
      <c r="B208" s="3420" t="s">
        <v>2903</v>
      </c>
      <c r="C208" s="3420">
        <v>9470</v>
      </c>
      <c r="D208" s="3420">
        <v>9410</v>
      </c>
      <c r="E208" s="3420">
        <v>12330</v>
      </c>
      <c r="F208" s="3426">
        <v>1770</v>
      </c>
      <c r="G208" s="3426">
        <v>5940</v>
      </c>
      <c r="I208" s="1024"/>
      <c r="J208" s="3456"/>
      <c r="K208" s="3456"/>
      <c r="L208" s="3456"/>
      <c r="M208" s="3456"/>
      <c r="N208" s="3456"/>
      <c r="O208" s="3456"/>
      <c r="P208" s="3456"/>
      <c r="Q208" s="3456"/>
      <c r="R208" s="3456"/>
      <c r="S208" s="3456"/>
      <c r="T208" s="3456"/>
      <c r="U208" s="3456"/>
    </row>
    <row r="209" spans="1:21" s="1011" customFormat="1" ht="14.25" customHeight="1">
      <c r="A209" s="3420" t="s">
        <v>1154</v>
      </c>
      <c r="B209" s="3420" t="s">
        <v>1112</v>
      </c>
      <c r="C209" s="3420">
        <v>8740</v>
      </c>
      <c r="D209" s="3420">
        <v>8700</v>
      </c>
      <c r="E209" s="3420">
        <v>11500</v>
      </c>
      <c r="F209" s="3426">
        <v>1730</v>
      </c>
      <c r="G209" s="3426">
        <v>5490</v>
      </c>
      <c r="I209" s="1024"/>
      <c r="J209" s="3456"/>
      <c r="K209" s="3456"/>
      <c r="L209" s="3456"/>
      <c r="M209" s="3456"/>
      <c r="N209" s="3456"/>
      <c r="O209" s="3456"/>
      <c r="P209" s="3456"/>
      <c r="Q209" s="3456"/>
      <c r="R209" s="3456"/>
      <c r="S209" s="3456"/>
      <c r="T209" s="3456"/>
      <c r="U209" s="3456"/>
    </row>
    <row r="210" spans="1:21" s="1011" customFormat="1" ht="14.25" customHeight="1">
      <c r="A210" s="3420" t="s">
        <v>1154</v>
      </c>
      <c r="B210" s="3420" t="s">
        <v>2904</v>
      </c>
      <c r="C210" s="3420">
        <v>8710</v>
      </c>
      <c r="D210" s="3420">
        <v>8660</v>
      </c>
      <c r="E210" s="3420">
        <v>11440</v>
      </c>
      <c r="F210" s="3426">
        <v>1740</v>
      </c>
      <c r="G210" s="3426">
        <v>5470</v>
      </c>
      <c r="I210" s="1024"/>
      <c r="J210" s="3456"/>
      <c r="K210" s="3456"/>
      <c r="L210" s="3456"/>
      <c r="M210" s="3456"/>
      <c r="N210" s="3456"/>
      <c r="O210" s="3456"/>
      <c r="P210" s="3456"/>
      <c r="Q210" s="3456"/>
      <c r="R210" s="3456"/>
      <c r="S210" s="3456"/>
      <c r="T210" s="3456"/>
      <c r="U210" s="3456"/>
    </row>
    <row r="211" spans="1:21" s="1011" customFormat="1" ht="14.25" customHeight="1">
      <c r="A211" s="3420" t="s">
        <v>1154</v>
      </c>
      <c r="B211" s="3420" t="s">
        <v>2905</v>
      </c>
      <c r="C211" s="3420">
        <v>9480</v>
      </c>
      <c r="D211" s="3420">
        <v>9430</v>
      </c>
      <c r="E211" s="3420">
        <v>12360</v>
      </c>
      <c r="F211" s="3426">
        <v>1820</v>
      </c>
      <c r="G211" s="3426">
        <v>5950</v>
      </c>
      <c r="I211" s="1024"/>
      <c r="J211" s="3456"/>
      <c r="K211" s="3456"/>
      <c r="L211" s="3456"/>
      <c r="M211" s="3456"/>
      <c r="N211" s="3456"/>
      <c r="O211" s="3456"/>
      <c r="P211" s="3456"/>
      <c r="Q211" s="3456"/>
      <c r="R211" s="3456"/>
      <c r="S211" s="3456"/>
      <c r="T211" s="3456"/>
      <c r="U211" s="3456"/>
    </row>
    <row r="212" spans="1:21" s="1011" customFormat="1" ht="14.25" customHeight="1">
      <c r="A212" s="3420" t="s">
        <v>1154</v>
      </c>
      <c r="B212" s="3420" t="s">
        <v>1134</v>
      </c>
      <c r="C212" s="3420">
        <v>9070</v>
      </c>
      <c r="D212" s="3420">
        <v>9020</v>
      </c>
      <c r="E212" s="3420">
        <v>11720</v>
      </c>
      <c r="F212" s="3426">
        <v>1850</v>
      </c>
      <c r="G212" s="3426">
        <v>5700</v>
      </c>
      <c r="I212" s="1024"/>
      <c r="J212" s="3456"/>
      <c r="K212" s="3456"/>
      <c r="L212" s="3456"/>
      <c r="M212" s="3456"/>
      <c r="N212" s="3456"/>
      <c r="O212" s="3456"/>
      <c r="P212" s="3456"/>
      <c r="Q212" s="3456"/>
      <c r="R212" s="3456"/>
      <c r="S212" s="3456"/>
      <c r="T212" s="3456"/>
      <c r="U212" s="3456"/>
    </row>
    <row r="213" spans="1:21" s="1011" customFormat="1" ht="14.25" customHeight="1">
      <c r="A213" s="3420" t="s">
        <v>1154</v>
      </c>
      <c r="B213" s="3420" t="s">
        <v>1137</v>
      </c>
      <c r="C213" s="3420">
        <v>9030</v>
      </c>
      <c r="D213" s="3420">
        <v>8980</v>
      </c>
      <c r="E213" s="3420">
        <v>11670</v>
      </c>
      <c r="F213" s="3426">
        <v>1690</v>
      </c>
      <c r="G213" s="3426">
        <v>5670</v>
      </c>
      <c r="I213" s="1024"/>
      <c r="J213" s="3456"/>
      <c r="K213" s="3456"/>
      <c r="L213" s="3456"/>
      <c r="M213" s="3456"/>
      <c r="N213" s="3456"/>
      <c r="O213" s="3456"/>
      <c r="P213" s="3456"/>
      <c r="Q213" s="3456"/>
      <c r="R213" s="3456"/>
      <c r="S213" s="3456"/>
      <c r="T213" s="3456"/>
      <c r="U213" s="3456"/>
    </row>
    <row r="214" spans="1:21" s="1011" customFormat="1" ht="14.25" customHeight="1">
      <c r="A214" s="3420" t="s">
        <v>1154</v>
      </c>
      <c r="B214" s="3420" t="s">
        <v>2906</v>
      </c>
      <c r="C214" s="3420">
        <v>8090</v>
      </c>
      <c r="D214" s="3420">
        <v>8030</v>
      </c>
      <c r="E214" s="3420">
        <v>10780</v>
      </c>
      <c r="F214" s="3426">
        <v>1570</v>
      </c>
      <c r="G214" s="3428">
        <v>5070</v>
      </c>
      <c r="I214" s="1024"/>
      <c r="J214" s="3456"/>
      <c r="K214" s="3456"/>
      <c r="L214" s="3456"/>
      <c r="M214" s="3456"/>
      <c r="N214" s="3456"/>
      <c r="O214" s="3456"/>
      <c r="P214" s="3456"/>
      <c r="Q214" s="3456"/>
      <c r="R214" s="3456"/>
      <c r="S214" s="3456"/>
      <c r="T214" s="3456"/>
      <c r="U214" s="3456"/>
    </row>
    <row r="215" spans="1:21" s="1011" customFormat="1" ht="14.25" customHeight="1">
      <c r="A215" s="3420" t="s">
        <v>1154</v>
      </c>
      <c r="B215" s="3420" t="s">
        <v>1123</v>
      </c>
      <c r="C215" s="3420">
        <v>7950</v>
      </c>
      <c r="D215" s="3420">
        <v>7900</v>
      </c>
      <c r="E215" s="3420">
        <v>10560</v>
      </c>
      <c r="F215" s="3426">
        <v>1630</v>
      </c>
      <c r="G215" s="3426">
        <v>4990</v>
      </c>
      <c r="I215" s="1024"/>
      <c r="J215" s="3456"/>
      <c r="K215" s="3456"/>
      <c r="L215" s="3456"/>
      <c r="M215" s="3456"/>
      <c r="N215" s="3456"/>
      <c r="O215" s="3456"/>
      <c r="P215" s="3456"/>
      <c r="Q215" s="3456"/>
      <c r="R215" s="3456"/>
      <c r="S215" s="3456"/>
      <c r="T215" s="3456"/>
      <c r="U215" s="3456"/>
    </row>
    <row r="216" spans="1:21" s="1011" customFormat="1" ht="14.25" customHeight="1">
      <c r="A216" s="3420" t="s">
        <v>1154</v>
      </c>
      <c r="B216" s="3420" t="s">
        <v>2907</v>
      </c>
      <c r="C216" s="3420">
        <v>8490</v>
      </c>
      <c r="D216" s="3420">
        <v>8440</v>
      </c>
      <c r="E216" s="3420">
        <v>11260</v>
      </c>
      <c r="F216" s="3426">
        <v>1690</v>
      </c>
      <c r="G216" s="3426">
        <v>5330</v>
      </c>
      <c r="I216" s="1024"/>
      <c r="J216" s="3456"/>
      <c r="K216" s="3456"/>
      <c r="L216" s="3456"/>
      <c r="M216" s="3456"/>
      <c r="N216" s="3456"/>
      <c r="O216" s="3456"/>
      <c r="P216" s="3456"/>
      <c r="Q216" s="3456"/>
      <c r="R216" s="3456"/>
      <c r="S216" s="3456"/>
      <c r="T216" s="3456"/>
      <c r="U216" s="3456"/>
    </row>
    <row r="217" spans="1:21" s="1011" customFormat="1" ht="14.25" customHeight="1">
      <c r="A217" s="3420" t="s">
        <v>1154</v>
      </c>
      <c r="B217" s="3420" t="s">
        <v>2908</v>
      </c>
      <c r="C217" s="3420">
        <v>8200</v>
      </c>
      <c r="D217" s="3420">
        <v>8150</v>
      </c>
      <c r="E217" s="3420">
        <v>10910</v>
      </c>
      <c r="F217" s="3426">
        <v>1670</v>
      </c>
      <c r="G217" s="3426">
        <v>5150</v>
      </c>
      <c r="I217" s="1024"/>
      <c r="J217" s="3456"/>
      <c r="K217" s="3456"/>
      <c r="L217" s="3456"/>
      <c r="M217" s="3456"/>
      <c r="N217" s="3456"/>
      <c r="O217" s="3456"/>
      <c r="P217" s="3456"/>
      <c r="Q217" s="3456"/>
      <c r="R217" s="3456"/>
      <c r="S217" s="3456"/>
      <c r="T217" s="3456"/>
      <c r="U217" s="3456"/>
    </row>
    <row r="218" spans="1:21" s="1011" customFormat="1" ht="14.25" customHeight="1">
      <c r="A218" s="3420" t="s">
        <v>1154</v>
      </c>
      <c r="B218" s="3420" t="s">
        <v>2909</v>
      </c>
      <c r="C218" s="3420"/>
      <c r="D218" s="3420"/>
      <c r="E218" s="3420"/>
      <c r="F218" s="3426">
        <v>2040</v>
      </c>
      <c r="G218" s="3426"/>
      <c r="I218" s="1024"/>
      <c r="J218" s="3456"/>
      <c r="K218" s="3456"/>
      <c r="L218" s="3456"/>
      <c r="M218" s="3456"/>
      <c r="N218" s="3456"/>
      <c r="O218" s="3456"/>
      <c r="P218" s="3456"/>
      <c r="Q218" s="3456"/>
      <c r="R218" s="3456"/>
      <c r="S218" s="3456"/>
      <c r="T218" s="3456"/>
      <c r="U218" s="3456"/>
    </row>
    <row r="219" spans="1:21" s="1011" customFormat="1" ht="14.25" customHeight="1">
      <c r="A219" s="3420" t="s">
        <v>1154</v>
      </c>
      <c r="B219" s="3420" t="s">
        <v>2910</v>
      </c>
      <c r="C219" s="3420"/>
      <c r="D219" s="3420"/>
      <c r="E219" s="3420"/>
      <c r="F219" s="3426">
        <v>2040</v>
      </c>
      <c r="G219" s="3426"/>
      <c r="I219" s="1024"/>
      <c r="J219" s="3456"/>
      <c r="K219" s="3456"/>
      <c r="L219" s="3456"/>
      <c r="M219" s="3456"/>
      <c r="N219" s="3456"/>
      <c r="O219" s="3456"/>
      <c r="P219" s="3456"/>
      <c r="Q219" s="3456"/>
      <c r="R219" s="3456"/>
      <c r="S219" s="3456"/>
      <c r="T219" s="3456"/>
      <c r="U219" s="3456"/>
    </row>
    <row r="220" spans="1:21" s="1011" customFormat="1" ht="14.25" customHeight="1">
      <c r="A220" s="3420" t="s">
        <v>1154</v>
      </c>
      <c r="B220" s="3420" t="s">
        <v>2911</v>
      </c>
      <c r="C220" s="3420"/>
      <c r="D220" s="3420"/>
      <c r="E220" s="3420"/>
      <c r="F220" s="3426">
        <v>2040</v>
      </c>
      <c r="G220" s="3426"/>
      <c r="I220" s="1024"/>
      <c r="J220" s="3456"/>
      <c r="K220" s="3456"/>
      <c r="L220" s="3456"/>
      <c r="M220" s="3456"/>
      <c r="N220" s="3456"/>
      <c r="O220" s="3456"/>
      <c r="P220" s="3456"/>
      <c r="Q220" s="3456"/>
      <c r="R220" s="3456"/>
      <c r="S220" s="3456"/>
      <c r="T220" s="3456"/>
      <c r="U220" s="3456"/>
    </row>
    <row r="221" spans="1:21" s="1011" customFormat="1" ht="14.25" customHeight="1">
      <c r="A221" s="3420" t="s">
        <v>1154</v>
      </c>
      <c r="B221" s="3420" t="s">
        <v>2912</v>
      </c>
      <c r="C221" s="3429"/>
      <c r="D221" s="3429"/>
      <c r="E221" s="3429"/>
      <c r="F221" s="3428">
        <v>2040</v>
      </c>
      <c r="G221" s="3426"/>
      <c r="I221" s="1024"/>
      <c r="J221" s="3456"/>
      <c r="K221" s="3456"/>
      <c r="L221" s="3456"/>
      <c r="M221" s="3456"/>
      <c r="N221" s="3456"/>
      <c r="O221" s="3456"/>
      <c r="P221" s="3456"/>
      <c r="Q221" s="3456"/>
      <c r="R221" s="3456"/>
      <c r="S221" s="3456"/>
      <c r="T221" s="3456"/>
      <c r="U221" s="3456"/>
    </row>
    <row r="222" spans="1:21" s="1011" customFormat="1" ht="14.25" customHeight="1">
      <c r="A222" s="3420" t="s">
        <v>1154</v>
      </c>
      <c r="B222" s="3420" t="s">
        <v>2913</v>
      </c>
      <c r="C222" s="3429"/>
      <c r="D222" s="3429"/>
      <c r="E222" s="3429"/>
      <c r="F222" s="3428">
        <v>2040</v>
      </c>
      <c r="G222" s="3426"/>
      <c r="I222" s="1024"/>
      <c r="J222" s="3456"/>
      <c r="K222" s="3456"/>
      <c r="L222" s="3456"/>
      <c r="M222" s="3456"/>
      <c r="N222" s="3456"/>
      <c r="O222" s="3456"/>
      <c r="P222" s="3456"/>
      <c r="Q222" s="3456"/>
      <c r="R222" s="3456"/>
      <c r="S222" s="3456"/>
      <c r="T222" s="3456"/>
      <c r="U222" s="3456"/>
    </row>
    <row r="223" spans="1:21" s="1011" customFormat="1" ht="14.25" customHeight="1">
      <c r="A223" s="3420" t="s">
        <v>1154</v>
      </c>
      <c r="B223" s="3420" t="s">
        <v>2914</v>
      </c>
      <c r="C223" s="3429"/>
      <c r="D223" s="3429"/>
      <c r="E223" s="3429"/>
      <c r="F223" s="3428">
        <v>1930</v>
      </c>
      <c r="G223" s="3426"/>
      <c r="I223" s="1024"/>
      <c r="J223" s="3456"/>
      <c r="K223" s="3456"/>
      <c r="L223" s="3456"/>
      <c r="M223" s="3456"/>
      <c r="N223" s="3456"/>
      <c r="O223" s="3456"/>
      <c r="P223" s="3456"/>
      <c r="Q223" s="3456"/>
      <c r="R223" s="3456"/>
      <c r="S223" s="3456"/>
      <c r="T223" s="3456"/>
      <c r="U223" s="3456"/>
    </row>
    <row r="224" spans="1:21" s="1011" customFormat="1" ht="14.25" customHeight="1">
      <c r="A224" s="3420" t="s">
        <v>1154</v>
      </c>
      <c r="B224" s="3420" t="s">
        <v>2915</v>
      </c>
      <c r="C224" s="3429"/>
      <c r="D224" s="3429"/>
      <c r="E224" s="3429"/>
      <c r="F224" s="3428">
        <v>1930</v>
      </c>
      <c r="G224" s="3426"/>
      <c r="I224" s="1024"/>
      <c r="J224" s="3456"/>
      <c r="K224" s="3456"/>
      <c r="L224" s="3456"/>
      <c r="M224" s="3456"/>
      <c r="N224" s="3456"/>
      <c r="O224" s="3456"/>
      <c r="P224" s="3456"/>
      <c r="Q224" s="3456"/>
      <c r="R224" s="3456"/>
      <c r="S224" s="3456"/>
      <c r="T224" s="3456"/>
      <c r="U224" s="3456"/>
    </row>
    <row r="225" spans="1:21" s="1011" customFormat="1" ht="14.25" customHeight="1">
      <c r="A225" s="3420" t="s">
        <v>1154</v>
      </c>
      <c r="B225" s="3420" t="s">
        <v>2916</v>
      </c>
      <c r="C225" s="3420"/>
      <c r="D225" s="3420"/>
      <c r="E225" s="3420"/>
      <c r="F225" s="3426">
        <v>1930</v>
      </c>
      <c r="G225" s="3426"/>
      <c r="I225" s="1024"/>
      <c r="J225" s="3456"/>
      <c r="K225" s="3456"/>
      <c r="L225" s="3456"/>
      <c r="M225" s="3456"/>
      <c r="N225" s="3456"/>
      <c r="O225" s="3456"/>
      <c r="P225" s="3456"/>
      <c r="Q225" s="3456"/>
      <c r="R225" s="3456"/>
      <c r="S225" s="3456"/>
      <c r="T225" s="3456"/>
      <c r="U225" s="3456"/>
    </row>
    <row r="226" spans="1:21" s="1011" customFormat="1" ht="14.25" customHeight="1">
      <c r="A226" s="3420" t="s">
        <v>1154</v>
      </c>
      <c r="B226" s="3420" t="s">
        <v>2917</v>
      </c>
      <c r="C226" s="3420"/>
      <c r="D226" s="3420"/>
      <c r="E226" s="3420"/>
      <c r="F226" s="3426">
        <v>1700</v>
      </c>
      <c r="G226" s="3426"/>
      <c r="I226" s="1024"/>
      <c r="J226" s="3456"/>
      <c r="K226" s="3456"/>
      <c r="L226" s="3456"/>
      <c r="M226" s="3456"/>
      <c r="N226" s="3456"/>
      <c r="O226" s="3456"/>
      <c r="P226" s="3456"/>
      <c r="Q226" s="3456"/>
      <c r="R226" s="3456"/>
      <c r="S226" s="3456"/>
      <c r="T226" s="3456"/>
      <c r="U226" s="3456"/>
    </row>
    <row r="227" spans="1:21" s="1011" customFormat="1" ht="14.25" customHeight="1">
      <c r="A227" s="3420" t="s">
        <v>1154</v>
      </c>
      <c r="B227" s="3420" t="s">
        <v>2918</v>
      </c>
      <c r="C227" s="3420"/>
      <c r="D227" s="3420"/>
      <c r="E227" s="3420"/>
      <c r="F227" s="3426">
        <v>1520</v>
      </c>
      <c r="G227" s="3426"/>
      <c r="I227" s="1024"/>
      <c r="J227" s="3456"/>
      <c r="K227" s="3456"/>
      <c r="L227" s="3456"/>
      <c r="M227" s="3456"/>
      <c r="N227" s="3456"/>
      <c r="O227" s="3456"/>
      <c r="P227" s="3456"/>
      <c r="Q227" s="3456"/>
      <c r="R227" s="3456"/>
      <c r="S227" s="3456"/>
      <c r="T227" s="3456"/>
      <c r="U227" s="3456"/>
    </row>
    <row r="228" spans="1:21" s="1011" customFormat="1" ht="14.25" customHeight="1">
      <c r="A228" s="3420" t="s">
        <v>1154</v>
      </c>
      <c r="B228" s="3420" t="s">
        <v>2919</v>
      </c>
      <c r="C228" s="3420"/>
      <c r="D228" s="3420"/>
      <c r="E228" s="3420"/>
      <c r="F228" s="3426">
        <v>1520</v>
      </c>
      <c r="G228" s="3426"/>
      <c r="I228" s="1024"/>
      <c r="J228" s="3456"/>
      <c r="K228" s="3456"/>
      <c r="L228" s="3456"/>
      <c r="M228" s="3456"/>
      <c r="N228" s="3456"/>
      <c r="O228" s="3456"/>
      <c r="P228" s="3456"/>
      <c r="Q228" s="3456"/>
      <c r="R228" s="3456"/>
      <c r="S228" s="3456"/>
      <c r="T228" s="3456"/>
      <c r="U228" s="3456"/>
    </row>
    <row r="229" spans="1:21" s="1011" customFormat="1" ht="14.25" customHeight="1">
      <c r="A229" s="3420" t="s">
        <v>1154</v>
      </c>
      <c r="B229" s="3420" t="s">
        <v>2920</v>
      </c>
      <c r="C229" s="3420"/>
      <c r="D229" s="3420"/>
      <c r="E229" s="3420"/>
      <c r="F229" s="3426">
        <v>1520</v>
      </c>
      <c r="G229" s="3428"/>
      <c r="I229" s="1024"/>
      <c r="J229" s="3456"/>
      <c r="K229" s="3456"/>
      <c r="L229" s="3456"/>
      <c r="M229" s="3456"/>
      <c r="N229" s="3456"/>
      <c r="O229" s="3456"/>
      <c r="P229" s="3456"/>
      <c r="Q229" s="3456"/>
      <c r="R229" s="3456"/>
      <c r="S229" s="3456"/>
      <c r="T229" s="3456"/>
      <c r="U229" s="3456"/>
    </row>
    <row r="230" spans="1:21" s="1011" customFormat="1" ht="14.25" customHeight="1">
      <c r="A230" s="3420" t="s">
        <v>1154</v>
      </c>
      <c r="B230" s="3420" t="s">
        <v>2921</v>
      </c>
      <c r="C230" s="3420"/>
      <c r="D230" s="3420"/>
      <c r="E230" s="3420"/>
      <c r="F230" s="3426">
        <v>1820</v>
      </c>
      <c r="G230" s="3428"/>
      <c r="I230" s="1024"/>
      <c r="J230" s="3456"/>
      <c r="K230" s="3456"/>
      <c r="L230" s="3456"/>
      <c r="M230" s="3456"/>
      <c r="N230" s="3456"/>
      <c r="O230" s="3456"/>
      <c r="P230" s="3456"/>
      <c r="Q230" s="3456"/>
      <c r="R230" s="3456"/>
      <c r="S230" s="3456"/>
      <c r="T230" s="3456"/>
      <c r="U230" s="3456"/>
    </row>
    <row r="231" spans="1:21" s="1011" customFormat="1" ht="14.25" customHeight="1">
      <c r="A231" s="3420" t="s">
        <v>1154</v>
      </c>
      <c r="B231" s="3420" t="s">
        <v>2922</v>
      </c>
      <c r="C231" s="3420"/>
      <c r="D231" s="3420"/>
      <c r="E231" s="3420"/>
      <c r="F231" s="3426">
        <v>1760</v>
      </c>
      <c r="G231" s="3428"/>
      <c r="I231" s="1024"/>
      <c r="J231" s="3456"/>
      <c r="K231" s="3456"/>
      <c r="L231" s="3456"/>
      <c r="M231" s="3456"/>
      <c r="N231" s="3456"/>
      <c r="O231" s="3456"/>
      <c r="P231" s="3456"/>
      <c r="Q231" s="3456"/>
      <c r="R231" s="3456"/>
      <c r="S231" s="3456"/>
      <c r="T231" s="3456"/>
      <c r="U231" s="3456"/>
    </row>
    <row r="232" spans="1:21" s="1011" customFormat="1" ht="14.25" customHeight="1">
      <c r="A232" s="3420" t="s">
        <v>1154</v>
      </c>
      <c r="B232" s="3420" t="s">
        <v>2923</v>
      </c>
      <c r="C232" s="3420"/>
      <c r="D232" s="3420"/>
      <c r="E232" s="3420"/>
      <c r="F232" s="3426">
        <v>1840</v>
      </c>
      <c r="G232" s="3426"/>
      <c r="I232" s="1024"/>
      <c r="J232" s="3456"/>
      <c r="K232" s="3456"/>
      <c r="L232" s="3456"/>
      <c r="M232" s="3456"/>
      <c r="N232" s="3456"/>
      <c r="O232" s="3456"/>
      <c r="P232" s="3456"/>
      <c r="Q232" s="3456"/>
      <c r="R232" s="3456"/>
      <c r="S232" s="3456"/>
      <c r="T232" s="3456"/>
      <c r="U232" s="3456"/>
    </row>
    <row r="233" spans="1:21" s="1011" customFormat="1" ht="14.25" customHeight="1" thickBot="1">
      <c r="A233" s="3435" t="s">
        <v>1154</v>
      </c>
      <c r="B233" s="3423" t="s">
        <v>2924</v>
      </c>
      <c r="C233" s="3423"/>
      <c r="D233" s="3423"/>
      <c r="E233" s="3423"/>
      <c r="F233" s="3424">
        <v>1770</v>
      </c>
      <c r="G233" s="3439"/>
      <c r="I233" s="1024"/>
      <c r="J233" s="3456"/>
      <c r="K233" s="3456"/>
      <c r="L233" s="3456"/>
      <c r="M233" s="3456"/>
      <c r="N233" s="3456"/>
      <c r="O233" s="3456"/>
      <c r="P233" s="3456"/>
      <c r="Q233" s="3456"/>
      <c r="R233" s="3456"/>
      <c r="S233" s="3456"/>
      <c r="T233" s="3456"/>
      <c r="U233" s="3456"/>
    </row>
    <row r="234" spans="1:21" s="1011" customFormat="1" ht="14.25" customHeight="1">
      <c r="A234" s="3434" t="s">
        <v>1155</v>
      </c>
      <c r="B234" s="1289" t="s">
        <v>2925</v>
      </c>
      <c r="C234" s="1289">
        <v>6980</v>
      </c>
      <c r="D234" s="1289">
        <v>6970</v>
      </c>
      <c r="E234" s="1289">
        <v>8720</v>
      </c>
      <c r="F234" s="3421">
        <v>1350</v>
      </c>
      <c r="G234" s="3437">
        <v>4280</v>
      </c>
      <c r="I234" s="1024"/>
      <c r="J234" s="3456"/>
      <c r="K234" s="3456"/>
      <c r="L234" s="3456"/>
      <c r="M234" s="3456"/>
      <c r="N234" s="3456"/>
      <c r="O234" s="3456"/>
      <c r="P234" s="3456"/>
      <c r="Q234" s="3456"/>
      <c r="R234" s="3456"/>
      <c r="S234" s="3456"/>
      <c r="T234" s="3456"/>
      <c r="U234" s="3456"/>
    </row>
    <row r="235" spans="1:21" s="1011" customFormat="1" ht="14.25" customHeight="1">
      <c r="A235" s="3420" t="s">
        <v>1155</v>
      </c>
      <c r="B235" s="3420" t="s">
        <v>979</v>
      </c>
      <c r="C235" s="3420">
        <v>7620</v>
      </c>
      <c r="D235" s="3420">
        <v>7580</v>
      </c>
      <c r="E235" s="3420">
        <v>9360</v>
      </c>
      <c r="F235" s="3426">
        <v>1490</v>
      </c>
      <c r="G235" s="3426">
        <v>4650</v>
      </c>
      <c r="I235" s="1024"/>
      <c r="J235" s="3456"/>
      <c r="K235" s="3456"/>
      <c r="L235" s="3456"/>
      <c r="M235" s="3456"/>
      <c r="N235" s="3456"/>
      <c r="O235" s="3456"/>
      <c r="P235" s="3456"/>
      <c r="Q235" s="3456"/>
      <c r="R235" s="3456"/>
      <c r="S235" s="3456"/>
      <c r="T235" s="3456"/>
      <c r="U235" s="3456"/>
    </row>
    <row r="236" spans="1:21" s="1011" customFormat="1" ht="14.25" customHeight="1">
      <c r="A236" s="3420" t="s">
        <v>1155</v>
      </c>
      <c r="B236" s="3420" t="s">
        <v>989</v>
      </c>
      <c r="C236" s="3420">
        <v>6650</v>
      </c>
      <c r="D236" s="3420">
        <v>6630</v>
      </c>
      <c r="E236" s="3420">
        <v>8330</v>
      </c>
      <c r="F236" s="3426">
        <v>1250</v>
      </c>
      <c r="G236" s="3426">
        <v>4070</v>
      </c>
      <c r="I236" s="1024"/>
      <c r="J236" s="3456"/>
      <c r="K236" s="3456"/>
      <c r="L236" s="3456"/>
      <c r="M236" s="3456"/>
      <c r="N236" s="3456"/>
      <c r="O236" s="3456"/>
      <c r="P236" s="3456"/>
      <c r="Q236" s="3456"/>
      <c r="R236" s="3456"/>
      <c r="S236" s="3456"/>
      <c r="T236" s="3456"/>
      <c r="U236" s="3456"/>
    </row>
    <row r="237" spans="1:21" s="1011" customFormat="1" ht="14.25" customHeight="1">
      <c r="A237" s="3420" t="s">
        <v>1155</v>
      </c>
      <c r="B237" s="3420" t="s">
        <v>998</v>
      </c>
      <c r="C237" s="3420">
        <v>5850</v>
      </c>
      <c r="D237" s="3420">
        <v>5820</v>
      </c>
      <c r="E237" s="3420">
        <v>7260</v>
      </c>
      <c r="F237" s="3426">
        <v>1140</v>
      </c>
      <c r="G237" s="3426">
        <v>3570</v>
      </c>
      <c r="I237" s="1024"/>
      <c r="J237" s="3456"/>
      <c r="K237" s="3456"/>
      <c r="L237" s="3456"/>
      <c r="M237" s="3456"/>
      <c r="N237" s="3456"/>
      <c r="O237" s="3456"/>
      <c r="P237" s="3456"/>
      <c r="Q237" s="3456"/>
      <c r="R237" s="3456"/>
      <c r="S237" s="3456"/>
      <c r="T237" s="3456"/>
      <c r="U237" s="3456"/>
    </row>
    <row r="238" spans="1:21" s="1011" customFormat="1" ht="14.25" customHeight="1">
      <c r="A238" s="3420" t="s">
        <v>1155</v>
      </c>
      <c r="B238" s="3420" t="s">
        <v>2926</v>
      </c>
      <c r="C238" s="3420">
        <v>6920</v>
      </c>
      <c r="D238" s="3420">
        <v>6890</v>
      </c>
      <c r="E238" s="3420">
        <v>8640</v>
      </c>
      <c r="F238" s="3426">
        <v>1310</v>
      </c>
      <c r="G238" s="3426">
        <v>4230</v>
      </c>
      <c r="I238" s="1024"/>
      <c r="J238" s="3456"/>
      <c r="K238" s="3456"/>
      <c r="L238" s="3456"/>
      <c r="M238" s="3456"/>
      <c r="N238" s="3456"/>
      <c r="O238" s="3456"/>
      <c r="P238" s="3456"/>
      <c r="Q238" s="3456"/>
      <c r="R238" s="3456"/>
      <c r="S238" s="3456"/>
      <c r="T238" s="3456"/>
      <c r="U238" s="3456"/>
    </row>
    <row r="239" spans="1:21" s="1011" customFormat="1" ht="14.25" customHeight="1">
      <c r="A239" s="3420" t="s">
        <v>1155</v>
      </c>
      <c r="B239" s="3420" t="s">
        <v>2927</v>
      </c>
      <c r="C239" s="3420">
        <v>6780</v>
      </c>
      <c r="D239" s="3420">
        <v>6750</v>
      </c>
      <c r="E239" s="3420">
        <v>8440</v>
      </c>
      <c r="F239" s="3426">
        <v>1160</v>
      </c>
      <c r="G239" s="3426">
        <v>4140</v>
      </c>
      <c r="I239" s="1024"/>
      <c r="J239" s="3456"/>
      <c r="K239" s="3456"/>
      <c r="L239" s="3456"/>
      <c r="M239" s="3456"/>
      <c r="N239" s="3456"/>
      <c r="O239" s="3456"/>
      <c r="P239" s="3456"/>
      <c r="Q239" s="3456"/>
      <c r="R239" s="3456"/>
      <c r="S239" s="3456"/>
      <c r="T239" s="3456"/>
      <c r="U239" s="3456"/>
    </row>
    <row r="240" spans="1:21" s="1011" customFormat="1" ht="14.25" customHeight="1">
      <c r="A240" s="3420" t="s">
        <v>1155</v>
      </c>
      <c r="B240" s="3420" t="s">
        <v>2928</v>
      </c>
      <c r="C240" s="3420">
        <v>5420</v>
      </c>
      <c r="D240" s="3420">
        <v>5380</v>
      </c>
      <c r="E240" s="3420">
        <v>6640</v>
      </c>
      <c r="F240" s="3426">
        <v>1020</v>
      </c>
      <c r="G240" s="3426">
        <v>3300</v>
      </c>
      <c r="I240" s="1024"/>
      <c r="J240" s="3456"/>
      <c r="K240" s="3456"/>
      <c r="L240" s="3456"/>
      <c r="M240" s="3456"/>
      <c r="N240" s="3456"/>
      <c r="O240" s="3456"/>
      <c r="P240" s="3456"/>
      <c r="Q240" s="3456"/>
      <c r="R240" s="3456"/>
      <c r="S240" s="3456"/>
      <c r="T240" s="3456"/>
      <c r="U240" s="3456"/>
    </row>
    <row r="241" spans="1:21" s="1011" customFormat="1" ht="14.25" customHeight="1">
      <c r="A241" s="3420" t="s">
        <v>1155</v>
      </c>
      <c r="B241" s="3420" t="s">
        <v>2929</v>
      </c>
      <c r="C241" s="3420">
        <v>6660</v>
      </c>
      <c r="D241" s="3420">
        <v>6640</v>
      </c>
      <c r="E241" s="3420">
        <v>8340</v>
      </c>
      <c r="F241" s="3426">
        <v>1130</v>
      </c>
      <c r="G241" s="3426">
        <v>4080</v>
      </c>
      <c r="I241" s="1024"/>
      <c r="J241" s="3456"/>
      <c r="K241" s="3456"/>
      <c r="L241" s="3456"/>
      <c r="M241" s="3456"/>
      <c r="N241" s="3456"/>
      <c r="O241" s="3456"/>
      <c r="P241" s="3456"/>
      <c r="Q241" s="3456"/>
      <c r="R241" s="3456"/>
      <c r="S241" s="3456"/>
      <c r="T241" s="3456"/>
      <c r="U241" s="3456"/>
    </row>
    <row r="242" spans="1:21" s="1011" customFormat="1" ht="14.25" customHeight="1">
      <c r="A242" s="3420" t="s">
        <v>1155</v>
      </c>
      <c r="B242" s="3420" t="s">
        <v>1028</v>
      </c>
      <c r="C242" s="3420">
        <v>6580</v>
      </c>
      <c r="D242" s="3420">
        <v>6550</v>
      </c>
      <c r="E242" s="3420">
        <v>8090</v>
      </c>
      <c r="F242" s="3426">
        <v>1240</v>
      </c>
      <c r="G242" s="3426">
        <v>4020</v>
      </c>
      <c r="I242" s="1024"/>
      <c r="J242" s="3456"/>
      <c r="K242" s="3456"/>
      <c r="L242" s="3456"/>
      <c r="M242" s="3456"/>
      <c r="N242" s="3456"/>
      <c r="O242" s="3456"/>
      <c r="P242" s="3456"/>
      <c r="Q242" s="3456"/>
      <c r="R242" s="3456"/>
      <c r="S242" s="3456"/>
      <c r="T242" s="3456"/>
      <c r="U242" s="3456"/>
    </row>
    <row r="243" spans="1:21" s="1011" customFormat="1" ht="14.25" customHeight="1">
      <c r="A243" s="3420" t="s">
        <v>1155</v>
      </c>
      <c r="B243" s="3420" t="s">
        <v>1038</v>
      </c>
      <c r="C243" s="3420">
        <v>6000</v>
      </c>
      <c r="D243" s="3420">
        <v>5970</v>
      </c>
      <c r="E243" s="3420">
        <v>7370</v>
      </c>
      <c r="F243" s="3426">
        <v>1070</v>
      </c>
      <c r="G243" s="3426">
        <v>3670</v>
      </c>
      <c r="I243" s="1024"/>
      <c r="J243" s="3456"/>
      <c r="K243" s="3456"/>
      <c r="L243" s="3456"/>
      <c r="M243" s="3456"/>
      <c r="N243" s="3456"/>
      <c r="O243" s="3456"/>
      <c r="P243" s="3456"/>
      <c r="Q243" s="3456"/>
      <c r="R243" s="3456"/>
      <c r="S243" s="3456"/>
      <c r="T243" s="3456"/>
      <c r="U243" s="3456"/>
    </row>
    <row r="244" spans="1:21" s="1011" customFormat="1" ht="14.25" customHeight="1">
      <c r="A244" s="3420" t="s">
        <v>1155</v>
      </c>
      <c r="B244" s="3420" t="s">
        <v>2930</v>
      </c>
      <c r="C244" s="3420">
        <v>5840</v>
      </c>
      <c r="D244" s="3420">
        <v>5810</v>
      </c>
      <c r="E244" s="3420">
        <v>7240</v>
      </c>
      <c r="F244" s="3426">
        <v>1100</v>
      </c>
      <c r="G244" s="3433">
        <v>3560</v>
      </c>
      <c r="I244" s="1024"/>
      <c r="J244" s="3456"/>
      <c r="K244" s="3456"/>
      <c r="L244" s="3456"/>
      <c r="M244" s="3456"/>
      <c r="N244" s="3456"/>
      <c r="O244" s="3456"/>
      <c r="P244" s="3456"/>
      <c r="Q244" s="3456"/>
      <c r="R244" s="3456"/>
      <c r="S244" s="3456"/>
      <c r="T244" s="3456"/>
      <c r="U244" s="3456"/>
    </row>
    <row r="245" spans="1:21" s="1011" customFormat="1" ht="14.25" customHeight="1">
      <c r="A245" s="1289" t="s">
        <v>1155</v>
      </c>
      <c r="B245" s="1289" t="s">
        <v>1053</v>
      </c>
      <c r="C245" s="1289">
        <v>6040</v>
      </c>
      <c r="D245" s="1289">
        <v>6000</v>
      </c>
      <c r="E245" s="1289">
        <v>7420</v>
      </c>
      <c r="F245" s="3421">
        <v>1140</v>
      </c>
      <c r="G245" s="3421">
        <v>3690</v>
      </c>
      <c r="I245" s="1024"/>
      <c r="J245" s="3456"/>
      <c r="K245" s="3456"/>
      <c r="L245" s="3456"/>
      <c r="M245" s="3456"/>
      <c r="N245" s="3456"/>
      <c r="O245" s="3456"/>
      <c r="P245" s="3456"/>
      <c r="Q245" s="3456"/>
      <c r="R245" s="3456"/>
      <c r="S245" s="3456"/>
      <c r="T245" s="3456"/>
      <c r="U245" s="3456"/>
    </row>
    <row r="246" spans="1:21" s="1011" customFormat="1" ht="14.25" customHeight="1">
      <c r="A246" s="3420" t="s">
        <v>1155</v>
      </c>
      <c r="B246" s="3420" t="s">
        <v>1060</v>
      </c>
      <c r="C246" s="3420">
        <v>5890</v>
      </c>
      <c r="D246" s="3420">
        <v>5860</v>
      </c>
      <c r="E246" s="3420">
        <v>7300</v>
      </c>
      <c r="F246" s="3426">
        <v>1110</v>
      </c>
      <c r="G246" s="3426">
        <v>3590</v>
      </c>
      <c r="I246" s="1024"/>
      <c r="J246" s="3456"/>
      <c r="K246" s="3456"/>
      <c r="L246" s="3456"/>
      <c r="M246" s="3456"/>
      <c r="N246" s="3456"/>
      <c r="O246" s="3456"/>
      <c r="P246" s="3456"/>
      <c r="Q246" s="3456"/>
      <c r="R246" s="3456"/>
      <c r="S246" s="3456"/>
      <c r="T246" s="3456"/>
      <c r="U246" s="3456"/>
    </row>
    <row r="247" spans="1:21" s="1011" customFormat="1" ht="14.25" customHeight="1">
      <c r="A247" s="3420" t="s">
        <v>1155</v>
      </c>
      <c r="B247" s="3420" t="s">
        <v>2931</v>
      </c>
      <c r="C247" s="3420">
        <v>6480</v>
      </c>
      <c r="D247" s="3420">
        <v>6450</v>
      </c>
      <c r="E247" s="3420">
        <v>8010</v>
      </c>
      <c r="F247" s="3426">
        <v>1170</v>
      </c>
      <c r="G247" s="3426">
        <v>3960</v>
      </c>
      <c r="I247" s="1024"/>
      <c r="J247" s="3456"/>
      <c r="K247" s="3456"/>
      <c r="L247" s="3456"/>
      <c r="M247" s="3456"/>
      <c r="N247" s="3456"/>
      <c r="O247" s="3456"/>
      <c r="P247" s="3456"/>
      <c r="Q247" s="3456"/>
      <c r="R247" s="3456"/>
      <c r="S247" s="3456"/>
      <c r="T247" s="3456"/>
      <c r="U247" s="3456"/>
    </row>
    <row r="248" spans="1:21" s="1011" customFormat="1" ht="14.25" customHeight="1">
      <c r="A248" s="3420" t="s">
        <v>1155</v>
      </c>
      <c r="B248" s="3420" t="s">
        <v>1075</v>
      </c>
      <c r="C248" s="3420">
        <v>6860</v>
      </c>
      <c r="D248" s="3420">
        <v>6840</v>
      </c>
      <c r="E248" s="3420">
        <v>8520</v>
      </c>
      <c r="F248" s="3426">
        <v>1240</v>
      </c>
      <c r="G248" s="3426">
        <v>4200</v>
      </c>
      <c r="I248" s="1024"/>
      <c r="J248" s="3456"/>
      <c r="K248" s="3456"/>
      <c r="L248" s="3456"/>
      <c r="M248" s="3456"/>
      <c r="N248" s="3456"/>
      <c r="O248" s="3456"/>
      <c r="P248" s="3456"/>
      <c r="Q248" s="3456"/>
      <c r="R248" s="3456"/>
      <c r="S248" s="3456"/>
      <c r="T248" s="3456"/>
      <c r="U248" s="3456"/>
    </row>
    <row r="249" spans="1:21" s="1011" customFormat="1" ht="14.25" customHeight="1">
      <c r="A249" s="3420" t="s">
        <v>1155</v>
      </c>
      <c r="B249" s="3420" t="s">
        <v>2932</v>
      </c>
      <c r="C249" s="3420">
        <v>7180</v>
      </c>
      <c r="D249" s="3420">
        <v>7140</v>
      </c>
      <c r="E249" s="3420">
        <v>8900</v>
      </c>
      <c r="F249" s="3426">
        <v>1350</v>
      </c>
      <c r="G249" s="3426">
        <v>4380</v>
      </c>
      <c r="I249" s="1024"/>
      <c r="J249" s="3456"/>
      <c r="K249" s="3456"/>
      <c r="L249" s="3456"/>
      <c r="M249" s="3456"/>
      <c r="N249" s="3456"/>
      <c r="O249" s="3456"/>
      <c r="P249" s="3456"/>
      <c r="Q249" s="3456"/>
      <c r="R249" s="3456"/>
      <c r="S249" s="3456"/>
      <c r="T249" s="3456"/>
      <c r="U249" s="3456"/>
    </row>
    <row r="250" spans="1:21" s="1011" customFormat="1" ht="14.25" customHeight="1">
      <c r="A250" s="3420" t="s">
        <v>1155</v>
      </c>
      <c r="B250" s="3420" t="s">
        <v>1089</v>
      </c>
      <c r="C250" s="3420">
        <v>6880</v>
      </c>
      <c r="D250" s="3420">
        <v>6860</v>
      </c>
      <c r="E250" s="3420">
        <v>8550</v>
      </c>
      <c r="F250" s="3426">
        <v>1220</v>
      </c>
      <c r="G250" s="3426">
        <v>4210</v>
      </c>
      <c r="I250" s="1024"/>
      <c r="J250" s="3456"/>
      <c r="K250" s="3456"/>
      <c r="L250" s="3456"/>
      <c r="M250" s="3456"/>
      <c r="N250" s="3456"/>
      <c r="O250" s="3456"/>
      <c r="P250" s="3456"/>
      <c r="Q250" s="3456"/>
      <c r="R250" s="3456"/>
      <c r="S250" s="3456"/>
      <c r="T250" s="3456"/>
      <c r="U250" s="3456"/>
    </row>
    <row r="251" spans="1:21" s="1011" customFormat="1" ht="14.25" customHeight="1">
      <c r="A251" s="3420" t="s">
        <v>1155</v>
      </c>
      <c r="B251" s="3420" t="s">
        <v>1097</v>
      </c>
      <c r="C251" s="3420"/>
      <c r="D251" s="3420"/>
      <c r="E251" s="3420"/>
      <c r="F251" s="3426">
        <v>1100</v>
      </c>
      <c r="G251" s="3426"/>
      <c r="I251" s="1024"/>
      <c r="J251" s="3456"/>
      <c r="K251" s="3456"/>
      <c r="L251" s="3456"/>
      <c r="M251" s="3456"/>
      <c r="N251" s="3456"/>
      <c r="O251" s="3456"/>
      <c r="P251" s="3456"/>
      <c r="Q251" s="3456"/>
      <c r="R251" s="3456"/>
      <c r="S251" s="3456"/>
      <c r="T251" s="3456"/>
      <c r="U251" s="3456"/>
    </row>
    <row r="252" spans="1:21" s="1011" customFormat="1" ht="14.25" customHeight="1">
      <c r="A252" s="3420" t="s">
        <v>1155</v>
      </c>
      <c r="B252" s="3420" t="s">
        <v>2933</v>
      </c>
      <c r="C252" s="3420">
        <v>7240</v>
      </c>
      <c r="D252" s="3420">
        <v>7200</v>
      </c>
      <c r="E252" s="3420">
        <v>9040</v>
      </c>
      <c r="F252" s="3426">
        <v>1380</v>
      </c>
      <c r="G252" s="3426">
        <v>4420</v>
      </c>
      <c r="I252" s="1024"/>
      <c r="J252" s="3456"/>
      <c r="K252" s="3456"/>
      <c r="L252" s="3456"/>
      <c r="M252" s="3456"/>
      <c r="N252" s="3456"/>
      <c r="O252" s="3456"/>
      <c r="P252" s="3456"/>
      <c r="Q252" s="3456"/>
      <c r="R252" s="3456"/>
      <c r="S252" s="3456"/>
      <c r="T252" s="3456"/>
      <c r="U252" s="3456"/>
    </row>
    <row r="253" spans="1:21" s="1011" customFormat="1" ht="14.25" customHeight="1">
      <c r="A253" s="3420" t="s">
        <v>1155</v>
      </c>
      <c r="B253" s="3420" t="s">
        <v>1132</v>
      </c>
      <c r="C253" s="3420">
        <v>6670</v>
      </c>
      <c r="D253" s="3420">
        <v>6650</v>
      </c>
      <c r="E253" s="3420">
        <v>8350</v>
      </c>
      <c r="F253" s="3426">
        <v>1260</v>
      </c>
      <c r="G253" s="3426">
        <v>4080</v>
      </c>
      <c r="I253" s="1024"/>
      <c r="J253" s="3456"/>
      <c r="K253" s="3456"/>
      <c r="L253" s="3456"/>
      <c r="M253" s="3456"/>
      <c r="N253" s="3456"/>
      <c r="O253" s="3456"/>
      <c r="P253" s="3456"/>
      <c r="Q253" s="3456"/>
      <c r="R253" s="3456"/>
      <c r="S253" s="3456"/>
      <c r="T253" s="3456"/>
      <c r="U253" s="3456"/>
    </row>
    <row r="254" spans="1:21" s="1011" customFormat="1" ht="14.25" customHeight="1">
      <c r="A254" s="3420" t="s">
        <v>1155</v>
      </c>
      <c r="B254" s="3420" t="s">
        <v>1135</v>
      </c>
      <c r="C254" s="3429">
        <v>7630</v>
      </c>
      <c r="D254" s="3429">
        <v>7590</v>
      </c>
      <c r="E254" s="3429">
        <v>9380</v>
      </c>
      <c r="F254" s="3428">
        <v>1320</v>
      </c>
      <c r="G254" s="3426">
        <v>4660</v>
      </c>
      <c r="I254" s="1024"/>
      <c r="J254" s="3456"/>
      <c r="K254" s="3456"/>
      <c r="L254" s="3456"/>
      <c r="M254" s="3456"/>
      <c r="N254" s="3456"/>
      <c r="O254" s="3456"/>
      <c r="P254" s="3456"/>
      <c r="Q254" s="3456"/>
      <c r="R254" s="3456"/>
      <c r="S254" s="3456"/>
      <c r="T254" s="3456"/>
      <c r="U254" s="3456"/>
    </row>
    <row r="255" spans="1:21" s="1011" customFormat="1" ht="14.25" customHeight="1">
      <c r="A255" s="3420" t="s">
        <v>1155</v>
      </c>
      <c r="B255" s="3420" t="s">
        <v>1138</v>
      </c>
      <c r="C255" s="3429">
        <v>6940</v>
      </c>
      <c r="D255" s="3429">
        <v>6890</v>
      </c>
      <c r="E255" s="3429">
        <v>8650</v>
      </c>
      <c r="F255" s="3428">
        <v>1210</v>
      </c>
      <c r="G255" s="3426">
        <v>4230</v>
      </c>
      <c r="I255" s="1024"/>
      <c r="J255" s="3456"/>
      <c r="K255" s="3456"/>
      <c r="L255" s="3456"/>
      <c r="M255" s="3456"/>
      <c r="N255" s="3456"/>
      <c r="O255" s="3456"/>
      <c r="P255" s="3456"/>
      <c r="Q255" s="3456"/>
      <c r="R255" s="3456"/>
      <c r="S255" s="3456"/>
      <c r="T255" s="3456"/>
      <c r="U255" s="3456"/>
    </row>
    <row r="256" spans="1:21" s="1011" customFormat="1" ht="14.25" customHeight="1">
      <c r="A256" s="3420" t="s">
        <v>1155</v>
      </c>
      <c r="B256" s="3420" t="s">
        <v>2934</v>
      </c>
      <c r="C256" s="3420">
        <v>7520</v>
      </c>
      <c r="D256" s="3420">
        <v>7490</v>
      </c>
      <c r="E256" s="3420">
        <v>9240</v>
      </c>
      <c r="F256" s="3426">
        <v>1270</v>
      </c>
      <c r="G256" s="3426">
        <v>4590</v>
      </c>
      <c r="I256" s="1024"/>
      <c r="J256" s="3456"/>
      <c r="K256" s="3456"/>
      <c r="L256" s="3456"/>
      <c r="M256" s="3456"/>
      <c r="N256" s="3456"/>
      <c r="O256" s="3456"/>
      <c r="P256" s="3456"/>
      <c r="Q256" s="3456"/>
      <c r="R256" s="3456"/>
      <c r="S256" s="3456"/>
      <c r="T256" s="3456"/>
      <c r="U256" s="3456"/>
    </row>
    <row r="257" spans="1:21" s="1011" customFormat="1" ht="14.25" customHeight="1">
      <c r="A257" s="3420" t="s">
        <v>1155</v>
      </c>
      <c r="B257" s="3420" t="s">
        <v>1124</v>
      </c>
      <c r="C257" s="3420">
        <v>6280</v>
      </c>
      <c r="D257" s="3420">
        <v>6230</v>
      </c>
      <c r="E257" s="3420">
        <v>7740</v>
      </c>
      <c r="F257" s="3426">
        <v>1080</v>
      </c>
      <c r="G257" s="3426">
        <v>3830</v>
      </c>
      <c r="I257" s="1024"/>
      <c r="J257" s="3456"/>
      <c r="K257" s="3456"/>
      <c r="L257" s="3456"/>
      <c r="M257" s="3456"/>
      <c r="N257" s="3456"/>
      <c r="O257" s="3456"/>
      <c r="P257" s="3456"/>
      <c r="Q257" s="3456"/>
      <c r="R257" s="3456"/>
      <c r="S257" s="3456"/>
      <c r="T257" s="3456"/>
      <c r="U257" s="3456"/>
    </row>
    <row r="258" spans="1:21" s="1011" customFormat="1" ht="14.25" customHeight="1">
      <c r="A258" s="3420" t="s">
        <v>1155</v>
      </c>
      <c r="B258" s="3420" t="s">
        <v>2935</v>
      </c>
      <c r="C258" s="3420">
        <v>6190</v>
      </c>
      <c r="D258" s="3420">
        <v>6160</v>
      </c>
      <c r="E258" s="3420">
        <v>7680</v>
      </c>
      <c r="F258" s="3426">
        <v>1170</v>
      </c>
      <c r="G258" s="3426">
        <v>3780</v>
      </c>
      <c r="I258" s="1024"/>
      <c r="J258" s="3456"/>
      <c r="K258" s="3456"/>
      <c r="L258" s="3456"/>
      <c r="M258" s="3456"/>
      <c r="N258" s="3456"/>
      <c r="O258" s="3456"/>
      <c r="P258" s="3456"/>
      <c r="Q258" s="3456"/>
      <c r="R258" s="3456"/>
      <c r="S258" s="3456"/>
      <c r="T258" s="3456"/>
      <c r="U258" s="3456"/>
    </row>
    <row r="259" spans="1:21" s="1011" customFormat="1" ht="14.25" customHeight="1">
      <c r="A259" s="3420" t="s">
        <v>1155</v>
      </c>
      <c r="B259" s="3420" t="s">
        <v>2936</v>
      </c>
      <c r="C259" s="3420">
        <v>7610</v>
      </c>
      <c r="D259" s="3420">
        <v>7570</v>
      </c>
      <c r="E259" s="3420">
        <v>9350</v>
      </c>
      <c r="F259" s="3426">
        <v>1350</v>
      </c>
      <c r="G259" s="3426">
        <v>4650</v>
      </c>
      <c r="I259" s="1024"/>
      <c r="J259" s="3456"/>
      <c r="K259" s="3456"/>
      <c r="L259" s="3456"/>
      <c r="M259" s="3456"/>
      <c r="N259" s="3456"/>
      <c r="O259" s="3456"/>
      <c r="P259" s="3456"/>
      <c r="Q259" s="3456"/>
      <c r="R259" s="3456"/>
      <c r="S259" s="3456"/>
      <c r="T259" s="3456"/>
      <c r="U259" s="3456"/>
    </row>
    <row r="260" spans="1:21" s="1011" customFormat="1" ht="14.25" customHeight="1">
      <c r="A260" s="3420" t="s">
        <v>1155</v>
      </c>
      <c r="B260" s="3420" t="s">
        <v>2937</v>
      </c>
      <c r="C260" s="3420">
        <v>6920</v>
      </c>
      <c r="D260" s="3420">
        <v>6880</v>
      </c>
      <c r="E260" s="3420">
        <v>8380</v>
      </c>
      <c r="F260" s="3426">
        <v>1160</v>
      </c>
      <c r="G260" s="3426">
        <v>4220</v>
      </c>
      <c r="I260" s="1024"/>
      <c r="J260" s="3456"/>
      <c r="K260" s="3456"/>
      <c r="L260" s="3456"/>
      <c r="M260" s="3456"/>
      <c r="N260" s="3456"/>
      <c r="O260" s="3456"/>
      <c r="P260" s="3456"/>
      <c r="Q260" s="3456"/>
      <c r="R260" s="3456"/>
      <c r="S260" s="3456"/>
      <c r="T260" s="3456"/>
      <c r="U260" s="3456"/>
    </row>
    <row r="261" spans="1:21" s="1011" customFormat="1" ht="14.25" customHeight="1">
      <c r="A261" s="3420" t="s">
        <v>1155</v>
      </c>
      <c r="B261" s="3420" t="s">
        <v>2938</v>
      </c>
      <c r="C261" s="3420">
        <v>6850</v>
      </c>
      <c r="D261" s="3420">
        <v>6810</v>
      </c>
      <c r="E261" s="3420">
        <v>8290</v>
      </c>
      <c r="F261" s="3426">
        <v>1130</v>
      </c>
      <c r="G261" s="3426">
        <v>4180</v>
      </c>
      <c r="I261" s="1024"/>
      <c r="J261" s="3456"/>
      <c r="K261" s="3456"/>
      <c r="L261" s="3456"/>
      <c r="M261" s="3456"/>
      <c r="N261" s="3456"/>
      <c r="O261" s="3456"/>
      <c r="P261" s="3456"/>
      <c r="Q261" s="3456"/>
      <c r="R261" s="3456"/>
      <c r="S261" s="3456"/>
      <c r="T261" s="3456"/>
      <c r="U261" s="3456"/>
    </row>
    <row r="262" spans="1:21" s="1011" customFormat="1" ht="14.25" customHeight="1">
      <c r="A262" s="3420" t="s">
        <v>1155</v>
      </c>
      <c r="B262" s="3420" t="s">
        <v>2939</v>
      </c>
      <c r="C262" s="3420">
        <v>5860</v>
      </c>
      <c r="D262" s="3420">
        <v>5820</v>
      </c>
      <c r="E262" s="3420">
        <v>7640</v>
      </c>
      <c r="F262" s="3426">
        <v>1070</v>
      </c>
      <c r="G262" s="3428">
        <v>3570</v>
      </c>
      <c r="I262" s="1024"/>
      <c r="J262" s="3456"/>
      <c r="K262" s="3456"/>
      <c r="L262" s="3456"/>
      <c r="M262" s="3456"/>
      <c r="N262" s="3456"/>
      <c r="O262" s="3456"/>
      <c r="P262" s="3456"/>
      <c r="Q262" s="3456"/>
      <c r="R262" s="3456"/>
      <c r="S262" s="3456"/>
      <c r="T262" s="3456"/>
      <c r="U262" s="3456"/>
    </row>
    <row r="263" spans="1:21" s="1011" customFormat="1" ht="14.25" customHeight="1">
      <c r="A263" s="3420" t="s">
        <v>1155</v>
      </c>
      <c r="B263" s="3420" t="s">
        <v>2940</v>
      </c>
      <c r="C263" s="3420">
        <v>5870</v>
      </c>
      <c r="D263" s="3420">
        <v>5840</v>
      </c>
      <c r="E263" s="3420">
        <v>7270</v>
      </c>
      <c r="F263" s="3426">
        <v>1190</v>
      </c>
      <c r="G263" s="3426">
        <v>3580</v>
      </c>
      <c r="I263" s="1024"/>
      <c r="J263" s="3456"/>
      <c r="K263" s="3456"/>
      <c r="L263" s="3456"/>
      <c r="M263" s="3456"/>
      <c r="N263" s="3456"/>
      <c r="O263" s="3456"/>
      <c r="P263" s="3456"/>
      <c r="Q263" s="3456"/>
      <c r="R263" s="3456"/>
      <c r="S263" s="3456"/>
      <c r="T263" s="3456"/>
      <c r="U263" s="3456"/>
    </row>
    <row r="264" spans="1:21" s="1011" customFormat="1" ht="14.25" customHeight="1">
      <c r="A264" s="3420" t="s">
        <v>1155</v>
      </c>
      <c r="B264" s="3420" t="s">
        <v>1148</v>
      </c>
      <c r="C264" s="3420">
        <v>6190</v>
      </c>
      <c r="D264" s="3420">
        <v>6150</v>
      </c>
      <c r="E264" s="3420">
        <v>7660</v>
      </c>
      <c r="F264" s="3426">
        <v>1160</v>
      </c>
      <c r="G264" s="3426">
        <v>3770</v>
      </c>
      <c r="I264" s="1024"/>
      <c r="J264" s="3456"/>
      <c r="K264" s="3456"/>
      <c r="L264" s="3456"/>
      <c r="M264" s="3456"/>
      <c r="N264" s="3456"/>
      <c r="O264" s="3456"/>
      <c r="P264" s="3456"/>
      <c r="Q264" s="3456"/>
      <c r="R264" s="3456"/>
      <c r="S264" s="3456"/>
      <c r="T264" s="3456"/>
      <c r="U264" s="3456"/>
    </row>
    <row r="265" spans="1:21" s="1011" customFormat="1" ht="14.25" customHeight="1">
      <c r="A265" s="3420" t="s">
        <v>1155</v>
      </c>
      <c r="B265" s="3420" t="s">
        <v>2941</v>
      </c>
      <c r="C265" s="3420"/>
      <c r="D265" s="3420"/>
      <c r="E265" s="3420"/>
      <c r="F265" s="3426">
        <v>1500</v>
      </c>
      <c r="G265" s="3426"/>
      <c r="I265" s="1024"/>
      <c r="J265" s="3456"/>
      <c r="K265" s="3456"/>
      <c r="L265" s="3456"/>
      <c r="M265" s="3456"/>
      <c r="N265" s="3456"/>
      <c r="O265" s="3456"/>
      <c r="P265" s="3456"/>
      <c r="Q265" s="3456"/>
      <c r="R265" s="3456"/>
      <c r="S265" s="3456"/>
      <c r="T265" s="3456"/>
      <c r="U265" s="3456"/>
    </row>
    <row r="266" spans="1:21" s="1011" customFormat="1" ht="14.25" customHeight="1">
      <c r="A266" s="3420" t="s">
        <v>1155</v>
      </c>
      <c r="B266" s="3420" t="s">
        <v>2942</v>
      </c>
      <c r="C266" s="3420"/>
      <c r="D266" s="3420"/>
      <c r="E266" s="3420"/>
      <c r="F266" s="3426">
        <v>1500</v>
      </c>
      <c r="G266" s="3426"/>
      <c r="I266" s="1024"/>
      <c r="J266" s="3456"/>
      <c r="K266" s="3456"/>
      <c r="L266" s="3456"/>
      <c r="M266" s="3456"/>
      <c r="N266" s="3456"/>
      <c r="O266" s="3456"/>
      <c r="P266" s="3456"/>
      <c r="Q266" s="3456"/>
      <c r="R266" s="3456"/>
      <c r="S266" s="3456"/>
      <c r="T266" s="3456"/>
      <c r="U266" s="3456"/>
    </row>
    <row r="267" spans="1:21" s="1011" customFormat="1" ht="14.25" customHeight="1">
      <c r="A267" s="3420" t="s">
        <v>1155</v>
      </c>
      <c r="B267" s="3420" t="s">
        <v>2943</v>
      </c>
      <c r="C267" s="3420"/>
      <c r="D267" s="3420"/>
      <c r="E267" s="3420"/>
      <c r="F267" s="3426">
        <v>1500</v>
      </c>
      <c r="G267" s="3428"/>
      <c r="I267" s="1024"/>
      <c r="J267" s="3456"/>
      <c r="K267" s="3456"/>
      <c r="L267" s="3456"/>
      <c r="M267" s="3456"/>
      <c r="N267" s="3456"/>
      <c r="O267" s="3456"/>
      <c r="P267" s="3456"/>
      <c r="Q267" s="3456"/>
      <c r="R267" s="3456"/>
      <c r="S267" s="3456"/>
      <c r="T267" s="3456"/>
      <c r="U267" s="3456"/>
    </row>
    <row r="268" spans="1:21" s="1011" customFormat="1" ht="14.25" customHeight="1">
      <c r="A268" s="3420" t="s">
        <v>1155</v>
      </c>
      <c r="B268" s="3420" t="s">
        <v>2944</v>
      </c>
      <c r="C268" s="3420"/>
      <c r="D268" s="3420"/>
      <c r="E268" s="3420"/>
      <c r="F268" s="3426">
        <v>1290</v>
      </c>
      <c r="G268" s="3426"/>
      <c r="I268" s="1024"/>
      <c r="J268" s="3456"/>
      <c r="K268" s="3456"/>
      <c r="L268" s="3456"/>
      <c r="M268" s="3456"/>
      <c r="N268" s="3456"/>
      <c r="O268" s="3456"/>
      <c r="P268" s="3456"/>
      <c r="Q268" s="3456"/>
      <c r="R268" s="3456"/>
      <c r="S268" s="3456"/>
      <c r="T268" s="3456"/>
      <c r="U268" s="3456"/>
    </row>
    <row r="269" spans="1:21" s="1011" customFormat="1" ht="14.25" customHeight="1">
      <c r="A269" s="3420" t="s">
        <v>1155</v>
      </c>
      <c r="B269" s="3420" t="s">
        <v>2945</v>
      </c>
      <c r="C269" s="3420"/>
      <c r="D269" s="3420"/>
      <c r="E269" s="3420"/>
      <c r="F269" s="3426">
        <v>1150</v>
      </c>
      <c r="G269" s="3426"/>
      <c r="I269" s="1024"/>
      <c r="J269" s="3456"/>
      <c r="K269" s="3456"/>
      <c r="L269" s="3456"/>
      <c r="M269" s="3456"/>
      <c r="N269" s="3456"/>
      <c r="O269" s="3456"/>
      <c r="P269" s="3456"/>
      <c r="Q269" s="3456"/>
      <c r="R269" s="3456"/>
      <c r="S269" s="3456"/>
      <c r="T269" s="3456"/>
      <c r="U269" s="3456"/>
    </row>
    <row r="270" spans="1:21" s="1011" customFormat="1" ht="14.25" customHeight="1">
      <c r="A270" s="3420" t="s">
        <v>1155</v>
      </c>
      <c r="B270" s="3420" t="s">
        <v>2946</v>
      </c>
      <c r="C270" s="3420"/>
      <c r="D270" s="3420"/>
      <c r="E270" s="3420"/>
      <c r="F270" s="3426">
        <v>1380</v>
      </c>
      <c r="G270" s="3426"/>
      <c r="I270" s="1024"/>
      <c r="J270" s="3456"/>
      <c r="K270" s="3456"/>
      <c r="L270" s="3456"/>
      <c r="M270" s="3456"/>
      <c r="N270" s="3456"/>
      <c r="O270" s="3456"/>
      <c r="P270" s="3456"/>
      <c r="Q270" s="3456"/>
      <c r="R270" s="3456"/>
      <c r="S270" s="3456"/>
      <c r="T270" s="3456"/>
      <c r="U270" s="3456"/>
    </row>
    <row r="271" spans="1:21" s="1011" customFormat="1" ht="14.25" customHeight="1">
      <c r="A271" s="3420" t="s">
        <v>1155</v>
      </c>
      <c r="B271" s="3420" t="s">
        <v>2947</v>
      </c>
      <c r="C271" s="3420"/>
      <c r="D271" s="3420"/>
      <c r="E271" s="3420"/>
      <c r="F271" s="3426">
        <v>1460</v>
      </c>
      <c r="G271" s="3426"/>
      <c r="I271" s="1024"/>
      <c r="J271" s="3456"/>
      <c r="K271" s="3456"/>
      <c r="L271" s="3456"/>
      <c r="M271" s="3456"/>
      <c r="N271" s="3456"/>
      <c r="O271" s="3456"/>
      <c r="P271" s="3456"/>
      <c r="Q271" s="3456"/>
      <c r="R271" s="3456"/>
      <c r="S271" s="3456"/>
      <c r="T271" s="3456"/>
      <c r="U271" s="3456"/>
    </row>
    <row r="272" spans="1:21" s="1011" customFormat="1" ht="14.25" customHeight="1">
      <c r="A272" s="3420" t="s">
        <v>1155</v>
      </c>
      <c r="B272" s="3420" t="s">
        <v>2948</v>
      </c>
      <c r="C272" s="3429"/>
      <c r="D272" s="3429"/>
      <c r="E272" s="3429"/>
      <c r="F272" s="3428">
        <v>1460</v>
      </c>
      <c r="G272" s="3426"/>
      <c r="I272" s="1024"/>
      <c r="J272" s="3456"/>
      <c r="K272" s="3456"/>
      <c r="L272" s="3456"/>
      <c r="M272" s="3456"/>
      <c r="N272" s="3456"/>
      <c r="O272" s="3456"/>
      <c r="P272" s="3456"/>
      <c r="Q272" s="3456"/>
      <c r="R272" s="3456"/>
      <c r="S272" s="3456"/>
      <c r="T272" s="3456"/>
      <c r="U272" s="3456"/>
    </row>
    <row r="273" spans="1:21" s="1011" customFormat="1" ht="14.25" customHeight="1">
      <c r="A273" s="3420" t="s">
        <v>1155</v>
      </c>
      <c r="B273" s="3420" t="s">
        <v>2949</v>
      </c>
      <c r="C273" s="3420"/>
      <c r="D273" s="3420"/>
      <c r="E273" s="3420"/>
      <c r="F273" s="3426">
        <v>1490</v>
      </c>
      <c r="G273" s="3426"/>
      <c r="I273" s="1024"/>
      <c r="J273" s="3456"/>
      <c r="K273" s="3456"/>
      <c r="L273" s="3456"/>
      <c r="M273" s="3456"/>
      <c r="N273" s="3456"/>
      <c r="O273" s="3456"/>
      <c r="P273" s="3456"/>
      <c r="Q273" s="3456"/>
      <c r="R273" s="3456"/>
      <c r="S273" s="3456"/>
      <c r="T273" s="3456"/>
      <c r="U273" s="3456"/>
    </row>
    <row r="274" spans="1:21" s="1011" customFormat="1" ht="14.25" customHeight="1">
      <c r="A274" s="3420" t="s">
        <v>1155</v>
      </c>
      <c r="B274" s="3420" t="s">
        <v>2950</v>
      </c>
      <c r="C274" s="3420"/>
      <c r="D274" s="3420"/>
      <c r="E274" s="3420"/>
      <c r="F274" s="3426">
        <v>1490</v>
      </c>
      <c r="G274" s="3426"/>
      <c r="I274" s="1024"/>
      <c r="J274" s="3456"/>
      <c r="K274" s="3456"/>
      <c r="L274" s="3456"/>
      <c r="M274" s="3456"/>
      <c r="N274" s="3456"/>
      <c r="O274" s="3456"/>
      <c r="P274" s="3456"/>
      <c r="Q274" s="3456"/>
      <c r="R274" s="3456"/>
      <c r="S274" s="3456"/>
      <c r="T274" s="3456"/>
      <c r="U274" s="3456"/>
    </row>
    <row r="275" spans="1:21" s="1011" customFormat="1" ht="14.25" customHeight="1">
      <c r="A275" s="3420" t="s">
        <v>1155</v>
      </c>
      <c r="B275" s="3420" t="s">
        <v>2951</v>
      </c>
      <c r="C275" s="3420"/>
      <c r="D275" s="3420"/>
      <c r="E275" s="3420"/>
      <c r="F275" s="3426">
        <v>1220</v>
      </c>
      <c r="G275" s="3426"/>
      <c r="I275" s="1024"/>
      <c r="J275" s="3456"/>
      <c r="K275" s="3456"/>
      <c r="L275" s="3456"/>
      <c r="M275" s="3456"/>
      <c r="N275" s="3456"/>
      <c r="O275" s="3456"/>
      <c r="P275" s="3456"/>
      <c r="Q275" s="3456"/>
      <c r="R275" s="3456"/>
      <c r="S275" s="3456"/>
      <c r="T275" s="3456"/>
      <c r="U275" s="3456"/>
    </row>
    <row r="276" spans="1:21" s="1011" customFormat="1" ht="14.25" customHeight="1" thickBot="1">
      <c r="A276" s="3435" t="s">
        <v>1155</v>
      </c>
      <c r="B276" s="3423" t="s">
        <v>2952</v>
      </c>
      <c r="C276" s="3423"/>
      <c r="D276" s="3423"/>
      <c r="E276" s="3423"/>
      <c r="F276" s="3424">
        <v>1380</v>
      </c>
      <c r="G276" s="3436"/>
      <c r="I276" s="1024"/>
      <c r="J276" s="3456"/>
      <c r="K276" s="3456"/>
      <c r="L276" s="3456"/>
      <c r="M276" s="3456"/>
      <c r="N276" s="3456"/>
      <c r="O276" s="3456"/>
      <c r="P276" s="3456"/>
      <c r="Q276" s="3456"/>
      <c r="R276" s="3456"/>
      <c r="S276" s="3456"/>
      <c r="T276" s="3456"/>
      <c r="U276" s="3456"/>
    </row>
    <row r="277" spans="1:21" s="1011" customFormat="1" ht="14.25" customHeight="1">
      <c r="A277" s="3434" t="s">
        <v>1156</v>
      </c>
      <c r="B277" s="1289" t="s">
        <v>2953</v>
      </c>
      <c r="C277" s="1289">
        <v>5790</v>
      </c>
      <c r="D277" s="1289">
        <v>5740</v>
      </c>
      <c r="E277" s="1289">
        <v>6730</v>
      </c>
      <c r="F277" s="3421">
        <v>1110</v>
      </c>
      <c r="G277" s="3421">
        <v>3460</v>
      </c>
      <c r="I277" s="1024"/>
      <c r="J277" s="3456"/>
      <c r="K277" s="3456"/>
      <c r="L277" s="3456"/>
      <c r="M277" s="3456"/>
      <c r="N277" s="3456"/>
      <c r="O277" s="3456"/>
      <c r="P277" s="3456"/>
      <c r="Q277" s="3456"/>
      <c r="R277" s="3456"/>
      <c r="S277" s="3456"/>
      <c r="T277" s="3456"/>
      <c r="U277" s="3456"/>
    </row>
    <row r="278" spans="1:21" s="1011" customFormat="1" ht="14.25" customHeight="1">
      <c r="A278" s="3420" t="s">
        <v>1156</v>
      </c>
      <c r="B278" s="3420" t="s">
        <v>980</v>
      </c>
      <c r="C278" s="3420">
        <v>5740</v>
      </c>
      <c r="D278" s="3420">
        <v>5670</v>
      </c>
      <c r="E278" s="3420">
        <v>6680</v>
      </c>
      <c r="F278" s="3426">
        <v>1070</v>
      </c>
      <c r="G278" s="3426">
        <v>3420</v>
      </c>
      <c r="I278" s="1024"/>
      <c r="J278" s="3456"/>
      <c r="K278" s="3456"/>
      <c r="L278" s="3456"/>
      <c r="M278" s="3456"/>
      <c r="N278" s="3456"/>
      <c r="O278" s="3456"/>
      <c r="P278" s="3456"/>
      <c r="Q278" s="3456"/>
      <c r="R278" s="3456"/>
      <c r="S278" s="3456"/>
      <c r="T278" s="3456"/>
      <c r="U278" s="3456"/>
    </row>
    <row r="279" spans="1:21" s="1011" customFormat="1" ht="14.25" customHeight="1">
      <c r="A279" s="3420" t="s">
        <v>1156</v>
      </c>
      <c r="B279" s="3420" t="s">
        <v>2954</v>
      </c>
      <c r="C279" s="3420">
        <v>4760</v>
      </c>
      <c r="D279" s="3420">
        <v>4720</v>
      </c>
      <c r="E279" s="3420">
        <v>5540</v>
      </c>
      <c r="F279" s="3426">
        <v>810</v>
      </c>
      <c r="G279" s="3426">
        <v>2850</v>
      </c>
      <c r="I279" s="1024"/>
      <c r="J279" s="3456"/>
      <c r="K279" s="3456"/>
      <c r="L279" s="3456"/>
      <c r="M279" s="3456"/>
      <c r="N279" s="3456"/>
      <c r="O279" s="3456"/>
      <c r="P279" s="3456"/>
      <c r="Q279" s="3456"/>
      <c r="R279" s="3456"/>
      <c r="S279" s="3456"/>
      <c r="T279" s="3456"/>
      <c r="U279" s="3456"/>
    </row>
    <row r="280" spans="1:21" s="1011" customFormat="1" ht="14.25" customHeight="1">
      <c r="A280" s="3420" t="s">
        <v>1156</v>
      </c>
      <c r="B280" s="3420" t="s">
        <v>2955</v>
      </c>
      <c r="C280" s="3420">
        <v>4010</v>
      </c>
      <c r="D280" s="3420">
        <v>3950</v>
      </c>
      <c r="E280" s="3420">
        <v>4710</v>
      </c>
      <c r="F280" s="3426">
        <v>800</v>
      </c>
      <c r="G280" s="3426">
        <v>2390</v>
      </c>
      <c r="I280" s="1024"/>
      <c r="J280" s="3456"/>
      <c r="K280" s="3456"/>
      <c r="L280" s="3456"/>
      <c r="M280" s="3456"/>
      <c r="N280" s="3456"/>
      <c r="O280" s="3456"/>
      <c r="P280" s="3456"/>
      <c r="Q280" s="3456"/>
      <c r="R280" s="3456"/>
      <c r="S280" s="3456"/>
      <c r="T280" s="3456"/>
      <c r="U280" s="3456"/>
    </row>
    <row r="281" spans="1:21" s="1011" customFormat="1" ht="14.25" customHeight="1">
      <c r="A281" s="3420" t="s">
        <v>1156</v>
      </c>
      <c r="B281" s="3420" t="s">
        <v>2956</v>
      </c>
      <c r="C281" s="3420">
        <v>4480</v>
      </c>
      <c r="D281" s="3420">
        <v>4420</v>
      </c>
      <c r="E281" s="3420">
        <v>5230</v>
      </c>
      <c r="F281" s="3426">
        <v>870</v>
      </c>
      <c r="G281" s="3426">
        <v>2660</v>
      </c>
      <c r="I281" s="1024"/>
      <c r="J281" s="3456"/>
      <c r="K281" s="3456"/>
      <c r="L281" s="3456"/>
      <c r="M281" s="3456"/>
      <c r="N281" s="3456"/>
      <c r="O281" s="3456"/>
      <c r="P281" s="3456"/>
      <c r="Q281" s="3456"/>
      <c r="R281" s="3456"/>
      <c r="S281" s="3456"/>
      <c r="T281" s="3456"/>
      <c r="U281" s="3456"/>
    </row>
    <row r="282" spans="1:21" s="1011" customFormat="1" ht="14.25" customHeight="1">
      <c r="A282" s="3420" t="s">
        <v>1156</v>
      </c>
      <c r="B282" s="3420" t="s">
        <v>2957</v>
      </c>
      <c r="C282" s="3420">
        <v>5360</v>
      </c>
      <c r="D282" s="3420">
        <v>5300</v>
      </c>
      <c r="E282" s="3420">
        <v>6190</v>
      </c>
      <c r="F282" s="3426">
        <v>950</v>
      </c>
      <c r="G282" s="3426">
        <v>3190</v>
      </c>
      <c r="I282" s="1024"/>
      <c r="J282" s="3456"/>
      <c r="K282" s="3456"/>
      <c r="L282" s="3456"/>
      <c r="M282" s="3456"/>
      <c r="N282" s="3456"/>
      <c r="O282" s="3456"/>
      <c r="P282" s="3456"/>
      <c r="Q282" s="3456"/>
      <c r="R282" s="3456"/>
      <c r="S282" s="3456"/>
      <c r="T282" s="3456"/>
      <c r="U282" s="3456"/>
    </row>
    <row r="283" spans="1:21" s="1011" customFormat="1" ht="14.25" customHeight="1">
      <c r="A283" s="3420" t="s">
        <v>1156</v>
      </c>
      <c r="B283" s="3420" t="s">
        <v>1021</v>
      </c>
      <c r="C283" s="3420">
        <v>4950</v>
      </c>
      <c r="D283" s="3420">
        <v>4900</v>
      </c>
      <c r="E283" s="3420">
        <v>5720</v>
      </c>
      <c r="F283" s="3426">
        <v>920</v>
      </c>
      <c r="G283" s="3426">
        <v>2950</v>
      </c>
      <c r="I283" s="1024"/>
      <c r="J283" s="3456"/>
      <c r="K283" s="3456"/>
      <c r="L283" s="3456"/>
      <c r="M283" s="3456"/>
      <c r="N283" s="3456"/>
      <c r="O283" s="3456"/>
      <c r="P283" s="3456"/>
      <c r="Q283" s="3456"/>
      <c r="R283" s="3456"/>
      <c r="S283" s="3456"/>
      <c r="T283" s="3456"/>
      <c r="U283" s="3456"/>
    </row>
    <row r="284" spans="1:21" s="1011" customFormat="1" ht="14.25" customHeight="1">
      <c r="A284" s="3420" t="s">
        <v>1156</v>
      </c>
      <c r="B284" s="3420" t="s">
        <v>1029</v>
      </c>
      <c r="C284" s="3420">
        <v>5610</v>
      </c>
      <c r="D284" s="3420">
        <v>5560</v>
      </c>
      <c r="E284" s="3420">
        <v>6520</v>
      </c>
      <c r="F284" s="3426">
        <v>1030</v>
      </c>
      <c r="G284" s="3426">
        <v>3360</v>
      </c>
      <c r="I284" s="1024"/>
      <c r="J284" s="3456"/>
      <c r="K284" s="3456"/>
      <c r="L284" s="3456"/>
      <c r="M284" s="3456"/>
      <c r="N284" s="3456"/>
      <c r="O284" s="3456"/>
      <c r="P284" s="3456"/>
      <c r="Q284" s="3456"/>
      <c r="R284" s="3456"/>
      <c r="S284" s="3456"/>
      <c r="T284" s="3456"/>
      <c r="U284" s="3456"/>
    </row>
    <row r="285" spans="1:21" s="1011" customFormat="1" ht="14.25" customHeight="1">
      <c r="A285" s="3420" t="s">
        <v>1156</v>
      </c>
      <c r="B285" s="3420" t="s">
        <v>1039</v>
      </c>
      <c r="C285" s="3420">
        <v>5340</v>
      </c>
      <c r="D285" s="3420">
        <v>5290</v>
      </c>
      <c r="E285" s="3420">
        <v>6170</v>
      </c>
      <c r="F285" s="3426">
        <v>1080</v>
      </c>
      <c r="G285" s="3426">
        <v>3180</v>
      </c>
      <c r="I285" s="1024"/>
      <c r="J285" s="3456"/>
      <c r="K285" s="3456"/>
      <c r="L285" s="3456"/>
      <c r="M285" s="3456"/>
      <c r="N285" s="3456"/>
      <c r="O285" s="3456"/>
      <c r="P285" s="3456"/>
      <c r="Q285" s="3456"/>
      <c r="R285" s="3456"/>
      <c r="S285" s="3456"/>
      <c r="T285" s="3456"/>
      <c r="U285" s="3456"/>
    </row>
    <row r="286" spans="1:21" s="1011" customFormat="1" ht="14.25" customHeight="1">
      <c r="A286" s="3420" t="s">
        <v>1156</v>
      </c>
      <c r="B286" s="3420" t="s">
        <v>1046</v>
      </c>
      <c r="C286" s="3420">
        <v>4890</v>
      </c>
      <c r="D286" s="3420">
        <v>4840</v>
      </c>
      <c r="E286" s="3420">
        <v>5640</v>
      </c>
      <c r="F286" s="3426">
        <v>960</v>
      </c>
      <c r="G286" s="3426">
        <v>2910</v>
      </c>
      <c r="I286" s="1024"/>
      <c r="J286" s="3456"/>
      <c r="K286" s="3456"/>
      <c r="L286" s="3456"/>
      <c r="M286" s="3456"/>
      <c r="N286" s="3456"/>
      <c r="O286" s="3456"/>
      <c r="P286" s="3456"/>
      <c r="Q286" s="3456"/>
      <c r="R286" s="3456"/>
      <c r="S286" s="3456"/>
      <c r="T286" s="3456"/>
      <c r="U286" s="3456"/>
    </row>
    <row r="287" spans="1:21" s="1011" customFormat="1" ht="14.25" customHeight="1">
      <c r="A287" s="3420" t="s">
        <v>1156</v>
      </c>
      <c r="B287" s="3420" t="s">
        <v>2958</v>
      </c>
      <c r="C287" s="3420">
        <v>4960</v>
      </c>
      <c r="D287" s="3420">
        <v>4920</v>
      </c>
      <c r="E287" s="3420">
        <v>5730</v>
      </c>
      <c r="F287" s="3426">
        <v>930</v>
      </c>
      <c r="G287" s="3426">
        <v>2960</v>
      </c>
      <c r="I287" s="1024"/>
      <c r="J287" s="3456"/>
      <c r="K287" s="3456"/>
      <c r="L287" s="3456"/>
      <c r="M287" s="3456"/>
      <c r="N287" s="3456"/>
      <c r="O287" s="3456"/>
      <c r="P287" s="3456"/>
      <c r="Q287" s="3456"/>
      <c r="R287" s="3456"/>
      <c r="S287" s="3456"/>
      <c r="T287" s="3456"/>
      <c r="U287" s="3456"/>
    </row>
    <row r="288" spans="1:21" s="1011" customFormat="1" ht="14.25" customHeight="1">
      <c r="A288" s="3420" t="s">
        <v>1156</v>
      </c>
      <c r="B288" s="3420" t="s">
        <v>1067</v>
      </c>
      <c r="C288" s="3420">
        <v>4350</v>
      </c>
      <c r="D288" s="3420">
        <v>4300</v>
      </c>
      <c r="E288" s="3420">
        <v>4900</v>
      </c>
      <c r="F288" s="3426">
        <v>820</v>
      </c>
      <c r="G288" s="3426">
        <v>2590</v>
      </c>
      <c r="I288" s="1024"/>
      <c r="J288" s="3456"/>
      <c r="K288" s="3456"/>
      <c r="L288" s="3456"/>
      <c r="M288" s="3456"/>
      <c r="N288" s="3456"/>
      <c r="O288" s="3456"/>
      <c r="P288" s="3456"/>
      <c r="Q288" s="3456"/>
      <c r="R288" s="3456"/>
      <c r="S288" s="3456"/>
      <c r="T288" s="3456"/>
      <c r="U288" s="3456"/>
    </row>
    <row r="289" spans="1:21" s="1011" customFormat="1" ht="14.25" customHeight="1">
      <c r="A289" s="3420" t="s">
        <v>1156</v>
      </c>
      <c r="B289" s="3420" t="s">
        <v>2959</v>
      </c>
      <c r="C289" s="3420">
        <v>5230</v>
      </c>
      <c r="D289" s="3420">
        <v>5170</v>
      </c>
      <c r="E289" s="3420">
        <v>6060</v>
      </c>
      <c r="F289" s="3420">
        <v>900</v>
      </c>
      <c r="G289" s="3420">
        <v>3120</v>
      </c>
      <c r="H289" s="3442"/>
      <c r="I289" s="1024"/>
      <c r="J289" s="3456"/>
      <c r="K289" s="3456"/>
      <c r="L289" s="3456"/>
      <c r="M289" s="3456"/>
      <c r="N289" s="3456"/>
      <c r="O289" s="3456"/>
      <c r="P289" s="3456"/>
      <c r="Q289" s="3456"/>
      <c r="R289" s="3456"/>
      <c r="S289" s="3456"/>
      <c r="T289" s="3456"/>
      <c r="U289" s="3456"/>
    </row>
    <row r="290" spans="1:21" s="1011" customFormat="1" ht="14.25" customHeight="1">
      <c r="A290" s="1289" t="s">
        <v>1156</v>
      </c>
      <c r="B290" s="1289" t="s">
        <v>1090</v>
      </c>
      <c r="C290" s="1289">
        <v>5550</v>
      </c>
      <c r="D290" s="1289">
        <v>5500</v>
      </c>
      <c r="E290" s="1289">
        <v>6440</v>
      </c>
      <c r="F290" s="3421">
        <v>960</v>
      </c>
      <c r="G290" s="3437">
        <v>3320</v>
      </c>
      <c r="I290" s="1024"/>
      <c r="J290" s="3456"/>
      <c r="K290" s="3456"/>
      <c r="L290" s="3456"/>
      <c r="M290" s="3456"/>
      <c r="N290" s="3456"/>
      <c r="O290" s="3456"/>
      <c r="P290" s="3456"/>
      <c r="Q290" s="3456"/>
      <c r="R290" s="3456"/>
      <c r="S290" s="3456"/>
      <c r="T290" s="3456"/>
      <c r="U290" s="3456"/>
    </row>
    <row r="291" spans="1:21" s="1011" customFormat="1" ht="14.25" customHeight="1">
      <c r="A291" s="3420" t="s">
        <v>1156</v>
      </c>
      <c r="B291" s="3420" t="s">
        <v>1098</v>
      </c>
      <c r="C291" s="3420">
        <v>5440</v>
      </c>
      <c r="D291" s="3420">
        <v>5400</v>
      </c>
      <c r="E291" s="3420">
        <v>6320</v>
      </c>
      <c r="F291" s="3426">
        <v>930</v>
      </c>
      <c r="G291" s="3428">
        <v>3250</v>
      </c>
      <c r="I291" s="1024"/>
      <c r="J291" s="3456"/>
      <c r="K291" s="3456"/>
      <c r="L291" s="3456"/>
      <c r="M291" s="3456"/>
      <c r="N291" s="3456"/>
      <c r="O291" s="3456"/>
      <c r="P291" s="3456"/>
      <c r="Q291" s="3456"/>
      <c r="R291" s="3456"/>
      <c r="S291" s="3456"/>
      <c r="T291" s="3456"/>
      <c r="U291" s="3456"/>
    </row>
    <row r="292" spans="1:21" s="1011" customFormat="1" ht="14.25" customHeight="1">
      <c r="A292" s="3420" t="s">
        <v>1156</v>
      </c>
      <c r="B292" s="3420" t="s">
        <v>1104</v>
      </c>
      <c r="C292" s="3420">
        <v>5400</v>
      </c>
      <c r="D292" s="3420">
        <v>5360</v>
      </c>
      <c r="E292" s="3420">
        <v>6270</v>
      </c>
      <c r="F292" s="3426">
        <v>1040</v>
      </c>
      <c r="G292" s="3426">
        <v>3230</v>
      </c>
      <c r="I292" s="1024"/>
      <c r="J292" s="3456"/>
      <c r="K292" s="3456"/>
      <c r="L292" s="3456"/>
      <c r="M292" s="3456"/>
      <c r="N292" s="3456"/>
      <c r="O292" s="3456"/>
      <c r="P292" s="3456"/>
      <c r="Q292" s="3456"/>
      <c r="R292" s="3456"/>
      <c r="S292" s="3456"/>
      <c r="T292" s="3456"/>
      <c r="U292" s="3456"/>
    </row>
    <row r="293" spans="1:21" s="1011" customFormat="1" ht="14.25" customHeight="1">
      <c r="A293" s="3420" t="s">
        <v>1156</v>
      </c>
      <c r="B293" s="3420" t="s">
        <v>2960</v>
      </c>
      <c r="C293" s="3420">
        <v>5320</v>
      </c>
      <c r="D293" s="3420">
        <v>5270</v>
      </c>
      <c r="E293" s="3420">
        <v>6160</v>
      </c>
      <c r="F293" s="3426">
        <v>990</v>
      </c>
      <c r="G293" s="3426">
        <v>3170</v>
      </c>
      <c r="I293" s="1024"/>
      <c r="J293" s="3456"/>
      <c r="K293" s="3456"/>
      <c r="L293" s="3456"/>
      <c r="M293" s="3456"/>
      <c r="N293" s="3456"/>
      <c r="O293" s="3456"/>
      <c r="P293" s="3456"/>
      <c r="Q293" s="3456"/>
      <c r="R293" s="3456"/>
      <c r="S293" s="3456"/>
      <c r="T293" s="3456"/>
      <c r="U293" s="3456"/>
    </row>
    <row r="294" spans="1:21" s="1011" customFormat="1" ht="14.25" customHeight="1">
      <c r="A294" s="3420" t="s">
        <v>1156</v>
      </c>
      <c r="B294" s="3420" t="s">
        <v>2961</v>
      </c>
      <c r="C294" s="3420">
        <v>5260</v>
      </c>
      <c r="D294" s="3420">
        <v>5210</v>
      </c>
      <c r="E294" s="3420">
        <v>6100</v>
      </c>
      <c r="F294" s="3426">
        <v>950</v>
      </c>
      <c r="G294" s="3426">
        <v>3150</v>
      </c>
      <c r="I294" s="1024"/>
      <c r="J294" s="3456"/>
      <c r="K294" s="3456"/>
      <c r="L294" s="3456"/>
      <c r="M294" s="3456"/>
      <c r="N294" s="3456"/>
      <c r="O294" s="3456"/>
      <c r="P294" s="3456"/>
      <c r="Q294" s="3456"/>
      <c r="R294" s="3456"/>
      <c r="S294" s="3456"/>
      <c r="T294" s="3456"/>
      <c r="U294" s="3456"/>
    </row>
    <row r="295" spans="1:21" s="1011" customFormat="1" ht="14.25" customHeight="1">
      <c r="A295" s="3420" t="s">
        <v>1156</v>
      </c>
      <c r="B295" s="3420" t="s">
        <v>1139</v>
      </c>
      <c r="C295" s="3420">
        <v>5610</v>
      </c>
      <c r="D295" s="3420">
        <v>5570</v>
      </c>
      <c r="E295" s="3420">
        <v>6530</v>
      </c>
      <c r="F295" s="3426">
        <v>960</v>
      </c>
      <c r="G295" s="3426">
        <v>3360</v>
      </c>
      <c r="I295" s="1024"/>
      <c r="J295" s="3456"/>
      <c r="K295" s="3456"/>
      <c r="L295" s="3456"/>
      <c r="M295" s="3456"/>
      <c r="N295" s="3456"/>
      <c r="O295" s="3456"/>
      <c r="P295" s="3456"/>
      <c r="Q295" s="3456"/>
      <c r="R295" s="3456"/>
      <c r="S295" s="3456"/>
      <c r="T295" s="3456"/>
      <c r="U295" s="3456"/>
    </row>
    <row r="296" spans="1:21" s="1011" customFormat="1" ht="14.25" customHeight="1">
      <c r="A296" s="3420" t="s">
        <v>1156</v>
      </c>
      <c r="B296" s="3420" t="s">
        <v>1142</v>
      </c>
      <c r="C296" s="3420">
        <v>5540</v>
      </c>
      <c r="D296" s="3420">
        <v>5490</v>
      </c>
      <c r="E296" s="3420">
        <v>6430</v>
      </c>
      <c r="F296" s="3426">
        <v>980</v>
      </c>
      <c r="G296" s="3426">
        <v>3310</v>
      </c>
      <c r="I296" s="1024"/>
      <c r="J296" s="3456"/>
      <c r="K296" s="3456"/>
      <c r="L296" s="3456"/>
      <c r="M296" s="3456"/>
      <c r="N296" s="3456"/>
      <c r="O296" s="3456"/>
      <c r="P296" s="3456"/>
      <c r="Q296" s="3456"/>
      <c r="R296" s="3456"/>
      <c r="S296" s="3456"/>
      <c r="T296" s="3456"/>
      <c r="U296" s="3456"/>
    </row>
    <row r="297" spans="1:21" s="1011" customFormat="1" ht="14.25" customHeight="1">
      <c r="A297" s="3420" t="s">
        <v>1156</v>
      </c>
      <c r="B297" s="3420" t="s">
        <v>1144</v>
      </c>
      <c r="C297" s="3420">
        <v>5480</v>
      </c>
      <c r="D297" s="3420">
        <v>5420</v>
      </c>
      <c r="E297" s="3420">
        <v>6370</v>
      </c>
      <c r="F297" s="3426">
        <v>990</v>
      </c>
      <c r="G297" s="3426">
        <v>3270</v>
      </c>
      <c r="I297" s="1024"/>
      <c r="J297" s="3456"/>
      <c r="K297" s="3456"/>
      <c r="L297" s="3456"/>
      <c r="M297" s="3456"/>
      <c r="N297" s="3456"/>
      <c r="O297" s="3456"/>
      <c r="P297" s="3456"/>
      <c r="Q297" s="3456"/>
      <c r="R297" s="3456"/>
      <c r="S297" s="3456"/>
      <c r="T297" s="3456"/>
      <c r="U297" s="3456"/>
    </row>
    <row r="298" spans="1:21" s="1011" customFormat="1" ht="14.25" customHeight="1">
      <c r="A298" s="3420" t="s">
        <v>1156</v>
      </c>
      <c r="B298" s="3420" t="s">
        <v>1147</v>
      </c>
      <c r="C298" s="3420">
        <v>5090</v>
      </c>
      <c r="D298" s="3420">
        <v>5050</v>
      </c>
      <c r="E298" s="3420">
        <v>5910</v>
      </c>
      <c r="F298" s="3426">
        <v>900</v>
      </c>
      <c r="G298" s="3426">
        <v>3040</v>
      </c>
      <c r="I298" s="1024"/>
      <c r="J298" s="3456"/>
      <c r="K298" s="3456"/>
      <c r="L298" s="3456"/>
      <c r="M298" s="3456"/>
      <c r="N298" s="3456"/>
      <c r="O298" s="3456"/>
      <c r="P298" s="3456"/>
      <c r="Q298" s="3456"/>
      <c r="R298" s="3456"/>
      <c r="S298" s="3456"/>
      <c r="T298" s="3456"/>
      <c r="U298" s="3456"/>
    </row>
    <row r="299" spans="1:21" s="1011" customFormat="1" ht="14.25" customHeight="1">
      <c r="A299" s="3420" t="s">
        <v>1156</v>
      </c>
      <c r="B299" s="3420" t="s">
        <v>2962</v>
      </c>
      <c r="C299" s="3420">
        <v>5430</v>
      </c>
      <c r="D299" s="3420">
        <v>5380</v>
      </c>
      <c r="E299" s="3420">
        <v>6280</v>
      </c>
      <c r="F299" s="3426">
        <v>1000</v>
      </c>
      <c r="G299" s="3428">
        <v>3240</v>
      </c>
      <c r="I299" s="1024"/>
      <c r="J299" s="3456"/>
      <c r="K299" s="3456"/>
      <c r="L299" s="3456"/>
      <c r="M299" s="3456"/>
      <c r="N299" s="3456"/>
      <c r="O299" s="3456"/>
      <c r="P299" s="3456"/>
      <c r="Q299" s="3456"/>
      <c r="R299" s="3456"/>
      <c r="S299" s="3456"/>
      <c r="T299" s="3456"/>
      <c r="U299" s="3456"/>
    </row>
    <row r="300" spans="1:21" s="1011" customFormat="1" ht="14.25" customHeight="1">
      <c r="A300" s="3420" t="s">
        <v>1156</v>
      </c>
      <c r="B300" s="3420" t="s">
        <v>1119</v>
      </c>
      <c r="C300" s="3420">
        <v>4740</v>
      </c>
      <c r="D300" s="3420">
        <v>4680</v>
      </c>
      <c r="E300" s="3420">
        <v>5450</v>
      </c>
      <c r="F300" s="3426">
        <v>900</v>
      </c>
      <c r="G300" s="3426">
        <v>2830</v>
      </c>
      <c r="I300" s="1024"/>
      <c r="J300" s="3456"/>
      <c r="K300" s="3456"/>
      <c r="L300" s="3456"/>
      <c r="M300" s="3456"/>
      <c r="N300" s="3456"/>
      <c r="O300" s="3456"/>
      <c r="P300" s="3456"/>
      <c r="Q300" s="3456"/>
      <c r="R300" s="3456"/>
      <c r="S300" s="3456"/>
      <c r="T300" s="3456"/>
      <c r="U300" s="3456"/>
    </row>
    <row r="301" spans="1:21" s="1011" customFormat="1" ht="14.25" customHeight="1">
      <c r="A301" s="3420" t="s">
        <v>1156</v>
      </c>
      <c r="B301" s="3420" t="s">
        <v>1125</v>
      </c>
      <c r="C301" s="3420">
        <v>4870</v>
      </c>
      <c r="D301" s="3420">
        <v>4810</v>
      </c>
      <c r="E301" s="3420">
        <v>5560</v>
      </c>
      <c r="F301" s="3426">
        <v>990</v>
      </c>
      <c r="G301" s="3428">
        <v>2910</v>
      </c>
      <c r="I301" s="1024"/>
      <c r="J301" s="3456"/>
      <c r="K301" s="3456"/>
      <c r="L301" s="3456"/>
      <c r="M301" s="3456"/>
      <c r="N301" s="3456"/>
      <c r="O301" s="3456"/>
      <c r="P301" s="3456"/>
      <c r="Q301" s="3456"/>
      <c r="R301" s="3456"/>
      <c r="S301" s="3456"/>
      <c r="T301" s="3456"/>
      <c r="U301" s="3456"/>
    </row>
    <row r="302" spans="1:21" s="1011" customFormat="1" ht="14.25" customHeight="1">
      <c r="A302" s="3420" t="s">
        <v>1156</v>
      </c>
      <c r="B302" s="3420" t="s">
        <v>2963</v>
      </c>
      <c r="C302" s="3420">
        <v>5520</v>
      </c>
      <c r="D302" s="3420">
        <v>5470</v>
      </c>
      <c r="E302" s="3420">
        <v>6410</v>
      </c>
      <c r="F302" s="3426">
        <v>950</v>
      </c>
      <c r="G302" s="3426">
        <v>3300</v>
      </c>
      <c r="I302" s="1024"/>
      <c r="J302" s="3456"/>
      <c r="K302" s="3456"/>
      <c r="L302" s="3456"/>
      <c r="M302" s="3456"/>
      <c r="N302" s="3456"/>
      <c r="O302" s="3456"/>
      <c r="P302" s="3456"/>
      <c r="Q302" s="3456"/>
      <c r="R302" s="3456"/>
      <c r="S302" s="3456"/>
      <c r="T302" s="3456"/>
      <c r="U302" s="3456"/>
    </row>
    <row r="303" spans="1:21" s="1011" customFormat="1" ht="14.25" customHeight="1">
      <c r="A303" s="3420" t="s">
        <v>1156</v>
      </c>
      <c r="B303" s="3420" t="s">
        <v>2964</v>
      </c>
      <c r="C303" s="3420">
        <v>5630</v>
      </c>
      <c r="D303" s="3420">
        <v>5590</v>
      </c>
      <c r="E303" s="3420">
        <v>6550</v>
      </c>
      <c r="F303" s="3426">
        <v>1010</v>
      </c>
      <c r="G303" s="3426">
        <v>3370</v>
      </c>
      <c r="I303" s="1024"/>
      <c r="J303" s="3456"/>
      <c r="K303" s="3456"/>
      <c r="L303" s="3456"/>
      <c r="M303" s="3456"/>
      <c r="N303" s="3456"/>
      <c r="O303" s="3456"/>
      <c r="P303" s="3456"/>
      <c r="Q303" s="3456"/>
      <c r="R303" s="3456"/>
      <c r="S303" s="3456"/>
      <c r="T303" s="3456"/>
      <c r="U303" s="3456"/>
    </row>
    <row r="304" spans="1:21" s="1011" customFormat="1" ht="14.25" customHeight="1">
      <c r="A304" s="3420" t="s">
        <v>1156</v>
      </c>
      <c r="B304" s="3420" t="s">
        <v>2965</v>
      </c>
      <c r="C304" s="3420">
        <v>5680</v>
      </c>
      <c r="D304" s="3420">
        <v>5620</v>
      </c>
      <c r="E304" s="3420">
        <v>6620</v>
      </c>
      <c r="F304" s="3426">
        <v>1050</v>
      </c>
      <c r="G304" s="3428">
        <v>3390</v>
      </c>
      <c r="I304" s="1024"/>
      <c r="J304" s="3456"/>
      <c r="K304" s="3456"/>
      <c r="L304" s="3456"/>
      <c r="M304" s="3456"/>
      <c r="N304" s="3456"/>
      <c r="O304" s="3456"/>
      <c r="P304" s="3456"/>
      <c r="Q304" s="3456"/>
      <c r="R304" s="3456"/>
      <c r="S304" s="3456"/>
      <c r="T304" s="3456"/>
      <c r="U304" s="3456"/>
    </row>
    <row r="305" spans="1:21" s="1011" customFormat="1" ht="14.25" customHeight="1">
      <c r="A305" s="3420" t="s">
        <v>1156</v>
      </c>
      <c r="B305" s="3420" t="s">
        <v>2966</v>
      </c>
      <c r="C305" s="3420">
        <v>5590</v>
      </c>
      <c r="D305" s="3420">
        <v>5530</v>
      </c>
      <c r="E305" s="3420">
        <v>6460</v>
      </c>
      <c r="F305" s="3426">
        <v>900</v>
      </c>
      <c r="G305" s="3426">
        <v>3340</v>
      </c>
      <c r="I305" s="1024"/>
      <c r="J305" s="3456"/>
      <c r="K305" s="3456"/>
      <c r="L305" s="3456"/>
      <c r="M305" s="3456"/>
      <c r="N305" s="3456"/>
      <c r="O305" s="3456"/>
      <c r="P305" s="3456"/>
      <c r="Q305" s="3456"/>
      <c r="R305" s="3456"/>
      <c r="S305" s="3456"/>
      <c r="T305" s="3456"/>
      <c r="U305" s="3456"/>
    </row>
    <row r="306" spans="1:21" s="1011" customFormat="1" ht="14.25" customHeight="1">
      <c r="A306" s="3420" t="s">
        <v>1156</v>
      </c>
      <c r="B306" s="3420" t="s">
        <v>2967</v>
      </c>
      <c r="C306" s="3420">
        <v>5560</v>
      </c>
      <c r="D306" s="3420">
        <v>5510</v>
      </c>
      <c r="E306" s="3420">
        <v>6440</v>
      </c>
      <c r="F306" s="3426">
        <v>900</v>
      </c>
      <c r="G306" s="3428">
        <v>3320</v>
      </c>
      <c r="I306" s="1024"/>
      <c r="J306" s="3456"/>
      <c r="K306" s="3456"/>
      <c r="L306" s="3456"/>
      <c r="M306" s="3456"/>
      <c r="N306" s="3456"/>
      <c r="O306" s="3456"/>
      <c r="P306" s="3456"/>
      <c r="Q306" s="3456"/>
      <c r="R306" s="3456"/>
      <c r="S306" s="3456"/>
      <c r="T306" s="3456"/>
      <c r="U306" s="3456"/>
    </row>
    <row r="307" spans="1:21" s="1011" customFormat="1" ht="14.25" customHeight="1">
      <c r="A307" s="3420" t="s">
        <v>1156</v>
      </c>
      <c r="B307" s="3420" t="s">
        <v>2968</v>
      </c>
      <c r="C307" s="3420">
        <v>5650</v>
      </c>
      <c r="D307" s="3420">
        <v>5600</v>
      </c>
      <c r="E307" s="3420">
        <v>6590</v>
      </c>
      <c r="F307" s="3426">
        <v>930</v>
      </c>
      <c r="G307" s="3426">
        <v>3380</v>
      </c>
      <c r="I307" s="1024"/>
      <c r="J307" s="3456"/>
      <c r="K307" s="3456"/>
      <c r="L307" s="3456"/>
      <c r="M307" s="3456"/>
      <c r="N307" s="3456"/>
      <c r="O307" s="3456"/>
      <c r="P307" s="3456"/>
      <c r="Q307" s="3456"/>
      <c r="R307" s="3456"/>
      <c r="S307" s="3456"/>
      <c r="T307" s="3456"/>
      <c r="U307" s="3456"/>
    </row>
    <row r="308" spans="1:21" s="1011" customFormat="1" ht="14.25" customHeight="1">
      <c r="A308" s="3420" t="s">
        <v>1156</v>
      </c>
      <c r="B308" s="3420" t="s">
        <v>2969</v>
      </c>
      <c r="C308" s="3420">
        <v>5620</v>
      </c>
      <c r="D308" s="3420">
        <v>5580</v>
      </c>
      <c r="E308" s="3420">
        <v>6540</v>
      </c>
      <c r="F308" s="3426">
        <v>910</v>
      </c>
      <c r="G308" s="3426">
        <v>3370</v>
      </c>
      <c r="I308" s="1024"/>
      <c r="J308" s="3456"/>
      <c r="K308" s="3456"/>
      <c r="L308" s="3456"/>
      <c r="M308" s="3456"/>
      <c r="N308" s="3456"/>
      <c r="O308" s="3456"/>
      <c r="P308" s="3456"/>
      <c r="Q308" s="3456"/>
      <c r="R308" s="3456"/>
      <c r="S308" s="3456"/>
      <c r="T308" s="3456"/>
      <c r="U308" s="3456"/>
    </row>
    <row r="309" spans="1:21" s="1011" customFormat="1" ht="14.25" customHeight="1">
      <c r="A309" s="3420" t="s">
        <v>1156</v>
      </c>
      <c r="B309" s="3420" t="s">
        <v>2970</v>
      </c>
      <c r="C309" s="3420">
        <v>5060</v>
      </c>
      <c r="D309" s="3420">
        <v>5020</v>
      </c>
      <c r="E309" s="3420">
        <v>6370</v>
      </c>
      <c r="F309" s="3426">
        <v>800</v>
      </c>
      <c r="G309" s="3428">
        <v>3020</v>
      </c>
      <c r="I309" s="1024"/>
      <c r="J309" s="3456"/>
      <c r="K309" s="3456"/>
      <c r="L309" s="3456"/>
      <c r="M309" s="3456"/>
      <c r="N309" s="3456"/>
      <c r="O309" s="3456"/>
      <c r="P309" s="3456"/>
      <c r="Q309" s="3456"/>
      <c r="R309" s="3456"/>
      <c r="S309" s="3456"/>
      <c r="T309" s="3456"/>
      <c r="U309" s="3456"/>
    </row>
    <row r="310" spans="1:21" s="1011" customFormat="1" ht="14.25" customHeight="1">
      <c r="A310" s="3420" t="s">
        <v>1156</v>
      </c>
      <c r="B310" s="3420" t="s">
        <v>2971</v>
      </c>
      <c r="C310" s="3420">
        <v>5150</v>
      </c>
      <c r="D310" s="3420">
        <v>5110</v>
      </c>
      <c r="E310" s="3420">
        <v>6500</v>
      </c>
      <c r="F310" s="3426">
        <v>880</v>
      </c>
      <c r="G310" s="3426">
        <v>3080</v>
      </c>
      <c r="I310" s="1024"/>
      <c r="J310" s="3456"/>
      <c r="K310" s="3456"/>
      <c r="L310" s="3456"/>
      <c r="M310" s="3456"/>
      <c r="N310" s="3456"/>
      <c r="O310" s="3456"/>
      <c r="P310" s="3456"/>
      <c r="Q310" s="3456"/>
      <c r="R310" s="3456"/>
      <c r="S310" s="3456"/>
      <c r="T310" s="3456"/>
      <c r="U310" s="3456"/>
    </row>
    <row r="311" spans="1:21" s="1011" customFormat="1" ht="14.25" customHeight="1">
      <c r="A311" s="3420" t="s">
        <v>1156</v>
      </c>
      <c r="B311" s="3420" t="s">
        <v>2972</v>
      </c>
      <c r="C311" s="3420">
        <v>4750</v>
      </c>
      <c r="D311" s="3420">
        <v>4710</v>
      </c>
      <c r="E311" s="3420">
        <v>5510</v>
      </c>
      <c r="F311" s="3426">
        <v>880</v>
      </c>
      <c r="G311" s="3426">
        <v>2840</v>
      </c>
      <c r="I311" s="1024"/>
      <c r="J311" s="3456"/>
      <c r="K311" s="3456"/>
      <c r="L311" s="3456"/>
      <c r="M311" s="3456"/>
      <c r="N311" s="3456"/>
      <c r="O311" s="3456"/>
      <c r="P311" s="3456"/>
      <c r="Q311" s="3456"/>
      <c r="R311" s="3456"/>
      <c r="S311" s="3456"/>
      <c r="T311" s="3456"/>
      <c r="U311" s="3456"/>
    </row>
    <row r="312" spans="1:21" s="1011" customFormat="1" ht="14.25" customHeight="1">
      <c r="A312" s="3420" t="s">
        <v>1156</v>
      </c>
      <c r="B312" s="3420" t="s">
        <v>2973</v>
      </c>
      <c r="C312" s="3420">
        <v>4690</v>
      </c>
      <c r="D312" s="3420">
        <v>4640</v>
      </c>
      <c r="E312" s="3420">
        <v>5420</v>
      </c>
      <c r="F312" s="3426">
        <v>800</v>
      </c>
      <c r="G312" s="3426">
        <v>2800</v>
      </c>
      <c r="I312" s="1024"/>
      <c r="J312" s="3456"/>
      <c r="K312" s="3456"/>
      <c r="L312" s="3456"/>
      <c r="M312" s="3456"/>
      <c r="N312" s="3456"/>
      <c r="O312" s="3456"/>
      <c r="P312" s="3456"/>
      <c r="Q312" s="3456"/>
      <c r="R312" s="3456"/>
      <c r="S312" s="3456"/>
      <c r="T312" s="3456"/>
      <c r="U312" s="3456"/>
    </row>
    <row r="313" spans="1:21" s="1011" customFormat="1" ht="14.25" customHeight="1">
      <c r="A313" s="3420" t="s">
        <v>1156</v>
      </c>
      <c r="B313" s="3420" t="s">
        <v>2974</v>
      </c>
      <c r="C313" s="3420">
        <v>4810</v>
      </c>
      <c r="D313" s="3420">
        <v>4760</v>
      </c>
      <c r="E313" s="3420">
        <v>5550</v>
      </c>
      <c r="F313" s="3426">
        <v>920</v>
      </c>
      <c r="G313" s="3426">
        <v>2870</v>
      </c>
      <c r="I313" s="1024"/>
      <c r="J313" s="3456"/>
      <c r="K313" s="3456"/>
      <c r="L313" s="3456"/>
      <c r="M313" s="3456"/>
      <c r="N313" s="3456"/>
      <c r="O313" s="3456"/>
      <c r="P313" s="3456"/>
      <c r="Q313" s="3456"/>
      <c r="R313" s="3456"/>
      <c r="S313" s="3456"/>
      <c r="T313" s="3456"/>
      <c r="U313" s="3456"/>
    </row>
    <row r="314" spans="1:21" s="1011" customFormat="1" ht="14.25" customHeight="1">
      <c r="A314" s="3420" t="s">
        <v>1156</v>
      </c>
      <c r="B314" s="3420" t="s">
        <v>2975</v>
      </c>
      <c r="C314" s="3420"/>
      <c r="D314" s="3420"/>
      <c r="E314" s="3420"/>
      <c r="F314" s="3426">
        <v>1020</v>
      </c>
      <c r="G314" s="3426"/>
      <c r="I314" s="1024"/>
      <c r="J314" s="3456"/>
      <c r="K314" s="3456"/>
      <c r="L314" s="3456"/>
      <c r="M314" s="3456"/>
      <c r="N314" s="3456"/>
      <c r="O314" s="3456"/>
      <c r="P314" s="3456"/>
      <c r="Q314" s="3456"/>
      <c r="R314" s="3456"/>
      <c r="S314" s="3456"/>
      <c r="T314" s="3456"/>
      <c r="U314" s="3456"/>
    </row>
    <row r="315" spans="1:21" s="1011" customFormat="1" ht="14.25" customHeight="1">
      <c r="A315" s="3420" t="s">
        <v>1156</v>
      </c>
      <c r="B315" s="3420" t="s">
        <v>2976</v>
      </c>
      <c r="C315" s="3420"/>
      <c r="D315" s="3420"/>
      <c r="E315" s="3420"/>
      <c r="F315" s="3426">
        <v>1050</v>
      </c>
      <c r="G315" s="3426"/>
      <c r="I315" s="1024"/>
      <c r="J315" s="3456"/>
      <c r="K315" s="3456"/>
      <c r="L315" s="3456"/>
      <c r="M315" s="3456"/>
      <c r="N315" s="3456"/>
      <c r="O315" s="3456"/>
      <c r="P315" s="3456"/>
      <c r="Q315" s="3456"/>
      <c r="R315" s="3456"/>
      <c r="S315" s="3456"/>
      <c r="T315" s="3456"/>
      <c r="U315" s="3456"/>
    </row>
    <row r="316" spans="1:21" s="1011" customFormat="1" ht="14.25" customHeight="1">
      <c r="A316" s="3420" t="s">
        <v>1156</v>
      </c>
      <c r="B316" s="3420" t="s">
        <v>2977</v>
      </c>
      <c r="C316" s="3420"/>
      <c r="D316" s="3420"/>
      <c r="E316" s="3420"/>
      <c r="F316" s="3426">
        <v>900</v>
      </c>
      <c r="G316" s="3433"/>
      <c r="I316" s="1024"/>
      <c r="J316" s="3456"/>
      <c r="K316" s="3456"/>
      <c r="L316" s="3456"/>
      <c r="M316" s="3456"/>
      <c r="N316" s="3456"/>
      <c r="O316" s="3456"/>
      <c r="P316" s="3456"/>
      <c r="Q316" s="3456"/>
      <c r="R316" s="3456"/>
      <c r="S316" s="3456"/>
      <c r="T316" s="3456"/>
      <c r="U316" s="3456"/>
    </row>
    <row r="317" spans="1:21" s="1011" customFormat="1" ht="14.25" customHeight="1">
      <c r="A317" s="1289" t="s">
        <v>1156</v>
      </c>
      <c r="B317" s="1289" t="s">
        <v>2978</v>
      </c>
      <c r="C317" s="1289"/>
      <c r="D317" s="1289"/>
      <c r="E317" s="1289"/>
      <c r="F317" s="3421">
        <v>920</v>
      </c>
      <c r="G317" s="3421"/>
      <c r="I317" s="1008"/>
      <c r="J317" s="3456"/>
      <c r="K317" s="3456"/>
      <c r="L317" s="3456"/>
      <c r="M317" s="3456"/>
      <c r="N317" s="3456"/>
      <c r="O317" s="3456"/>
      <c r="P317" s="3456"/>
      <c r="Q317" s="3456"/>
      <c r="R317" s="3456"/>
      <c r="S317" s="3456"/>
      <c r="T317" s="3456"/>
      <c r="U317" s="3456"/>
    </row>
    <row r="318" spans="1:21" s="1011" customFormat="1" ht="14.25" customHeight="1">
      <c r="A318" s="3420" t="s">
        <v>1156</v>
      </c>
      <c r="B318" s="3420" t="s">
        <v>2979</v>
      </c>
      <c r="C318" s="3420"/>
      <c r="D318" s="3420"/>
      <c r="E318" s="3420"/>
      <c r="F318" s="3426">
        <v>1080</v>
      </c>
      <c r="G318" s="3428"/>
      <c r="I318" s="1008"/>
      <c r="J318" s="3456"/>
      <c r="K318" s="3456"/>
      <c r="L318" s="3456"/>
      <c r="M318" s="3456"/>
      <c r="N318" s="3456"/>
      <c r="O318" s="3456"/>
      <c r="P318" s="3456"/>
      <c r="Q318" s="3456"/>
      <c r="R318" s="3456"/>
      <c r="S318" s="3456"/>
      <c r="T318" s="3456"/>
      <c r="U318" s="3456"/>
    </row>
    <row r="319" spans="1:21" s="1011" customFormat="1" ht="14.25" customHeight="1">
      <c r="A319" s="3420" t="s">
        <v>1156</v>
      </c>
      <c r="B319" s="3420" t="s">
        <v>2980</v>
      </c>
      <c r="C319" s="3420"/>
      <c r="D319" s="3420"/>
      <c r="E319" s="3420"/>
      <c r="F319" s="3426">
        <v>1020</v>
      </c>
      <c r="G319" s="3426"/>
      <c r="I319" s="1008"/>
      <c r="J319" s="3456"/>
      <c r="K319" s="3456"/>
      <c r="L319" s="3456"/>
      <c r="M319" s="3456"/>
      <c r="N319" s="3456"/>
      <c r="O319" s="3456"/>
      <c r="P319" s="3456"/>
      <c r="Q319" s="3456"/>
      <c r="R319" s="3456"/>
      <c r="S319" s="3456"/>
      <c r="T319" s="3456"/>
      <c r="U319" s="3456"/>
    </row>
    <row r="320" spans="1:21" s="1011" customFormat="1" ht="14.25" customHeight="1">
      <c r="A320" s="3420" t="s">
        <v>1156</v>
      </c>
      <c r="B320" s="3420" t="s">
        <v>2981</v>
      </c>
      <c r="C320" s="3420"/>
      <c r="D320" s="3420"/>
      <c r="E320" s="3420"/>
      <c r="F320" s="3426">
        <v>1050</v>
      </c>
      <c r="G320" s="3428"/>
      <c r="I320" s="1008"/>
      <c r="J320" s="3456"/>
      <c r="K320" s="3456"/>
      <c r="L320" s="3456"/>
      <c r="M320" s="3456"/>
      <c r="N320" s="3456"/>
      <c r="O320" s="3456"/>
      <c r="P320" s="3456"/>
      <c r="Q320" s="3456"/>
      <c r="R320" s="3456"/>
      <c r="S320" s="3456"/>
      <c r="T320" s="3456"/>
      <c r="U320" s="3456"/>
    </row>
    <row r="321" spans="1:21" s="1011" customFormat="1" ht="14.25" customHeight="1">
      <c r="A321" s="3420" t="s">
        <v>1156</v>
      </c>
      <c r="B321" s="3420" t="s">
        <v>2982</v>
      </c>
      <c r="C321" s="3420"/>
      <c r="D321" s="3420"/>
      <c r="E321" s="3420"/>
      <c r="F321" s="3426">
        <v>960</v>
      </c>
      <c r="G321" s="3428"/>
      <c r="I321" s="1008"/>
      <c r="J321" s="3456"/>
      <c r="K321" s="3456"/>
      <c r="L321" s="3456"/>
      <c r="M321" s="3456"/>
      <c r="N321" s="3456"/>
      <c r="O321" s="3456"/>
      <c r="P321" s="3456"/>
      <c r="Q321" s="3456"/>
      <c r="R321" s="3456"/>
      <c r="S321" s="3456"/>
      <c r="T321" s="3456"/>
      <c r="U321" s="3456"/>
    </row>
    <row r="322" spans="1:21" s="1011" customFormat="1" ht="14.25" customHeight="1">
      <c r="A322" s="3420" t="s">
        <v>1156</v>
      </c>
      <c r="B322" s="3420" t="s">
        <v>2983</v>
      </c>
      <c r="C322" s="3420"/>
      <c r="D322" s="3420"/>
      <c r="E322" s="3420"/>
      <c r="F322" s="3426">
        <v>960</v>
      </c>
      <c r="G322" s="3426"/>
      <c r="I322" s="1008"/>
      <c r="J322" s="3456"/>
      <c r="K322" s="3456"/>
      <c r="L322" s="3456"/>
      <c r="M322" s="3456"/>
      <c r="N322" s="3456"/>
      <c r="O322" s="3456"/>
      <c r="P322" s="3456"/>
      <c r="Q322" s="3456"/>
      <c r="R322" s="3456"/>
      <c r="S322" s="3456"/>
      <c r="T322" s="3456"/>
      <c r="U322" s="3456"/>
    </row>
    <row r="323" spans="1:21" s="1011" customFormat="1" ht="14.25" customHeight="1">
      <c r="A323" s="3420" t="s">
        <v>1156</v>
      </c>
      <c r="B323" s="3420" t="s">
        <v>2984</v>
      </c>
      <c r="C323" s="3420"/>
      <c r="D323" s="3420"/>
      <c r="E323" s="3420"/>
      <c r="F323" s="3426">
        <v>880</v>
      </c>
      <c r="G323" s="3428"/>
      <c r="I323" s="1008"/>
      <c r="J323" s="3456"/>
      <c r="K323" s="3456"/>
      <c r="L323" s="3456"/>
      <c r="M323" s="3456"/>
      <c r="N323" s="3456"/>
      <c r="O323" s="3456"/>
      <c r="P323" s="3456"/>
      <c r="Q323" s="3456"/>
      <c r="R323" s="3456"/>
      <c r="S323" s="3456"/>
      <c r="T323" s="3456"/>
      <c r="U323" s="3456"/>
    </row>
    <row r="324" spans="1:21" s="1011" customFormat="1" ht="14.25" customHeight="1">
      <c r="A324" s="3420" t="s">
        <v>1156</v>
      </c>
      <c r="B324" s="3420" t="s">
        <v>2985</v>
      </c>
      <c r="C324" s="3420"/>
      <c r="D324" s="3420"/>
      <c r="E324" s="3420"/>
      <c r="F324" s="3426">
        <v>930</v>
      </c>
      <c r="G324" s="3428"/>
      <c r="I324" s="1008"/>
      <c r="J324" s="3456"/>
      <c r="K324" s="3456"/>
      <c r="L324" s="3456"/>
      <c r="M324" s="3456"/>
      <c r="N324" s="3456"/>
      <c r="O324" s="3456"/>
      <c r="P324" s="3456"/>
      <c r="Q324" s="3456"/>
      <c r="R324" s="3456"/>
      <c r="S324" s="3456"/>
      <c r="T324" s="3456"/>
      <c r="U324" s="3456"/>
    </row>
    <row r="325" spans="1:21" s="1011" customFormat="1" ht="14.25" customHeight="1">
      <c r="A325" s="3420" t="s">
        <v>1156</v>
      </c>
      <c r="B325" s="3420" t="s">
        <v>2986</v>
      </c>
      <c r="C325" s="3420"/>
      <c r="D325" s="3420"/>
      <c r="E325" s="3420"/>
      <c r="F325" s="3426">
        <v>900</v>
      </c>
      <c r="G325" s="3426"/>
      <c r="I325" s="1008"/>
      <c r="J325" s="3456"/>
      <c r="K325" s="3456"/>
      <c r="L325" s="3456"/>
      <c r="M325" s="3456"/>
      <c r="N325" s="3456"/>
      <c r="O325" s="3456"/>
      <c r="P325" s="3456"/>
      <c r="Q325" s="3456"/>
      <c r="R325" s="3456"/>
      <c r="S325" s="3456"/>
      <c r="T325" s="3456"/>
      <c r="U325" s="3456"/>
    </row>
    <row r="326" spans="1:21" s="1011" customFormat="1" ht="14.25" customHeight="1" thickBot="1">
      <c r="A326" s="3435" t="s">
        <v>1156</v>
      </c>
      <c r="B326" s="3423" t="s">
        <v>2987</v>
      </c>
      <c r="C326" s="3423"/>
      <c r="D326" s="3423"/>
      <c r="E326" s="3423"/>
      <c r="F326" s="3424">
        <v>790</v>
      </c>
      <c r="G326" s="3439"/>
      <c r="I326" s="1008"/>
      <c r="J326" s="3456"/>
      <c r="K326" s="3456"/>
      <c r="L326" s="3456"/>
      <c r="M326" s="3456"/>
      <c r="N326" s="3456"/>
      <c r="O326" s="3456"/>
      <c r="P326" s="3456"/>
      <c r="Q326" s="3456"/>
      <c r="R326" s="3456"/>
      <c r="S326" s="3456"/>
      <c r="T326" s="3456"/>
      <c r="U326" s="3456"/>
    </row>
    <row r="327" spans="1:21" s="1011" customFormat="1" ht="14.25" customHeight="1">
      <c r="A327" s="3434" t="s">
        <v>1157</v>
      </c>
      <c r="B327" s="2600" t="s">
        <v>2988</v>
      </c>
      <c r="C327" s="2600">
        <v>3750</v>
      </c>
      <c r="D327" s="2600">
        <v>3710</v>
      </c>
      <c r="E327" s="2600">
        <v>4080</v>
      </c>
      <c r="F327" s="3443">
        <v>860</v>
      </c>
      <c r="G327" s="3443">
        <v>2210</v>
      </c>
      <c r="I327" s="1008"/>
      <c r="J327" s="3456"/>
      <c r="K327" s="3456"/>
      <c r="L327" s="3456"/>
      <c r="M327" s="3456"/>
      <c r="N327" s="3456"/>
      <c r="O327" s="3456"/>
      <c r="P327" s="3456"/>
      <c r="Q327" s="3456"/>
      <c r="R327" s="3456"/>
      <c r="S327" s="3456"/>
      <c r="T327" s="3456"/>
      <c r="U327" s="3456"/>
    </row>
    <row r="328" spans="1:21" s="1011" customFormat="1" ht="14.25" customHeight="1">
      <c r="A328" s="3420" t="s">
        <v>1157</v>
      </c>
      <c r="B328" s="3420" t="s">
        <v>981</v>
      </c>
      <c r="C328" s="3420">
        <v>3330</v>
      </c>
      <c r="D328" s="3420">
        <v>3290</v>
      </c>
      <c r="E328" s="3420">
        <v>3610</v>
      </c>
      <c r="F328" s="3420">
        <v>850</v>
      </c>
      <c r="G328" s="3420">
        <v>1960</v>
      </c>
      <c r="H328" s="3442"/>
      <c r="I328" s="1008"/>
      <c r="J328" s="3456"/>
      <c r="K328" s="3456"/>
      <c r="L328" s="3456"/>
      <c r="M328" s="3456"/>
      <c r="N328" s="3456"/>
      <c r="O328" s="3456"/>
      <c r="P328" s="3456"/>
      <c r="Q328" s="3456"/>
      <c r="R328" s="3456"/>
      <c r="S328" s="3456"/>
      <c r="T328" s="3456"/>
      <c r="U328" s="3456"/>
    </row>
    <row r="329" spans="1:21" s="1011" customFormat="1" ht="14.25" customHeight="1">
      <c r="A329" s="3420" t="s">
        <v>1157</v>
      </c>
      <c r="B329" s="3420" t="s">
        <v>2989</v>
      </c>
      <c r="C329" s="3420">
        <v>2730</v>
      </c>
      <c r="D329" s="3420">
        <v>2690</v>
      </c>
      <c r="E329" s="3420">
        <v>3100</v>
      </c>
      <c r="F329" s="3420">
        <v>660</v>
      </c>
      <c r="G329" s="3420">
        <v>1610</v>
      </c>
      <c r="H329" s="3442"/>
      <c r="I329" s="1008"/>
      <c r="J329" s="3456"/>
      <c r="K329" s="3456"/>
      <c r="L329" s="3456"/>
      <c r="M329" s="3456"/>
      <c r="N329" s="3456"/>
      <c r="O329" s="3456"/>
      <c r="P329" s="3456"/>
      <c r="Q329" s="3456"/>
      <c r="R329" s="3456"/>
      <c r="S329" s="3456"/>
      <c r="T329" s="3456"/>
      <c r="U329" s="3456"/>
    </row>
    <row r="330" spans="1:21" s="1011" customFormat="1" ht="14.25" customHeight="1">
      <c r="A330" s="3420" t="s">
        <v>1157</v>
      </c>
      <c r="B330" s="3420" t="s">
        <v>2990</v>
      </c>
      <c r="C330" s="3420">
        <v>3270</v>
      </c>
      <c r="D330" s="3420">
        <v>3240</v>
      </c>
      <c r="E330" s="3420">
        <v>3560</v>
      </c>
      <c r="F330" s="3420">
        <v>680</v>
      </c>
      <c r="G330" s="3429">
        <v>1940</v>
      </c>
      <c r="H330" s="3442"/>
      <c r="I330" s="1008"/>
      <c r="J330" s="3456"/>
      <c r="K330" s="3456"/>
      <c r="L330" s="3456"/>
      <c r="M330" s="3456"/>
      <c r="N330" s="3456"/>
      <c r="O330" s="3456"/>
      <c r="P330" s="3456"/>
      <c r="Q330" s="3456"/>
      <c r="R330" s="3456"/>
      <c r="S330" s="3456"/>
      <c r="T330" s="3456"/>
      <c r="U330" s="3456"/>
    </row>
    <row r="331" spans="1:21" s="1011" customFormat="1" ht="14.25" customHeight="1">
      <c r="A331" s="3420" t="s">
        <v>1157</v>
      </c>
      <c r="B331" s="3420" t="s">
        <v>1008</v>
      </c>
      <c r="C331" s="3420">
        <v>3770</v>
      </c>
      <c r="D331" s="3420">
        <v>3740</v>
      </c>
      <c r="E331" s="3420">
        <v>4110</v>
      </c>
      <c r="F331" s="3420">
        <v>730</v>
      </c>
      <c r="G331" s="3420">
        <v>2230</v>
      </c>
      <c r="H331" s="3442"/>
      <c r="I331" s="1008"/>
      <c r="J331" s="3456"/>
      <c r="K331" s="3456"/>
      <c r="L331" s="3456"/>
      <c r="M331" s="3456"/>
      <c r="N331" s="3456"/>
      <c r="O331" s="3456"/>
      <c r="P331" s="3456"/>
      <c r="Q331" s="3456"/>
      <c r="R331" s="3456"/>
      <c r="S331" s="3456"/>
      <c r="T331" s="3456"/>
      <c r="U331" s="3456"/>
    </row>
    <row r="332" spans="1:21" s="1011" customFormat="1" ht="14.25" customHeight="1">
      <c r="A332" s="3420" t="s">
        <v>1157</v>
      </c>
      <c r="B332" s="3420" t="s">
        <v>2991</v>
      </c>
      <c r="C332" s="3420">
        <v>3520</v>
      </c>
      <c r="D332" s="3420">
        <v>3480</v>
      </c>
      <c r="E332" s="3420">
        <v>3830</v>
      </c>
      <c r="F332" s="3420">
        <v>720</v>
      </c>
      <c r="G332" s="3420">
        <v>2090</v>
      </c>
      <c r="H332" s="3442"/>
      <c r="I332" s="1008"/>
      <c r="J332" s="3456"/>
      <c r="K332" s="3456"/>
      <c r="L332" s="3456"/>
      <c r="M332" s="3456"/>
      <c r="N332" s="3456"/>
      <c r="O332" s="3456"/>
      <c r="P332" s="3456"/>
      <c r="Q332" s="3456"/>
      <c r="R332" s="3456"/>
      <c r="S332" s="3456"/>
      <c r="T332" s="3456"/>
      <c r="U332" s="3456"/>
    </row>
    <row r="333" spans="1:21" s="1011" customFormat="1" ht="14.25" customHeight="1">
      <c r="A333" s="3420" t="s">
        <v>1157</v>
      </c>
      <c r="B333" s="3420" t="s">
        <v>2992</v>
      </c>
      <c r="C333" s="3420">
        <v>3840</v>
      </c>
      <c r="D333" s="3420">
        <v>3800</v>
      </c>
      <c r="E333" s="3420">
        <v>4200</v>
      </c>
      <c r="F333" s="3420">
        <v>760</v>
      </c>
      <c r="G333" s="3420">
        <v>2270</v>
      </c>
      <c r="H333" s="3442"/>
      <c r="I333" s="1008"/>
      <c r="J333" s="3456"/>
      <c r="K333" s="3456"/>
      <c r="L333" s="3456"/>
      <c r="M333" s="3456"/>
      <c r="N333" s="3456"/>
      <c r="O333" s="3456"/>
      <c r="P333" s="3456"/>
      <c r="Q333" s="3456"/>
      <c r="R333" s="3456"/>
      <c r="S333" s="3456"/>
      <c r="T333" s="3456"/>
      <c r="U333" s="3456"/>
    </row>
    <row r="334" spans="1:21" s="1011" customFormat="1" ht="14.25" customHeight="1">
      <c r="A334" s="3420" t="s">
        <v>1157</v>
      </c>
      <c r="B334" s="3420" t="s">
        <v>1030</v>
      </c>
      <c r="C334" s="3420">
        <v>3960</v>
      </c>
      <c r="D334" s="3420">
        <v>3910</v>
      </c>
      <c r="E334" s="3420">
        <v>4340</v>
      </c>
      <c r="F334" s="3420">
        <v>780</v>
      </c>
      <c r="G334" s="3420">
        <v>2340</v>
      </c>
      <c r="H334" s="3442"/>
      <c r="I334" s="1008"/>
      <c r="J334" s="3456"/>
      <c r="K334" s="3456"/>
      <c r="L334" s="3456"/>
      <c r="M334" s="3456"/>
      <c r="N334" s="3456"/>
      <c r="O334" s="3456"/>
      <c r="P334" s="3456"/>
      <c r="Q334" s="3456"/>
      <c r="R334" s="3456"/>
      <c r="S334" s="3456"/>
      <c r="T334" s="3456"/>
      <c r="U334" s="3456"/>
    </row>
    <row r="335" spans="1:21" s="1011" customFormat="1" ht="14.25" customHeight="1">
      <c r="A335" s="3420" t="s">
        <v>1157</v>
      </c>
      <c r="B335" s="3420" t="s">
        <v>1040</v>
      </c>
      <c r="C335" s="3420">
        <v>3710</v>
      </c>
      <c r="D335" s="3420">
        <v>3670</v>
      </c>
      <c r="E335" s="3420">
        <v>4030</v>
      </c>
      <c r="F335" s="3420">
        <v>750</v>
      </c>
      <c r="G335" s="3429">
        <v>2200</v>
      </c>
      <c r="H335" s="3442"/>
      <c r="I335" s="1008"/>
      <c r="J335" s="3456"/>
      <c r="K335" s="3456"/>
      <c r="L335" s="3456"/>
      <c r="M335" s="3456"/>
      <c r="N335" s="3456"/>
      <c r="O335" s="3456"/>
      <c r="P335" s="3456"/>
      <c r="Q335" s="3456"/>
      <c r="R335" s="3456"/>
      <c r="S335" s="3456"/>
      <c r="T335" s="3456"/>
      <c r="U335" s="3456"/>
    </row>
    <row r="336" spans="1:21" s="1011" customFormat="1" ht="14.25" customHeight="1">
      <c r="A336" s="3420" t="s">
        <v>1157</v>
      </c>
      <c r="B336" s="3420" t="s">
        <v>2993</v>
      </c>
      <c r="C336" s="3420">
        <v>3570</v>
      </c>
      <c r="D336" s="3420">
        <v>3530</v>
      </c>
      <c r="E336" s="3420">
        <v>3880</v>
      </c>
      <c r="F336" s="3420">
        <v>770</v>
      </c>
      <c r="G336" s="3420">
        <v>2110</v>
      </c>
      <c r="H336" s="3442"/>
      <c r="I336" s="1008"/>
      <c r="J336" s="3456"/>
      <c r="K336" s="3456"/>
      <c r="L336" s="3456"/>
      <c r="M336" s="3456"/>
      <c r="N336" s="3456"/>
      <c r="O336" s="3456"/>
      <c r="P336" s="3456"/>
      <c r="Q336" s="3456"/>
      <c r="R336" s="3456"/>
      <c r="S336" s="3456"/>
      <c r="T336" s="3456"/>
      <c r="U336" s="3456"/>
    </row>
    <row r="337" spans="1:21" s="1011" customFormat="1" ht="14.25" customHeight="1">
      <c r="A337" s="3420" t="s">
        <v>1157</v>
      </c>
      <c r="B337" s="3420" t="s">
        <v>2994</v>
      </c>
      <c r="C337" s="3420">
        <v>3780</v>
      </c>
      <c r="D337" s="3420">
        <v>3750</v>
      </c>
      <c r="E337" s="3420">
        <v>4130</v>
      </c>
      <c r="F337" s="3420">
        <v>750</v>
      </c>
      <c r="G337" s="3420">
        <v>2240</v>
      </c>
      <c r="H337" s="3442"/>
      <c r="I337" s="1008"/>
      <c r="J337" s="3456"/>
      <c r="K337" s="3456"/>
      <c r="L337" s="3456"/>
      <c r="M337" s="3456"/>
      <c r="N337" s="3456"/>
      <c r="O337" s="3456"/>
      <c r="P337" s="3456"/>
      <c r="Q337" s="3456"/>
      <c r="R337" s="3456"/>
      <c r="S337" s="3456"/>
      <c r="T337" s="3456"/>
      <c r="U337" s="3456"/>
    </row>
    <row r="338" spans="1:21" s="1011" customFormat="1" ht="14.25" customHeight="1">
      <c r="A338" s="3420" t="s">
        <v>1157</v>
      </c>
      <c r="B338" s="3420" t="s">
        <v>1068</v>
      </c>
      <c r="C338" s="3420">
        <v>3600</v>
      </c>
      <c r="D338" s="3420">
        <v>3570</v>
      </c>
      <c r="E338" s="3420">
        <v>3920</v>
      </c>
      <c r="F338" s="3420">
        <v>790</v>
      </c>
      <c r="G338" s="3429">
        <v>2140</v>
      </c>
      <c r="H338" s="3442"/>
      <c r="I338" s="1008"/>
      <c r="J338" s="3456"/>
      <c r="K338" s="3456"/>
      <c r="L338" s="3456"/>
      <c r="M338" s="3456"/>
      <c r="N338" s="3456"/>
      <c r="O338" s="3456"/>
      <c r="P338" s="3456"/>
      <c r="Q338" s="3456"/>
      <c r="R338" s="3456"/>
      <c r="S338" s="3456"/>
      <c r="T338" s="3456"/>
      <c r="U338" s="3456"/>
    </row>
    <row r="339" spans="1:21" s="1011" customFormat="1" ht="14.25" customHeight="1">
      <c r="A339" s="3420" t="s">
        <v>1157</v>
      </c>
      <c r="B339" s="3420" t="s">
        <v>1076</v>
      </c>
      <c r="C339" s="3420">
        <v>3540</v>
      </c>
      <c r="D339" s="3420">
        <v>3500</v>
      </c>
      <c r="E339" s="3420">
        <v>3850</v>
      </c>
      <c r="F339" s="3420">
        <v>780</v>
      </c>
      <c r="G339" s="3429">
        <v>2100</v>
      </c>
      <c r="H339" s="3442"/>
      <c r="I339" s="1008"/>
      <c r="J339" s="3456"/>
      <c r="K339" s="3456"/>
      <c r="L339" s="3456"/>
      <c r="M339" s="3456"/>
      <c r="N339" s="3456"/>
      <c r="O339" s="3456"/>
      <c r="P339" s="3456"/>
      <c r="Q339" s="3456"/>
      <c r="R339" s="3456"/>
      <c r="S339" s="3456"/>
      <c r="T339" s="3456"/>
      <c r="U339" s="3456"/>
    </row>
    <row r="340" spans="1:21" s="1011" customFormat="1" ht="14.25" customHeight="1">
      <c r="A340" s="3420" t="s">
        <v>1157</v>
      </c>
      <c r="B340" s="3420" t="s">
        <v>2995</v>
      </c>
      <c r="C340" s="3420">
        <v>3850</v>
      </c>
      <c r="D340" s="3420">
        <v>3810</v>
      </c>
      <c r="E340" s="3420">
        <v>4210</v>
      </c>
      <c r="F340" s="3420">
        <v>750</v>
      </c>
      <c r="G340" s="3429">
        <v>2280</v>
      </c>
      <c r="H340" s="3442"/>
      <c r="I340" s="1008"/>
      <c r="J340" s="3456"/>
      <c r="K340" s="3456"/>
      <c r="L340" s="3456"/>
      <c r="M340" s="3456"/>
      <c r="N340" s="3456"/>
      <c r="O340" s="3456"/>
      <c r="P340" s="3456"/>
      <c r="Q340" s="3456"/>
      <c r="R340" s="3456"/>
      <c r="S340" s="3456"/>
      <c r="T340" s="3456"/>
      <c r="U340" s="3456"/>
    </row>
    <row r="341" spans="1:21" s="1011" customFormat="1" ht="14.25" customHeight="1">
      <c r="A341" s="3420" t="s">
        <v>1157</v>
      </c>
      <c r="B341" s="3420" t="s">
        <v>1054</v>
      </c>
      <c r="C341" s="3420">
        <v>3780</v>
      </c>
      <c r="D341" s="3420">
        <v>3750</v>
      </c>
      <c r="E341" s="3420">
        <v>4140</v>
      </c>
      <c r="F341" s="3420">
        <v>720</v>
      </c>
      <c r="G341" s="3420">
        <v>2240</v>
      </c>
      <c r="H341" s="3442"/>
      <c r="I341" s="1008"/>
      <c r="J341" s="3456"/>
      <c r="K341" s="3456"/>
      <c r="L341" s="3456"/>
      <c r="M341" s="3456"/>
      <c r="N341" s="3456"/>
      <c r="O341" s="3456"/>
      <c r="P341" s="3456"/>
      <c r="Q341" s="3456"/>
      <c r="R341" s="3456"/>
      <c r="S341" s="3456"/>
      <c r="T341" s="3456"/>
      <c r="U341" s="3456"/>
    </row>
    <row r="342" spans="1:21" s="1011" customFormat="1" ht="14.25" customHeight="1">
      <c r="A342" s="3420" t="s">
        <v>1157</v>
      </c>
      <c r="B342" s="3420" t="s">
        <v>2996</v>
      </c>
      <c r="C342" s="3420">
        <v>3670</v>
      </c>
      <c r="D342" s="3420">
        <v>3620</v>
      </c>
      <c r="E342" s="3420">
        <v>3990</v>
      </c>
      <c r="F342" s="3420">
        <v>760</v>
      </c>
      <c r="G342" s="3420">
        <v>2170</v>
      </c>
      <c r="H342" s="3442"/>
      <c r="I342" s="1008"/>
      <c r="J342" s="3456"/>
      <c r="K342" s="3456"/>
      <c r="L342" s="3456"/>
      <c r="M342" s="3456"/>
      <c r="N342" s="3456"/>
      <c r="O342" s="3456"/>
      <c r="P342" s="3456"/>
      <c r="Q342" s="3456"/>
      <c r="R342" s="3456"/>
      <c r="S342" s="3456"/>
      <c r="T342" s="3456"/>
      <c r="U342" s="3456"/>
    </row>
    <row r="343" spans="1:21" s="1011" customFormat="1" ht="14.25" customHeight="1">
      <c r="A343" s="3420" t="s">
        <v>1157</v>
      </c>
      <c r="B343" s="3420" t="s">
        <v>1105</v>
      </c>
      <c r="C343" s="3420">
        <v>3760</v>
      </c>
      <c r="D343" s="3420">
        <v>3720</v>
      </c>
      <c r="E343" s="3420">
        <v>4090</v>
      </c>
      <c r="F343" s="3420">
        <v>780</v>
      </c>
      <c r="G343" s="3420">
        <v>2220</v>
      </c>
      <c r="H343" s="3442"/>
      <c r="I343" s="1008"/>
      <c r="J343" s="3456"/>
      <c r="K343" s="3456"/>
      <c r="L343" s="3456"/>
      <c r="M343" s="3456"/>
      <c r="N343" s="3456"/>
      <c r="O343" s="3456"/>
      <c r="P343" s="3456"/>
      <c r="Q343" s="3456"/>
      <c r="R343" s="3456"/>
      <c r="S343" s="3456"/>
      <c r="T343" s="3456"/>
      <c r="U343" s="3456"/>
    </row>
    <row r="344" spans="1:21" s="1011" customFormat="1" ht="14.25" customHeight="1">
      <c r="A344" s="3420" t="s">
        <v>1157</v>
      </c>
      <c r="B344" s="3420" t="s">
        <v>1113</v>
      </c>
      <c r="C344" s="3420">
        <v>3680</v>
      </c>
      <c r="D344" s="3420">
        <v>3640</v>
      </c>
      <c r="E344" s="3420">
        <v>4010</v>
      </c>
      <c r="F344" s="3420">
        <v>750</v>
      </c>
      <c r="G344" s="3420">
        <v>2180</v>
      </c>
      <c r="H344" s="3442"/>
      <c r="I344" s="1008"/>
      <c r="J344" s="3456"/>
      <c r="K344" s="3456"/>
      <c r="L344" s="3456"/>
      <c r="M344" s="3456"/>
      <c r="N344" s="3456"/>
      <c r="O344" s="3456"/>
      <c r="P344" s="3456"/>
      <c r="Q344" s="3456"/>
      <c r="R344" s="3456"/>
      <c r="S344" s="3456"/>
      <c r="T344" s="3456"/>
      <c r="U344" s="3456"/>
    </row>
    <row r="345" spans="1:21">
      <c r="A345" s="3429" t="s">
        <v>1157</v>
      </c>
      <c r="B345" s="3429" t="s">
        <v>2997</v>
      </c>
      <c r="C345" s="3429">
        <v>3190</v>
      </c>
      <c r="D345" s="3429">
        <v>3140</v>
      </c>
      <c r="E345" s="3429">
        <v>3450</v>
      </c>
      <c r="F345" s="3429">
        <v>720</v>
      </c>
      <c r="G345" s="3429">
        <v>1880</v>
      </c>
      <c r="H345" s="3442"/>
    </row>
    <row r="346" spans="1:21">
      <c r="A346" s="3429" t="s">
        <v>1157</v>
      </c>
      <c r="B346" s="3429" t="s">
        <v>2998</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2999</v>
      </c>
      <c r="C348" s="3429">
        <v>4000</v>
      </c>
      <c r="D348" s="3429">
        <v>3950</v>
      </c>
      <c r="E348" s="3429">
        <v>4430</v>
      </c>
      <c r="F348" s="3429">
        <v>760</v>
      </c>
      <c r="G348" s="3429">
        <v>2360</v>
      </c>
      <c r="H348" s="3442"/>
    </row>
    <row r="349" spans="1:21">
      <c r="A349" s="3429" t="s">
        <v>1157</v>
      </c>
      <c r="B349" s="3429" t="s">
        <v>3000</v>
      </c>
      <c r="C349" s="3429">
        <v>3820</v>
      </c>
      <c r="D349" s="3429">
        <v>3780</v>
      </c>
      <c r="E349" s="3429">
        <v>4170</v>
      </c>
      <c r="F349" s="3429">
        <v>710</v>
      </c>
      <c r="G349" s="3429">
        <v>2260</v>
      </c>
      <c r="H349" s="3442"/>
    </row>
    <row r="350" spans="1:21">
      <c r="A350" s="3429" t="s">
        <v>1157</v>
      </c>
      <c r="B350" s="3429" t="s">
        <v>3001</v>
      </c>
      <c r="C350" s="3429">
        <v>3760</v>
      </c>
      <c r="D350" s="3429">
        <v>3730</v>
      </c>
      <c r="E350" s="3429">
        <v>4100</v>
      </c>
      <c r="F350" s="3429">
        <v>800</v>
      </c>
      <c r="G350" s="3429">
        <v>2230</v>
      </c>
      <c r="H350" s="3442"/>
    </row>
    <row r="351" spans="1:21">
      <c r="A351" s="3429" t="s">
        <v>1157</v>
      </c>
      <c r="B351" s="3429" t="s">
        <v>3002</v>
      </c>
      <c r="C351" s="3429">
        <v>3610</v>
      </c>
      <c r="D351" s="3429">
        <v>3580</v>
      </c>
      <c r="E351" s="3429">
        <v>3930</v>
      </c>
      <c r="F351" s="3429">
        <v>700</v>
      </c>
      <c r="G351" s="3429">
        <v>2140</v>
      </c>
      <c r="H351" s="3442"/>
    </row>
    <row r="352" spans="1:21">
      <c r="A352" s="3429" t="s">
        <v>1157</v>
      </c>
      <c r="B352" s="3429" t="s">
        <v>3003</v>
      </c>
      <c r="C352" s="3429">
        <v>3670</v>
      </c>
      <c r="D352" s="3429">
        <v>3630</v>
      </c>
      <c r="E352" s="3429">
        <v>4000</v>
      </c>
      <c r="F352" s="3429">
        <v>750</v>
      </c>
      <c r="G352" s="3429">
        <v>2180</v>
      </c>
      <c r="H352" s="3442"/>
    </row>
    <row r="353" spans="1:8">
      <c r="A353" s="3429" t="s">
        <v>1157</v>
      </c>
      <c r="B353" s="3429" t="s">
        <v>3004</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3005</v>
      </c>
      <c r="C355" s="3429">
        <v>3650</v>
      </c>
      <c r="D355" s="3429">
        <v>3610</v>
      </c>
      <c r="E355" s="3429">
        <v>4200</v>
      </c>
      <c r="F355" s="3429">
        <v>640</v>
      </c>
      <c r="G355" s="3429">
        <v>2160</v>
      </c>
      <c r="H355" s="3442"/>
    </row>
    <row r="356" spans="1:8">
      <c r="A356" s="3429" t="s">
        <v>1157</v>
      </c>
      <c r="B356" s="3429" t="s">
        <v>3006</v>
      </c>
      <c r="C356" s="3429">
        <v>3260</v>
      </c>
      <c r="D356" s="3429">
        <v>3230</v>
      </c>
      <c r="E356" s="3429">
        <v>3740</v>
      </c>
      <c r="F356" s="3429">
        <v>600</v>
      </c>
      <c r="G356" s="3429">
        <v>1930</v>
      </c>
      <c r="H356" s="3442"/>
    </row>
    <row r="357" spans="1:8" ht="15" thickBot="1">
      <c r="A357" s="3445" t="s">
        <v>1157</v>
      </c>
      <c r="B357" s="3445" t="s">
        <v>3007</v>
      </c>
      <c r="C357" s="3445">
        <v>3690</v>
      </c>
      <c r="D357" s="3445">
        <v>3650</v>
      </c>
      <c r="E357" s="3445">
        <v>4020</v>
      </c>
      <c r="F357" s="3445">
        <v>700</v>
      </c>
      <c r="G357" s="3445">
        <v>2190</v>
      </c>
      <c r="H357" s="3442"/>
    </row>
    <row r="358" spans="1:8">
      <c r="A358" s="3446" t="s">
        <v>2763</v>
      </c>
      <c r="B358" s="3447" t="s">
        <v>3008</v>
      </c>
      <c r="C358" s="3447">
        <v>2080</v>
      </c>
      <c r="D358" s="3447">
        <v>2040</v>
      </c>
      <c r="E358" s="3447">
        <v>2010</v>
      </c>
      <c r="F358" s="3447">
        <v>530</v>
      </c>
      <c r="G358" s="3448">
        <v>1230</v>
      </c>
      <c r="H358" s="3442"/>
    </row>
    <row r="359" spans="1:8">
      <c r="A359" s="3449" t="s">
        <v>2763</v>
      </c>
      <c r="B359" s="3429" t="s">
        <v>3009</v>
      </c>
      <c r="C359" s="3429">
        <v>1850</v>
      </c>
      <c r="D359" s="3429">
        <v>1820</v>
      </c>
      <c r="E359" s="3429">
        <v>1780</v>
      </c>
      <c r="F359" s="3429">
        <v>520</v>
      </c>
      <c r="G359" s="3441">
        <v>1100</v>
      </c>
      <c r="H359" s="3442"/>
    </row>
    <row r="360" spans="1:8">
      <c r="A360" s="3449" t="s">
        <v>2763</v>
      </c>
      <c r="B360" s="3429" t="s">
        <v>3010</v>
      </c>
      <c r="C360" s="3429">
        <v>2020</v>
      </c>
      <c r="D360" s="3429">
        <v>1990</v>
      </c>
      <c r="E360" s="3429">
        <v>1950</v>
      </c>
      <c r="F360" s="3429">
        <v>500</v>
      </c>
      <c r="G360" s="3441">
        <v>1200</v>
      </c>
      <c r="H360" s="3442"/>
    </row>
    <row r="361" spans="1:8">
      <c r="A361" s="3449" t="s">
        <v>2763</v>
      </c>
      <c r="B361" s="3429" t="s">
        <v>999</v>
      </c>
      <c r="C361" s="3429">
        <v>2260</v>
      </c>
      <c r="D361" s="3429">
        <v>2220</v>
      </c>
      <c r="E361" s="3429">
        <v>2180</v>
      </c>
      <c r="F361" s="3429">
        <v>580</v>
      </c>
      <c r="G361" s="3441">
        <v>1340</v>
      </c>
      <c r="H361" s="3442"/>
    </row>
    <row r="362" spans="1:8">
      <c r="A362" s="3449" t="s">
        <v>2763</v>
      </c>
      <c r="B362" s="3429" t="s">
        <v>3011</v>
      </c>
      <c r="C362" s="3429">
        <v>2650</v>
      </c>
      <c r="D362" s="3429">
        <v>2610</v>
      </c>
      <c r="E362" s="3429">
        <v>2570</v>
      </c>
      <c r="F362" s="3429">
        <v>630</v>
      </c>
      <c r="G362" s="3441">
        <v>1570</v>
      </c>
      <c r="H362" s="3442"/>
    </row>
    <row r="363" spans="1:8">
      <c r="A363" s="3449" t="s">
        <v>2763</v>
      </c>
      <c r="B363" s="3429" t="s">
        <v>3012</v>
      </c>
      <c r="C363" s="3429">
        <v>2390</v>
      </c>
      <c r="D363" s="3429">
        <v>2360</v>
      </c>
      <c r="E363" s="3429">
        <v>2320</v>
      </c>
      <c r="F363" s="3429">
        <v>600</v>
      </c>
      <c r="G363" s="3441">
        <v>1420</v>
      </c>
      <c r="H363" s="3442"/>
    </row>
    <row r="364" spans="1:8">
      <c r="A364" s="3449" t="s">
        <v>2763</v>
      </c>
      <c r="B364" s="3429" t="s">
        <v>3013</v>
      </c>
      <c r="C364" s="3429">
        <v>2050</v>
      </c>
      <c r="D364" s="3429">
        <v>2030</v>
      </c>
      <c r="E364" s="3429">
        <v>1990</v>
      </c>
      <c r="F364" s="3429">
        <v>550</v>
      </c>
      <c r="G364" s="3441">
        <v>1220</v>
      </c>
      <c r="H364" s="3442"/>
    </row>
    <row r="365" spans="1:8">
      <c r="A365" s="3449" t="s">
        <v>2763</v>
      </c>
      <c r="B365" s="3429" t="s">
        <v>1047</v>
      </c>
      <c r="C365" s="3429">
        <v>2140</v>
      </c>
      <c r="D365" s="3429">
        <v>2100</v>
      </c>
      <c r="E365" s="3429">
        <v>2060</v>
      </c>
      <c r="F365" s="3429">
        <v>540</v>
      </c>
      <c r="G365" s="3441">
        <v>1270</v>
      </c>
      <c r="H365" s="3442"/>
    </row>
    <row r="366" spans="1:8">
      <c r="A366" s="3449" t="s">
        <v>2763</v>
      </c>
      <c r="B366" s="3429" t="s">
        <v>3014</v>
      </c>
      <c r="C366" s="3429">
        <v>2410</v>
      </c>
      <c r="D366" s="3429">
        <v>2370</v>
      </c>
      <c r="E366" s="3429">
        <v>2330</v>
      </c>
      <c r="F366" s="3429">
        <v>570</v>
      </c>
      <c r="G366" s="3441">
        <v>1440</v>
      </c>
      <c r="H366" s="3442"/>
    </row>
    <row r="367" spans="1:8">
      <c r="A367" s="3449" t="s">
        <v>2763</v>
      </c>
      <c r="B367" s="3429" t="s">
        <v>3015</v>
      </c>
      <c r="C367" s="3429">
        <v>2300</v>
      </c>
      <c r="D367" s="3429">
        <v>2260</v>
      </c>
      <c r="E367" s="3429">
        <v>2220</v>
      </c>
      <c r="F367" s="3429">
        <v>560</v>
      </c>
      <c r="G367" s="3441">
        <v>1370</v>
      </c>
      <c r="H367" s="3442"/>
    </row>
    <row r="368" spans="1:8">
      <c r="A368" s="3449" t="s">
        <v>2763</v>
      </c>
      <c r="B368" s="3429" t="s">
        <v>3016</v>
      </c>
      <c r="C368" s="3429">
        <v>2430</v>
      </c>
      <c r="D368" s="3429">
        <v>2390</v>
      </c>
      <c r="E368" s="3429">
        <v>2350</v>
      </c>
      <c r="F368" s="3429">
        <v>570</v>
      </c>
      <c r="G368" s="3441">
        <v>1450</v>
      </c>
      <c r="H368" s="3442"/>
    </row>
    <row r="369" spans="1:8">
      <c r="A369" s="3449" t="s">
        <v>2763</v>
      </c>
      <c r="B369" s="3429" t="s">
        <v>1061</v>
      </c>
      <c r="C369" s="3429">
        <v>2320</v>
      </c>
      <c r="D369" s="3429">
        <v>2290</v>
      </c>
      <c r="E369" s="3429">
        <v>2250</v>
      </c>
      <c r="F369" s="3429">
        <v>550</v>
      </c>
      <c r="G369" s="3441">
        <v>1380</v>
      </c>
      <c r="H369" s="3442"/>
    </row>
    <row r="370" spans="1:8">
      <c r="A370" s="3449" t="s">
        <v>2763</v>
      </c>
      <c r="B370" s="3429" t="s">
        <v>1069</v>
      </c>
      <c r="C370" s="3429">
        <v>2190</v>
      </c>
      <c r="D370" s="3429">
        <v>2170</v>
      </c>
      <c r="E370" s="3429">
        <v>2130</v>
      </c>
      <c r="F370" s="3429">
        <v>530</v>
      </c>
      <c r="G370" s="3441">
        <v>1310</v>
      </c>
      <c r="H370" s="3442"/>
    </row>
    <row r="371" spans="1:8">
      <c r="A371" s="3449" t="s">
        <v>2763</v>
      </c>
      <c r="B371" s="3429" t="s">
        <v>1077</v>
      </c>
      <c r="C371" s="3429">
        <v>2460</v>
      </c>
      <c r="D371" s="3429">
        <v>2420</v>
      </c>
      <c r="E371" s="3429">
        <v>2370</v>
      </c>
      <c r="F371" s="3429">
        <v>560</v>
      </c>
      <c r="G371" s="3441">
        <v>1470</v>
      </c>
      <c r="H371" s="3442"/>
    </row>
    <row r="372" spans="1:8">
      <c r="A372" s="3449" t="s">
        <v>2763</v>
      </c>
      <c r="B372" s="3429" t="s">
        <v>3017</v>
      </c>
      <c r="C372" s="3429">
        <v>2250</v>
      </c>
      <c r="D372" s="3429">
        <v>2210</v>
      </c>
      <c r="E372" s="3429">
        <v>2180</v>
      </c>
      <c r="F372" s="3429">
        <v>550</v>
      </c>
      <c r="G372" s="3441">
        <v>1340</v>
      </c>
      <c r="H372" s="3442"/>
    </row>
    <row r="373" spans="1:8">
      <c r="A373" s="3449" t="s">
        <v>2763</v>
      </c>
      <c r="B373" s="3429" t="s">
        <v>1106</v>
      </c>
      <c r="C373" s="3429">
        <v>2210</v>
      </c>
      <c r="D373" s="3429">
        <v>2190</v>
      </c>
      <c r="E373" s="3429">
        <v>2150</v>
      </c>
      <c r="F373" s="3429">
        <v>530</v>
      </c>
      <c r="G373" s="3441">
        <v>1320</v>
      </c>
      <c r="H373" s="3442"/>
    </row>
    <row r="374" spans="1:8">
      <c r="A374" s="3449" t="s">
        <v>2763</v>
      </c>
      <c r="B374" s="3429" t="s">
        <v>1114</v>
      </c>
      <c r="C374" s="3429">
        <v>2320</v>
      </c>
      <c r="D374" s="3429">
        <v>2280</v>
      </c>
      <c r="E374" s="3429">
        <v>2230</v>
      </c>
      <c r="F374" s="3429">
        <v>580</v>
      </c>
      <c r="G374" s="3441">
        <v>1380</v>
      </c>
      <c r="H374" s="3442"/>
    </row>
    <row r="375" spans="1:8">
      <c r="A375" s="3449" t="s">
        <v>2763</v>
      </c>
      <c r="B375" s="3429" t="s">
        <v>3018</v>
      </c>
      <c r="C375" s="3429">
        <v>2090</v>
      </c>
      <c r="D375" s="3429">
        <v>2050</v>
      </c>
      <c r="E375" s="3429">
        <v>2020</v>
      </c>
      <c r="F375" s="3429">
        <v>520</v>
      </c>
      <c r="G375" s="3441">
        <v>1240</v>
      </c>
      <c r="H375" s="3442"/>
    </row>
    <row r="376" spans="1:8">
      <c r="A376" s="3449" t="s">
        <v>2763</v>
      </c>
      <c r="B376" s="3429" t="s">
        <v>1126</v>
      </c>
      <c r="C376" s="3429">
        <v>2010</v>
      </c>
      <c r="D376" s="3429">
        <v>1980</v>
      </c>
      <c r="E376" s="3429">
        <v>1940</v>
      </c>
      <c r="F376" s="3429">
        <v>540</v>
      </c>
      <c r="G376" s="3441">
        <v>1190</v>
      </c>
      <c r="H376" s="3442"/>
    </row>
    <row r="377" spans="1:8" ht="15" thickBot="1">
      <c r="A377" s="3451" t="s">
        <v>2763</v>
      </c>
      <c r="B377" s="3445" t="s">
        <v>3019</v>
      </c>
      <c r="C377" s="3445">
        <v>1930</v>
      </c>
      <c r="D377" s="3445">
        <v>1890</v>
      </c>
      <c r="E377" s="3445">
        <v>1860</v>
      </c>
      <c r="F377" s="3445">
        <v>530</v>
      </c>
      <c r="G377" s="3452">
        <v>1150</v>
      </c>
      <c r="H377" s="3442"/>
    </row>
    <row r="378" spans="1:8">
      <c r="A378" s="3446" t="s">
        <v>2764</v>
      </c>
      <c r="B378" s="3447" t="s">
        <v>3020</v>
      </c>
      <c r="C378" s="3447">
        <v>1520</v>
      </c>
      <c r="D378" s="3447">
        <v>1490</v>
      </c>
      <c r="E378" s="3447">
        <v>1460</v>
      </c>
      <c r="F378" s="3447">
        <v>460</v>
      </c>
      <c r="G378" s="3448">
        <v>940</v>
      </c>
      <c r="H378" s="3442"/>
    </row>
    <row r="379" spans="1:8">
      <c r="A379" s="3449" t="s">
        <v>2764</v>
      </c>
      <c r="B379" s="3429" t="s">
        <v>3021</v>
      </c>
      <c r="C379" s="3429">
        <v>1500</v>
      </c>
      <c r="D379" s="3429">
        <v>1470</v>
      </c>
      <c r="E379" s="3429">
        <v>1430</v>
      </c>
      <c r="F379" s="3429">
        <v>460</v>
      </c>
      <c r="G379" s="3441">
        <v>920</v>
      </c>
      <c r="H379" s="3442"/>
    </row>
    <row r="380" spans="1:8">
      <c r="A380" s="3449" t="s">
        <v>2764</v>
      </c>
      <c r="B380" s="3429" t="s">
        <v>3022</v>
      </c>
      <c r="C380" s="3429">
        <v>1620</v>
      </c>
      <c r="D380" s="3429">
        <v>1590</v>
      </c>
      <c r="E380" s="3429">
        <v>1560</v>
      </c>
      <c r="F380" s="3429">
        <v>480</v>
      </c>
      <c r="G380" s="3441">
        <v>1000</v>
      </c>
      <c r="H380" s="3442"/>
    </row>
    <row r="381" spans="1:8">
      <c r="A381" s="3449" t="s">
        <v>2764</v>
      </c>
      <c r="B381" s="3429" t="s">
        <v>3023</v>
      </c>
      <c r="C381" s="3429">
        <v>1460</v>
      </c>
      <c r="D381" s="3429">
        <v>1430</v>
      </c>
      <c r="E381" s="3429">
        <v>1390</v>
      </c>
      <c r="F381" s="3429">
        <v>450</v>
      </c>
      <c r="G381" s="3441">
        <v>900</v>
      </c>
      <c r="H381" s="3442"/>
    </row>
    <row r="382" spans="1:8">
      <c r="A382" s="3449" t="s">
        <v>2764</v>
      </c>
      <c r="B382" s="3429" t="s">
        <v>3024</v>
      </c>
      <c r="C382" s="3429">
        <v>1310</v>
      </c>
      <c r="D382" s="3429">
        <v>1280</v>
      </c>
      <c r="E382" s="3429">
        <v>1250</v>
      </c>
      <c r="F382" s="3429">
        <v>440</v>
      </c>
      <c r="G382" s="3441">
        <v>800</v>
      </c>
      <c r="H382" s="3442"/>
    </row>
    <row r="383" spans="1:8">
      <c r="A383" s="3449" t="s">
        <v>2764</v>
      </c>
      <c r="B383" s="3429" t="s">
        <v>3025</v>
      </c>
      <c r="C383" s="3429">
        <v>1260</v>
      </c>
      <c r="D383" s="3429">
        <v>1230</v>
      </c>
      <c r="E383" s="3429">
        <v>1200</v>
      </c>
      <c r="F383" s="3429">
        <v>420</v>
      </c>
      <c r="G383" s="3441">
        <v>770</v>
      </c>
      <c r="H383" s="3442"/>
    </row>
    <row r="384" spans="1:8" ht="15" thickBot="1">
      <c r="A384" s="3450" t="s">
        <v>2764</v>
      </c>
      <c r="B384" s="3444" t="s">
        <v>3026</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156" t="s">
        <v>3189</v>
      </c>
      <c r="B1" s="4156"/>
      <c r="C1" s="4156"/>
      <c r="D1" s="4156"/>
      <c r="E1" s="4156"/>
      <c r="F1" s="4157"/>
    </row>
    <row r="2" spans="1:6">
      <c r="A2" s="3496" t="s">
        <v>3190</v>
      </c>
      <c r="B2" s="3497"/>
      <c r="C2" s="3497"/>
      <c r="D2" s="3497"/>
      <c r="E2" s="3497"/>
      <c r="F2" s="3497"/>
    </row>
    <row r="3" spans="1:6">
      <c r="A3" s="3496" t="s">
        <v>3191</v>
      </c>
      <c r="B3" s="3497"/>
      <c r="C3" s="3497"/>
      <c r="D3" s="3497"/>
      <c r="E3" s="3497"/>
      <c r="F3" s="3498" t="s">
        <v>3192</v>
      </c>
    </row>
    <row r="4" spans="1:6">
      <c r="A4" s="3499" t="s">
        <v>3187</v>
      </c>
      <c r="B4" s="3499" t="s">
        <v>2739</v>
      </c>
      <c r="C4" s="3499" t="s">
        <v>1212</v>
      </c>
      <c r="D4" s="3499" t="s">
        <v>3188</v>
      </c>
      <c r="E4" s="3499" t="s">
        <v>905</v>
      </c>
      <c r="F4" s="3499" t="s">
        <v>3193</v>
      </c>
    </row>
    <row r="5" spans="1:6">
      <c r="A5" s="3500" t="s">
        <v>2762</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2763</v>
      </c>
      <c r="B16" s="3502">
        <v>2230</v>
      </c>
      <c r="C16" s="3502">
        <v>2200</v>
      </c>
      <c r="D16" s="3502">
        <v>2180</v>
      </c>
      <c r="E16" s="3502">
        <v>570</v>
      </c>
      <c r="F16" s="3502">
        <v>1330</v>
      </c>
    </row>
    <row r="17" spans="1:6">
      <c r="A17" s="3500" t="s">
        <v>2764</v>
      </c>
      <c r="B17" s="3502">
        <v>1390</v>
      </c>
      <c r="C17" s="3502">
        <v>1360</v>
      </c>
      <c r="D17" s="3502">
        <v>1340</v>
      </c>
      <c r="E17" s="3502">
        <v>450</v>
      </c>
      <c r="F17" s="3502">
        <v>860</v>
      </c>
    </row>
  </sheetData>
  <sheetProtection password="CEE9" sheet="1" objects="1" scenarios="1"/>
  <mergeCells count="1">
    <mergeCell ref="A1:F1"/>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6"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6"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SUMPRODUCT((A95:A184=ROUNDDOWN([4]基准地价修正!G3,1))*(B94:M94=[4]基准地价修正!G2)*(B95:M184))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6"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6"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6"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SUMPRODUCT((A371:A460=ROUNDDOWN([4]基准地价修正!G3,1))*(B370:M370=[4]基准地价修正!G2)*(B371:M460))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5" customWidth="1"/>
    <col min="2" max="2" width="13.88671875" style="3495" customWidth="1"/>
    <col min="3" max="7" width="8.88671875" style="3460"/>
    <col min="8" max="16384" width="8.88671875" style="1581"/>
  </cols>
  <sheetData>
    <row r="1" spans="1:7">
      <c r="A1" s="4158" t="s">
        <v>3027</v>
      </c>
      <c r="B1" s="4158"/>
    </row>
    <row r="2" spans="1:7" ht="15" thickBot="1">
      <c r="A2" s="3461"/>
      <c r="B2" s="3461"/>
    </row>
    <row r="3" spans="1:7" ht="15" thickBot="1">
      <c r="A3" s="3461"/>
      <c r="B3" s="3461"/>
      <c r="C3" s="3462" t="s">
        <v>3028</v>
      </c>
      <c r="D3" s="3462" t="s">
        <v>3029</v>
      </c>
      <c r="E3" s="3462" t="s">
        <v>3030</v>
      </c>
      <c r="F3" s="3462" t="s">
        <v>3031</v>
      </c>
      <c r="G3" s="3462" t="s">
        <v>3032</v>
      </c>
    </row>
    <row r="4" spans="1:7" ht="15" thickBot="1">
      <c r="A4" s="3463" t="s">
        <v>3033</v>
      </c>
      <c r="B4" s="3464" t="s">
        <v>3034</v>
      </c>
      <c r="C4" s="3462"/>
      <c r="D4" s="3462"/>
      <c r="E4" s="3462"/>
      <c r="F4" s="3462"/>
      <c r="G4" s="3462"/>
    </row>
    <row r="5" spans="1:7">
      <c r="A5" s="3465" t="s">
        <v>3035</v>
      </c>
      <c r="B5" s="3466" t="s">
        <v>3036</v>
      </c>
      <c r="C5" s="3467">
        <v>9.8000000000000004E-2</v>
      </c>
      <c r="D5" s="3467">
        <v>8.6999999999999994E-2</v>
      </c>
      <c r="E5" s="3467">
        <v>8.6999999999999994E-2</v>
      </c>
      <c r="F5" s="3467">
        <v>9.8000000000000004E-2</v>
      </c>
      <c r="G5" s="3468">
        <v>9.5000000000000001E-2</v>
      </c>
    </row>
    <row r="6" spans="1:7">
      <c r="A6" s="3469" t="s">
        <v>990</v>
      </c>
      <c r="B6" s="3470" t="s">
        <v>3037</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5" thickBot="1">
      <c r="A9" s="3473" t="s">
        <v>990</v>
      </c>
      <c r="B9" s="3474" t="s">
        <v>1001</v>
      </c>
      <c r="C9" s="3475">
        <v>0.1</v>
      </c>
      <c r="D9" s="3475">
        <v>0.1</v>
      </c>
      <c r="E9" s="3475">
        <v>0.1</v>
      </c>
      <c r="F9" s="3476"/>
      <c r="G9" s="3477">
        <v>0.1</v>
      </c>
    </row>
    <row r="10" spans="1:7">
      <c r="A10" s="3465" t="s">
        <v>1031</v>
      </c>
      <c r="B10" s="3466" t="s">
        <v>3038</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3039</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5" thickBot="1">
      <c r="A29" s="3473" t="s">
        <v>1031</v>
      </c>
      <c r="B29" s="3474" t="s">
        <v>2825</v>
      </c>
      <c r="C29" s="3479"/>
      <c r="D29" s="3475">
        <v>5.1999999999999998E-2</v>
      </c>
      <c r="E29" s="3475">
        <v>7.0000000000000007E-2</v>
      </c>
      <c r="F29" s="3479"/>
      <c r="G29" s="3477">
        <v>7.0999999999999994E-2</v>
      </c>
    </row>
    <row r="30" spans="1:7">
      <c r="A30" s="3480" t="s">
        <v>1145</v>
      </c>
      <c r="B30" s="3466" t="s">
        <v>3040</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3041</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2827</v>
      </c>
      <c r="C50" s="3471">
        <v>9.8000000000000004E-2</v>
      </c>
      <c r="D50" s="3471">
        <v>7.2999999999999995E-2</v>
      </c>
      <c r="E50" s="3471">
        <v>7.0999999999999994E-2</v>
      </c>
      <c r="F50" s="3482"/>
      <c r="G50" s="3472">
        <v>7.2999999999999995E-2</v>
      </c>
    </row>
    <row r="51" spans="1:7">
      <c r="A51" s="3481" t="s">
        <v>1145</v>
      </c>
      <c r="B51" s="3470" t="s">
        <v>2828</v>
      </c>
      <c r="C51" s="3471">
        <v>9.9000000000000005E-2</v>
      </c>
      <c r="D51" s="3471">
        <v>8.5000000000000006E-2</v>
      </c>
      <c r="E51" s="3471">
        <v>6.3E-2</v>
      </c>
      <c r="F51" s="3482"/>
      <c r="G51" s="3472">
        <v>9.6000000000000002E-2</v>
      </c>
    </row>
    <row r="52" spans="1:7">
      <c r="A52" s="3481" t="s">
        <v>1145</v>
      </c>
      <c r="B52" s="3470" t="s">
        <v>2829</v>
      </c>
      <c r="C52" s="3471">
        <v>7.3999999999999996E-2</v>
      </c>
      <c r="D52" s="3471">
        <v>9.6000000000000002E-2</v>
      </c>
      <c r="E52" s="3471">
        <v>0.05</v>
      </c>
      <c r="F52" s="3482"/>
      <c r="G52" s="3472">
        <v>9.8000000000000004E-2</v>
      </c>
    </row>
    <row r="53" spans="1:7">
      <c r="A53" s="3481" t="s">
        <v>1145</v>
      </c>
      <c r="B53" s="3470" t="s">
        <v>2830</v>
      </c>
      <c r="C53" s="3471">
        <v>8.5999999999999993E-2</v>
      </c>
      <c r="D53" s="3482"/>
      <c r="E53" s="3471">
        <v>9.1999999999999998E-2</v>
      </c>
      <c r="F53" s="3482"/>
      <c r="G53" s="3483"/>
    </row>
    <row r="54" spans="1:7" ht="15" thickBot="1">
      <c r="A54" s="3484" t="s">
        <v>1145</v>
      </c>
      <c r="B54" s="3474" t="s">
        <v>2831</v>
      </c>
      <c r="C54" s="3475">
        <v>9.6000000000000002E-2</v>
      </c>
      <c r="D54" s="3476"/>
      <c r="E54" s="3485"/>
      <c r="F54" s="3476"/>
      <c r="G54" s="3486"/>
    </row>
    <row r="55" spans="1:7">
      <c r="A55" s="3480" t="s">
        <v>853</v>
      </c>
      <c r="B55" s="3466" t="s">
        <v>3042</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2833</v>
      </c>
      <c r="C78" s="3471">
        <v>0.1</v>
      </c>
      <c r="D78" s="3471">
        <v>8.5000000000000006E-2</v>
      </c>
      <c r="E78" s="3471">
        <v>9.6000000000000002E-2</v>
      </c>
      <c r="F78" s="3482"/>
      <c r="G78" s="3472">
        <v>9.6000000000000002E-2</v>
      </c>
    </row>
    <row r="79" spans="1:7">
      <c r="A79" s="3481" t="s">
        <v>853</v>
      </c>
      <c r="B79" s="3470" t="s">
        <v>2834</v>
      </c>
      <c r="C79" s="3471">
        <v>0.05</v>
      </c>
      <c r="D79" s="3471">
        <v>9.6000000000000002E-2</v>
      </c>
      <c r="E79" s="3471">
        <v>9.5000000000000001E-2</v>
      </c>
      <c r="F79" s="3482"/>
      <c r="G79" s="3472">
        <v>9.8000000000000004E-2</v>
      </c>
    </row>
    <row r="80" spans="1:7">
      <c r="A80" s="3481" t="s">
        <v>853</v>
      </c>
      <c r="B80" s="3470" t="s">
        <v>2835</v>
      </c>
      <c r="C80" s="3471">
        <v>8.5999999999999993E-2</v>
      </c>
      <c r="D80" s="3487"/>
      <c r="E80" s="3471">
        <v>0.1</v>
      </c>
      <c r="F80" s="3482"/>
      <c r="G80" s="3483"/>
    </row>
    <row r="81" spans="1:7">
      <c r="A81" s="3481" t="s">
        <v>853</v>
      </c>
      <c r="B81" s="3470" t="s">
        <v>2836</v>
      </c>
      <c r="C81" s="3471">
        <v>9.6000000000000002E-2</v>
      </c>
      <c r="D81" s="3482"/>
      <c r="E81" s="3471">
        <v>9.8000000000000004E-2</v>
      </c>
      <c r="F81" s="3482"/>
      <c r="G81" s="3483"/>
    </row>
    <row r="82" spans="1:7">
      <c r="A82" s="3481" t="s">
        <v>853</v>
      </c>
      <c r="B82" s="3470" t="s">
        <v>2837</v>
      </c>
      <c r="C82" s="3487"/>
      <c r="D82" s="3482"/>
      <c r="E82" s="3471">
        <v>7.6999999999999999E-2</v>
      </c>
      <c r="F82" s="3482"/>
      <c r="G82" s="3483"/>
    </row>
    <row r="83" spans="1:7">
      <c r="A83" s="3481" t="s">
        <v>853</v>
      </c>
      <c r="B83" s="3470" t="s">
        <v>3043</v>
      </c>
      <c r="C83" s="3482"/>
      <c r="D83" s="3482"/>
      <c r="E83" s="3482"/>
      <c r="F83" s="3471">
        <v>0.1</v>
      </c>
      <c r="G83" s="3488"/>
    </row>
    <row r="84" spans="1:7">
      <c r="A84" s="3481" t="s">
        <v>853</v>
      </c>
      <c r="B84" s="3470" t="s">
        <v>3044</v>
      </c>
      <c r="C84" s="3482"/>
      <c r="D84" s="3482"/>
      <c r="E84" s="3482"/>
      <c r="F84" s="3471">
        <v>0.1</v>
      </c>
      <c r="G84" s="3488"/>
    </row>
    <row r="85" spans="1:7">
      <c r="A85" s="3481" t="s">
        <v>853</v>
      </c>
      <c r="B85" s="3470" t="s">
        <v>3045</v>
      </c>
      <c r="C85" s="3482"/>
      <c r="D85" s="3482"/>
      <c r="E85" s="3482"/>
      <c r="F85" s="3471">
        <v>0.1</v>
      </c>
      <c r="G85" s="3488"/>
    </row>
    <row r="86" spans="1:7" ht="15" thickBot="1">
      <c r="A86" s="3484" t="s">
        <v>853</v>
      </c>
      <c r="B86" s="3474" t="s">
        <v>3046</v>
      </c>
      <c r="C86" s="3475">
        <v>9.8000000000000004E-2</v>
      </c>
      <c r="D86" s="3475">
        <v>9.8000000000000004E-2</v>
      </c>
      <c r="E86" s="3475">
        <v>9.6000000000000002E-2</v>
      </c>
      <c r="F86" s="3485"/>
      <c r="G86" s="3477">
        <v>0.1</v>
      </c>
    </row>
    <row r="87" spans="1:7">
      <c r="A87" s="3480" t="s">
        <v>1152</v>
      </c>
      <c r="B87" s="3466" t="s">
        <v>3047</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2843</v>
      </c>
      <c r="C113" s="3471">
        <v>0.1</v>
      </c>
      <c r="D113" s="3471">
        <v>0.1</v>
      </c>
      <c r="E113" s="3482"/>
      <c r="F113" s="3482"/>
      <c r="G113" s="3472">
        <v>0.1</v>
      </c>
    </row>
    <row r="114" spans="1:7">
      <c r="A114" s="3481" t="s">
        <v>1152</v>
      </c>
      <c r="B114" s="3470" t="s">
        <v>2844</v>
      </c>
      <c r="C114" s="3471">
        <v>9.7000000000000003E-2</v>
      </c>
      <c r="D114" s="3471">
        <v>9.7000000000000003E-2</v>
      </c>
      <c r="E114" s="3482"/>
      <c r="F114" s="3482"/>
      <c r="G114" s="3472">
        <v>9.9000000000000005E-2</v>
      </c>
    </row>
    <row r="115" spans="1:7">
      <c r="A115" s="3481" t="s">
        <v>1152</v>
      </c>
      <c r="B115" s="3470" t="s">
        <v>2845</v>
      </c>
      <c r="C115" s="3471">
        <v>0.1</v>
      </c>
      <c r="D115" s="3471">
        <v>0.1</v>
      </c>
      <c r="E115" s="3482"/>
      <c r="F115" s="3482"/>
      <c r="G115" s="3472">
        <v>0.1</v>
      </c>
    </row>
    <row r="116" spans="1:7">
      <c r="A116" s="3481" t="s">
        <v>1152</v>
      </c>
      <c r="B116" s="3470" t="s">
        <v>2846</v>
      </c>
      <c r="C116" s="3471">
        <v>0.1</v>
      </c>
      <c r="D116" s="3471">
        <v>0.1</v>
      </c>
      <c r="E116" s="3482"/>
      <c r="F116" s="3482"/>
      <c r="G116" s="3472">
        <v>0.1</v>
      </c>
    </row>
    <row r="117" spans="1:7">
      <c r="A117" s="3481" t="s">
        <v>1152</v>
      </c>
      <c r="B117" s="3470" t="s">
        <v>2847</v>
      </c>
      <c r="C117" s="3471">
        <v>9.7000000000000003E-2</v>
      </c>
      <c r="D117" s="3471">
        <v>9.7000000000000003E-2</v>
      </c>
      <c r="E117" s="3482"/>
      <c r="F117" s="3482"/>
      <c r="G117" s="3472">
        <v>9.7000000000000003E-2</v>
      </c>
    </row>
    <row r="118" spans="1:7">
      <c r="A118" s="3481" t="s">
        <v>1152</v>
      </c>
      <c r="B118" s="3470" t="s">
        <v>2848</v>
      </c>
      <c r="C118" s="3471">
        <v>0.1</v>
      </c>
      <c r="D118" s="3471">
        <v>0.1</v>
      </c>
      <c r="E118" s="3482"/>
      <c r="F118" s="3482"/>
      <c r="G118" s="3472">
        <v>0.1</v>
      </c>
    </row>
    <row r="119" spans="1:7">
      <c r="A119" s="3481" t="s">
        <v>1152</v>
      </c>
      <c r="B119" s="3470" t="s">
        <v>2849</v>
      </c>
      <c r="C119" s="3471">
        <v>5.0999999999999997E-2</v>
      </c>
      <c r="D119" s="3471">
        <v>5.1999999999999998E-2</v>
      </c>
      <c r="E119" s="3482"/>
      <c r="F119" s="3487"/>
      <c r="G119" s="3472">
        <v>0.06</v>
      </c>
    </row>
    <row r="120" spans="1:7">
      <c r="A120" s="3481" t="s">
        <v>1152</v>
      </c>
      <c r="B120" s="3470" t="s">
        <v>3048</v>
      </c>
      <c r="C120" s="3482"/>
      <c r="D120" s="3482"/>
      <c r="E120" s="3482"/>
      <c r="F120" s="3471">
        <v>0.1</v>
      </c>
      <c r="G120" s="3488"/>
    </row>
    <row r="121" spans="1:7">
      <c r="A121" s="3481" t="s">
        <v>1152</v>
      </c>
      <c r="B121" s="3470" t="s">
        <v>3049</v>
      </c>
      <c r="C121" s="3482"/>
      <c r="D121" s="3482"/>
      <c r="E121" s="3482"/>
      <c r="F121" s="3471">
        <v>0.1</v>
      </c>
      <c r="G121" s="3488"/>
    </row>
    <row r="122" spans="1:7">
      <c r="A122" s="3481" t="s">
        <v>1152</v>
      </c>
      <c r="B122" s="3470" t="s">
        <v>3050</v>
      </c>
      <c r="C122" s="3471">
        <v>0.1</v>
      </c>
      <c r="D122" s="3471">
        <v>0.1</v>
      </c>
      <c r="E122" s="3471">
        <v>9.8000000000000004E-2</v>
      </c>
      <c r="F122" s="3471">
        <v>0.1</v>
      </c>
      <c r="G122" s="3472">
        <v>0.1</v>
      </c>
    </row>
    <row r="123" spans="1:7">
      <c r="A123" s="3481" t="s">
        <v>1152</v>
      </c>
      <c r="B123" s="3470" t="s">
        <v>2853</v>
      </c>
      <c r="C123" s="3471">
        <v>0.1</v>
      </c>
      <c r="D123" s="3471">
        <v>0.1</v>
      </c>
      <c r="E123" s="3471">
        <v>9.8000000000000004E-2</v>
      </c>
      <c r="F123" s="3471">
        <v>0.1</v>
      </c>
      <c r="G123" s="3472">
        <v>0.1</v>
      </c>
    </row>
    <row r="124" spans="1:7">
      <c r="A124" s="3481" t="s">
        <v>1152</v>
      </c>
      <c r="B124" s="3470" t="s">
        <v>2854</v>
      </c>
      <c r="C124" s="3471">
        <v>0.1</v>
      </c>
      <c r="D124" s="3471">
        <v>0.1</v>
      </c>
      <c r="E124" s="3471">
        <v>9.8000000000000004E-2</v>
      </c>
      <c r="F124" s="3487"/>
      <c r="G124" s="3472">
        <v>0.1</v>
      </c>
    </row>
    <row r="125" spans="1:7">
      <c r="A125" s="3481" t="s">
        <v>1152</v>
      </c>
      <c r="B125" s="3470" t="s">
        <v>2855</v>
      </c>
      <c r="C125" s="3471">
        <v>9.8000000000000004E-2</v>
      </c>
      <c r="D125" s="3471">
        <v>9.8000000000000004E-2</v>
      </c>
      <c r="E125" s="3471">
        <v>9.6000000000000002E-2</v>
      </c>
      <c r="F125" s="3487"/>
      <c r="G125" s="3472">
        <v>0.1</v>
      </c>
    </row>
    <row r="126" spans="1:7" ht="15" thickBot="1">
      <c r="A126" s="3484" t="s">
        <v>1152</v>
      </c>
      <c r="B126" s="3474" t="s">
        <v>3051</v>
      </c>
      <c r="C126" s="3475">
        <v>0.1</v>
      </c>
      <c r="D126" s="3475">
        <v>0.1</v>
      </c>
      <c r="E126" s="3475">
        <v>9.8000000000000004E-2</v>
      </c>
      <c r="F126" s="3475">
        <v>0.1</v>
      </c>
      <c r="G126" s="3477">
        <v>0.1</v>
      </c>
    </row>
    <row r="127" spans="1:7">
      <c r="A127" s="3480" t="s">
        <v>1153</v>
      </c>
      <c r="B127" s="3466" t="s">
        <v>3052</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3053</v>
      </c>
      <c r="C148" s="3471">
        <v>0.13</v>
      </c>
      <c r="D148" s="3471">
        <v>0.13</v>
      </c>
      <c r="E148" s="3471">
        <v>0.13</v>
      </c>
      <c r="F148" s="3482"/>
      <c r="G148" s="3472">
        <v>0.13</v>
      </c>
    </row>
    <row r="149" spans="1:7">
      <c r="A149" s="3481" t="s">
        <v>1153</v>
      </c>
      <c r="B149" s="3470" t="s">
        <v>3054</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2860</v>
      </c>
      <c r="C153" s="3471">
        <v>0.13</v>
      </c>
      <c r="D153" s="3471">
        <v>0.13</v>
      </c>
      <c r="E153" s="3471">
        <v>0.13</v>
      </c>
      <c r="F153" s="3471">
        <v>0.13</v>
      </c>
      <c r="G153" s="3472">
        <v>0.13</v>
      </c>
    </row>
    <row r="154" spans="1:7">
      <c r="A154" s="3481" t="s">
        <v>1153</v>
      </c>
      <c r="B154" s="3470" t="s">
        <v>3055</v>
      </c>
      <c r="C154" s="3471">
        <v>0.121</v>
      </c>
      <c r="D154" s="3471">
        <v>0.121</v>
      </c>
      <c r="E154" s="3471">
        <v>0.105</v>
      </c>
      <c r="F154" s="3471">
        <v>0.121</v>
      </c>
      <c r="G154" s="3472">
        <v>0.123</v>
      </c>
    </row>
    <row r="155" spans="1:7">
      <c r="A155" s="3481" t="s">
        <v>1153</v>
      </c>
      <c r="B155" s="3470" t="s">
        <v>2862</v>
      </c>
      <c r="C155" s="3471">
        <v>0.1</v>
      </c>
      <c r="D155" s="3471">
        <v>0.1</v>
      </c>
      <c r="E155" s="3471">
        <v>0.1</v>
      </c>
      <c r="F155" s="3471">
        <v>0.1</v>
      </c>
      <c r="G155" s="3472">
        <v>0.1</v>
      </c>
    </row>
    <row r="156" spans="1:7">
      <c r="A156" s="3481" t="s">
        <v>1153</v>
      </c>
      <c r="B156" s="3470" t="s">
        <v>3056</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3057</v>
      </c>
      <c r="C160" s="3471">
        <v>0.13</v>
      </c>
      <c r="D160" s="3471">
        <v>0.13</v>
      </c>
      <c r="E160" s="3471">
        <v>0.124</v>
      </c>
      <c r="F160" s="3471">
        <v>0.126</v>
      </c>
      <c r="G160" s="3472">
        <v>0.13</v>
      </c>
    </row>
    <row r="161" spans="1:7">
      <c r="A161" s="3481" t="s">
        <v>1153</v>
      </c>
      <c r="B161" s="3470" t="s">
        <v>2865</v>
      </c>
      <c r="C161" s="3471">
        <v>0.13</v>
      </c>
      <c r="D161" s="3471">
        <v>0.13</v>
      </c>
      <c r="E161" s="3471">
        <v>0.124</v>
      </c>
      <c r="F161" s="3471">
        <v>0.127</v>
      </c>
      <c r="G161" s="3472">
        <v>0.13</v>
      </c>
    </row>
    <row r="162" spans="1:7">
      <c r="A162" s="3481" t="s">
        <v>1153</v>
      </c>
      <c r="B162" s="3470" t="s">
        <v>2866</v>
      </c>
      <c r="C162" s="3471">
        <v>0.1</v>
      </c>
      <c r="D162" s="3471">
        <v>0.1</v>
      </c>
      <c r="E162" s="3471">
        <v>0.1</v>
      </c>
      <c r="F162" s="3471">
        <v>0.121</v>
      </c>
      <c r="G162" s="3472">
        <v>0.105</v>
      </c>
    </row>
    <row r="163" spans="1:7">
      <c r="A163" s="3481" t="s">
        <v>1153</v>
      </c>
      <c r="B163" s="3470" t="s">
        <v>2867</v>
      </c>
      <c r="C163" s="3471">
        <v>0.1</v>
      </c>
      <c r="D163" s="3471">
        <v>0.1</v>
      </c>
      <c r="E163" s="3471">
        <v>0.1</v>
      </c>
      <c r="F163" s="3471">
        <v>0.1</v>
      </c>
      <c r="G163" s="3472">
        <v>0.1</v>
      </c>
    </row>
    <row r="164" spans="1:7">
      <c r="A164" s="3481" t="s">
        <v>1153</v>
      </c>
      <c r="B164" s="3470" t="s">
        <v>2868</v>
      </c>
      <c r="C164" s="3487"/>
      <c r="D164" s="3487"/>
      <c r="E164" s="3487"/>
      <c r="F164" s="3471">
        <v>0.1</v>
      </c>
      <c r="G164" s="3483"/>
    </row>
    <row r="165" spans="1:7">
      <c r="A165" s="3481" t="s">
        <v>1153</v>
      </c>
      <c r="B165" s="3470" t="s">
        <v>3058</v>
      </c>
      <c r="C165" s="3471">
        <v>0.126</v>
      </c>
      <c r="D165" s="3471">
        <v>0.126</v>
      </c>
      <c r="E165" s="3471">
        <v>0.11899999999999999</v>
      </c>
      <c r="F165" s="3471">
        <v>0.13</v>
      </c>
      <c r="G165" s="3472">
        <v>0.128</v>
      </c>
    </row>
    <row r="166" spans="1:7">
      <c r="A166" s="3481" t="s">
        <v>1153</v>
      </c>
      <c r="B166" s="3470" t="s">
        <v>2870</v>
      </c>
      <c r="C166" s="3471">
        <v>0.129</v>
      </c>
      <c r="D166" s="3471">
        <v>0.129</v>
      </c>
      <c r="E166" s="3471">
        <v>0.123</v>
      </c>
      <c r="F166" s="3471">
        <v>0.128</v>
      </c>
      <c r="G166" s="3472">
        <v>0.13</v>
      </c>
    </row>
    <row r="167" spans="1:7">
      <c r="A167" s="3481" t="s">
        <v>1153</v>
      </c>
      <c r="B167" s="3470" t="s">
        <v>2871</v>
      </c>
      <c r="C167" s="3471">
        <v>0.125</v>
      </c>
      <c r="D167" s="3471">
        <v>0.125</v>
      </c>
      <c r="E167" s="3471">
        <v>0.11700000000000001</v>
      </c>
      <c r="F167" s="3471">
        <v>0.13</v>
      </c>
      <c r="G167" s="3472">
        <v>0.126</v>
      </c>
    </row>
    <row r="168" spans="1:7">
      <c r="A168" s="3481" t="s">
        <v>1153</v>
      </c>
      <c r="B168" s="3470" t="s">
        <v>2872</v>
      </c>
      <c r="C168" s="3471">
        <v>0.128</v>
      </c>
      <c r="D168" s="3471">
        <v>0.128</v>
      </c>
      <c r="E168" s="3471">
        <v>0.123</v>
      </c>
      <c r="F168" s="3482"/>
      <c r="G168" s="3472">
        <v>0.13</v>
      </c>
    </row>
    <row r="169" spans="1:7">
      <c r="A169" s="3481" t="s">
        <v>1153</v>
      </c>
      <c r="B169" s="3470" t="s">
        <v>3059</v>
      </c>
      <c r="C169" s="3487"/>
      <c r="D169" s="3487"/>
      <c r="E169" s="3487"/>
      <c r="F169" s="3471">
        <v>0.05</v>
      </c>
      <c r="G169" s="3483"/>
    </row>
    <row r="170" spans="1:7">
      <c r="A170" s="3481" t="s">
        <v>1153</v>
      </c>
      <c r="B170" s="3470" t="s">
        <v>3060</v>
      </c>
      <c r="C170" s="3487"/>
      <c r="D170" s="3487"/>
      <c r="E170" s="3487"/>
      <c r="F170" s="3471">
        <v>0.05</v>
      </c>
      <c r="G170" s="3483"/>
    </row>
    <row r="171" spans="1:7">
      <c r="A171" s="3481" t="s">
        <v>1153</v>
      </c>
      <c r="B171" s="3470" t="s">
        <v>3061</v>
      </c>
      <c r="C171" s="3487"/>
      <c r="D171" s="3487"/>
      <c r="E171" s="3487"/>
      <c r="F171" s="3471">
        <v>0.05</v>
      </c>
      <c r="G171" s="3488"/>
    </row>
    <row r="172" spans="1:7">
      <c r="A172" s="3481" t="s">
        <v>1153</v>
      </c>
      <c r="B172" s="3470" t="s">
        <v>3062</v>
      </c>
      <c r="C172" s="3487"/>
      <c r="D172" s="3487"/>
      <c r="E172" s="3487"/>
      <c r="F172" s="3471">
        <v>0.05</v>
      </c>
      <c r="G172" s="3488"/>
    </row>
    <row r="173" spans="1:7">
      <c r="A173" s="3481" t="s">
        <v>1153</v>
      </c>
      <c r="B173" s="3470" t="s">
        <v>3063</v>
      </c>
      <c r="C173" s="3487"/>
      <c r="D173" s="3487"/>
      <c r="E173" s="3487"/>
      <c r="F173" s="3471">
        <v>0.05</v>
      </c>
      <c r="G173" s="3483"/>
    </row>
    <row r="174" spans="1:7">
      <c r="A174" s="3481" t="s">
        <v>1153</v>
      </c>
      <c r="B174" s="3470" t="s">
        <v>3064</v>
      </c>
      <c r="C174" s="3487"/>
      <c r="D174" s="3487"/>
      <c r="E174" s="3487"/>
      <c r="F174" s="3471">
        <v>0.05</v>
      </c>
      <c r="G174" s="3483"/>
    </row>
    <row r="175" spans="1:7">
      <c r="A175" s="3481" t="s">
        <v>1153</v>
      </c>
      <c r="B175" s="3470" t="s">
        <v>3065</v>
      </c>
      <c r="C175" s="3487"/>
      <c r="D175" s="3487"/>
      <c r="E175" s="3487"/>
      <c r="F175" s="3471">
        <v>0.05</v>
      </c>
      <c r="G175" s="3483"/>
    </row>
    <row r="176" spans="1:7">
      <c r="A176" s="3481" t="s">
        <v>1153</v>
      </c>
      <c r="B176" s="3470" t="s">
        <v>3066</v>
      </c>
      <c r="C176" s="3487"/>
      <c r="D176" s="3487"/>
      <c r="E176" s="3487"/>
      <c r="F176" s="3471">
        <v>0.05</v>
      </c>
      <c r="G176" s="3483"/>
    </row>
    <row r="177" spans="1:7">
      <c r="A177" s="3481" t="s">
        <v>1153</v>
      </c>
      <c r="B177" s="3470" t="s">
        <v>3067</v>
      </c>
      <c r="C177" s="3482"/>
      <c r="D177" s="3482"/>
      <c r="E177" s="3482"/>
      <c r="F177" s="3471">
        <v>0.05</v>
      </c>
      <c r="G177" s="3488"/>
    </row>
    <row r="178" spans="1:7">
      <c r="A178" s="3481" t="s">
        <v>1153</v>
      </c>
      <c r="B178" s="3470" t="s">
        <v>3068</v>
      </c>
      <c r="C178" s="3482"/>
      <c r="D178" s="3482"/>
      <c r="E178" s="3482"/>
      <c r="F178" s="3471">
        <v>0.05</v>
      </c>
      <c r="G178" s="3488"/>
    </row>
    <row r="179" spans="1:7">
      <c r="A179" s="3481" t="s">
        <v>1153</v>
      </c>
      <c r="B179" s="3470" t="s">
        <v>3069</v>
      </c>
      <c r="C179" s="3482"/>
      <c r="D179" s="3482"/>
      <c r="E179" s="3482"/>
      <c r="F179" s="3471">
        <v>0.05</v>
      </c>
      <c r="G179" s="3488"/>
    </row>
    <row r="180" spans="1:7">
      <c r="A180" s="3481" t="s">
        <v>1153</v>
      </c>
      <c r="B180" s="3470" t="s">
        <v>3070</v>
      </c>
      <c r="C180" s="3482"/>
      <c r="D180" s="3482"/>
      <c r="E180" s="3482"/>
      <c r="F180" s="3471">
        <v>0.05</v>
      </c>
      <c r="G180" s="3488"/>
    </row>
    <row r="181" spans="1:7">
      <c r="A181" s="3481" t="s">
        <v>1153</v>
      </c>
      <c r="B181" s="3470" t="s">
        <v>3071</v>
      </c>
      <c r="C181" s="3482"/>
      <c r="D181" s="3482"/>
      <c r="E181" s="3482"/>
      <c r="F181" s="3471">
        <v>0.05</v>
      </c>
      <c r="G181" s="3488"/>
    </row>
    <row r="182" spans="1:7">
      <c r="A182" s="3481" t="s">
        <v>1153</v>
      </c>
      <c r="B182" s="3470" t="s">
        <v>3072</v>
      </c>
      <c r="C182" s="3482"/>
      <c r="D182" s="3482"/>
      <c r="E182" s="3482"/>
      <c r="F182" s="3471">
        <v>0.05</v>
      </c>
      <c r="G182" s="3488"/>
    </row>
    <row r="183" spans="1:7">
      <c r="A183" s="3481" t="s">
        <v>1153</v>
      </c>
      <c r="B183" s="3470" t="s">
        <v>3073</v>
      </c>
      <c r="C183" s="3482"/>
      <c r="D183" s="3482"/>
      <c r="E183" s="3482"/>
      <c r="F183" s="3471">
        <v>0.05</v>
      </c>
      <c r="G183" s="3488"/>
    </row>
    <row r="184" spans="1:7">
      <c r="A184" s="3481" t="s">
        <v>1153</v>
      </c>
      <c r="B184" s="3470" t="s">
        <v>3074</v>
      </c>
      <c r="C184" s="3482"/>
      <c r="D184" s="3482"/>
      <c r="E184" s="3482"/>
      <c r="F184" s="3471">
        <v>0.05</v>
      </c>
      <c r="G184" s="3488"/>
    </row>
    <row r="185" spans="1:7">
      <c r="A185" s="3481" t="s">
        <v>1153</v>
      </c>
      <c r="B185" s="3470" t="s">
        <v>3075</v>
      </c>
      <c r="C185" s="3482"/>
      <c r="D185" s="3482"/>
      <c r="E185" s="3482"/>
      <c r="F185" s="3471">
        <v>0.05</v>
      </c>
      <c r="G185" s="3488"/>
    </row>
    <row r="186" spans="1:7">
      <c r="A186" s="3481" t="s">
        <v>1153</v>
      </c>
      <c r="B186" s="3470" t="s">
        <v>3076</v>
      </c>
      <c r="C186" s="3482"/>
      <c r="D186" s="3482"/>
      <c r="E186" s="3482"/>
      <c r="F186" s="3471">
        <v>0.05</v>
      </c>
      <c r="G186" s="3488"/>
    </row>
    <row r="187" spans="1:7">
      <c r="A187" s="3481" t="s">
        <v>1153</v>
      </c>
      <c r="B187" s="3470" t="s">
        <v>3077</v>
      </c>
      <c r="C187" s="3482"/>
      <c r="D187" s="3482"/>
      <c r="E187" s="3482"/>
      <c r="F187" s="3471">
        <v>0.05</v>
      </c>
      <c r="G187" s="3488"/>
    </row>
    <row r="188" spans="1:7">
      <c r="A188" s="3481" t="s">
        <v>1153</v>
      </c>
      <c r="B188" s="3470" t="s">
        <v>3078</v>
      </c>
      <c r="C188" s="3482"/>
      <c r="D188" s="3482"/>
      <c r="E188" s="3482"/>
      <c r="F188" s="3471">
        <v>0.05</v>
      </c>
      <c r="G188" s="3488"/>
    </row>
    <row r="189" spans="1:7" ht="15" thickBot="1">
      <c r="A189" s="3484" t="s">
        <v>1153</v>
      </c>
      <c r="B189" s="3474" t="s">
        <v>3079</v>
      </c>
      <c r="C189" s="3476"/>
      <c r="D189" s="3476"/>
      <c r="E189" s="3476"/>
      <c r="F189" s="3475">
        <v>0.05</v>
      </c>
      <c r="G189" s="3489"/>
    </row>
    <row r="190" spans="1:7">
      <c r="A190" s="3480" t="s">
        <v>1154</v>
      </c>
      <c r="B190" s="3466" t="s">
        <v>3080</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3081</v>
      </c>
      <c r="C199" s="3471">
        <v>0.13</v>
      </c>
      <c r="D199" s="3471">
        <v>0.13</v>
      </c>
      <c r="E199" s="3471">
        <v>0.13</v>
      </c>
      <c r="F199" s="3471">
        <v>0.13</v>
      </c>
      <c r="G199" s="3472">
        <v>0.13</v>
      </c>
    </row>
    <row r="200" spans="1:7">
      <c r="A200" s="3481" t="s">
        <v>1154</v>
      </c>
      <c r="B200" s="3470" t="s">
        <v>2896</v>
      </c>
      <c r="C200" s="3487"/>
      <c r="D200" s="3487"/>
      <c r="E200" s="3487"/>
      <c r="F200" s="3471">
        <v>0.13</v>
      </c>
      <c r="G200" s="3483"/>
    </row>
    <row r="201" spans="1:7">
      <c r="A201" s="3481" t="s">
        <v>1154</v>
      </c>
      <c r="B201" s="3470" t="s">
        <v>3082</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3083</v>
      </c>
      <c r="C203" s="3471">
        <v>0.129</v>
      </c>
      <c r="D203" s="3471">
        <v>0.129</v>
      </c>
      <c r="E203" s="3471">
        <v>0.13</v>
      </c>
      <c r="F203" s="3471">
        <v>0.13</v>
      </c>
      <c r="G203" s="3472">
        <v>0.13</v>
      </c>
    </row>
    <row r="204" spans="1:7">
      <c r="A204" s="3481" t="s">
        <v>1154</v>
      </c>
      <c r="B204" s="3470" t="s">
        <v>2899</v>
      </c>
      <c r="C204" s="3471">
        <v>0.129</v>
      </c>
      <c r="D204" s="3471">
        <v>0.129</v>
      </c>
      <c r="E204" s="3471">
        <v>0.123</v>
      </c>
      <c r="F204" s="3471">
        <v>0.13</v>
      </c>
      <c r="G204" s="3472">
        <v>0.13</v>
      </c>
    </row>
    <row r="205" spans="1:7">
      <c r="A205" s="3481" t="s">
        <v>1154</v>
      </c>
      <c r="B205" s="3470" t="s">
        <v>2900</v>
      </c>
      <c r="C205" s="3471">
        <v>0.13</v>
      </c>
      <c r="D205" s="3471">
        <v>0.13</v>
      </c>
      <c r="E205" s="3471">
        <v>0.13</v>
      </c>
      <c r="F205" s="3471">
        <v>0.13</v>
      </c>
      <c r="G205" s="3472">
        <v>0.13</v>
      </c>
    </row>
    <row r="206" spans="1:7">
      <c r="A206" s="3481" t="s">
        <v>1154</v>
      </c>
      <c r="B206" s="3470" t="s">
        <v>2901</v>
      </c>
      <c r="C206" s="3471">
        <v>0.13</v>
      </c>
      <c r="D206" s="3471">
        <v>0.13</v>
      </c>
      <c r="E206" s="3471">
        <v>0.13</v>
      </c>
      <c r="F206" s="3471">
        <v>0.128</v>
      </c>
      <c r="G206" s="3472">
        <v>0.13</v>
      </c>
    </row>
    <row r="207" spans="1:7">
      <c r="A207" s="3481" t="s">
        <v>1154</v>
      </c>
      <c r="B207" s="3470" t="s">
        <v>2902</v>
      </c>
      <c r="C207" s="3471">
        <v>0.13</v>
      </c>
      <c r="D207" s="3471">
        <v>0.13</v>
      </c>
      <c r="E207" s="3471">
        <v>0.13</v>
      </c>
      <c r="F207" s="3471">
        <v>0.13</v>
      </c>
      <c r="G207" s="3472">
        <v>0.13</v>
      </c>
    </row>
    <row r="208" spans="1:7">
      <c r="A208" s="3481" t="s">
        <v>1154</v>
      </c>
      <c r="B208" s="3470" t="s">
        <v>3084</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2904</v>
      </c>
      <c r="C210" s="3471">
        <v>0.121</v>
      </c>
      <c r="D210" s="3471">
        <v>0.121</v>
      </c>
      <c r="E210" s="3471">
        <v>0.125</v>
      </c>
      <c r="F210" s="3471">
        <v>0.13</v>
      </c>
      <c r="G210" s="3472">
        <v>0.123</v>
      </c>
    </row>
    <row r="211" spans="1:7">
      <c r="A211" s="3481" t="s">
        <v>1154</v>
      </c>
      <c r="B211" s="3470" t="s">
        <v>3085</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3086</v>
      </c>
      <c r="C214" s="3471">
        <v>0.128</v>
      </c>
      <c r="D214" s="3471">
        <v>0.128</v>
      </c>
      <c r="E214" s="3471">
        <v>0.13</v>
      </c>
      <c r="F214" s="3471">
        <v>0.13</v>
      </c>
      <c r="G214" s="3472">
        <v>0.13</v>
      </c>
    </row>
    <row r="215" spans="1:7">
      <c r="A215" s="3481" t="s">
        <v>1154</v>
      </c>
      <c r="B215" s="3470" t="s">
        <v>3087</v>
      </c>
      <c r="C215" s="3471">
        <v>0.13</v>
      </c>
      <c r="D215" s="3471">
        <v>0.13</v>
      </c>
      <c r="E215" s="3471">
        <v>0.13</v>
      </c>
      <c r="F215" s="3471">
        <v>0.129</v>
      </c>
      <c r="G215" s="3472">
        <v>0.13</v>
      </c>
    </row>
    <row r="216" spans="1:7">
      <c r="A216" s="3481" t="s">
        <v>1154</v>
      </c>
      <c r="B216" s="3470" t="s">
        <v>3088</v>
      </c>
      <c r="C216" s="3471">
        <v>0.13</v>
      </c>
      <c r="D216" s="3471">
        <v>0.13</v>
      </c>
      <c r="E216" s="3471">
        <v>0.13</v>
      </c>
      <c r="F216" s="3471">
        <v>0.13</v>
      </c>
      <c r="G216" s="3472">
        <v>0.13</v>
      </c>
    </row>
    <row r="217" spans="1:7">
      <c r="A217" s="3481" t="s">
        <v>1154</v>
      </c>
      <c r="B217" s="3470" t="s">
        <v>2908</v>
      </c>
      <c r="C217" s="3471">
        <v>0.129</v>
      </c>
      <c r="D217" s="3471">
        <v>0.129</v>
      </c>
      <c r="E217" s="3471">
        <v>0.13</v>
      </c>
      <c r="F217" s="3471">
        <v>0.13</v>
      </c>
      <c r="G217" s="3472">
        <v>0.13</v>
      </c>
    </row>
    <row r="218" spans="1:7">
      <c r="A218" s="3481" t="s">
        <v>1154</v>
      </c>
      <c r="B218" s="3470" t="s">
        <v>3089</v>
      </c>
      <c r="C218" s="3482"/>
      <c r="D218" s="3482"/>
      <c r="E218" s="3482"/>
      <c r="F218" s="3471">
        <v>0.05</v>
      </c>
      <c r="G218" s="3488"/>
    </row>
    <row r="219" spans="1:7">
      <c r="A219" s="3481" t="s">
        <v>1154</v>
      </c>
      <c r="B219" s="3470" t="s">
        <v>3090</v>
      </c>
      <c r="C219" s="3482"/>
      <c r="D219" s="3482"/>
      <c r="E219" s="3482"/>
      <c r="F219" s="3471">
        <v>0.05</v>
      </c>
      <c r="G219" s="3488"/>
    </row>
    <row r="220" spans="1:7">
      <c r="A220" s="3481" t="s">
        <v>1154</v>
      </c>
      <c r="B220" s="3470" t="s">
        <v>3091</v>
      </c>
      <c r="C220" s="3482"/>
      <c r="D220" s="3482"/>
      <c r="E220" s="3482"/>
      <c r="F220" s="3471">
        <v>0.05</v>
      </c>
      <c r="G220" s="3488"/>
    </row>
    <row r="221" spans="1:7">
      <c r="A221" s="3481" t="s">
        <v>1154</v>
      </c>
      <c r="B221" s="3470" t="s">
        <v>3092</v>
      </c>
      <c r="C221" s="3482"/>
      <c r="D221" s="3482"/>
      <c r="E221" s="3482"/>
      <c r="F221" s="3471">
        <v>0.05</v>
      </c>
      <c r="G221" s="3488"/>
    </row>
    <row r="222" spans="1:7">
      <c r="A222" s="3481" t="s">
        <v>1154</v>
      </c>
      <c r="B222" s="3470" t="s">
        <v>3093</v>
      </c>
      <c r="C222" s="3482"/>
      <c r="D222" s="3482"/>
      <c r="E222" s="3482"/>
      <c r="F222" s="3471">
        <v>0.05</v>
      </c>
      <c r="G222" s="3488"/>
    </row>
    <row r="223" spans="1:7">
      <c r="A223" s="3481" t="s">
        <v>1154</v>
      </c>
      <c r="B223" s="3470" t="s">
        <v>3094</v>
      </c>
      <c r="C223" s="3482"/>
      <c r="D223" s="3482"/>
      <c r="E223" s="3482"/>
      <c r="F223" s="3471">
        <v>0.05</v>
      </c>
      <c r="G223" s="3488"/>
    </row>
    <row r="224" spans="1:7">
      <c r="A224" s="3481" t="s">
        <v>1154</v>
      </c>
      <c r="B224" s="3470" t="s">
        <v>3095</v>
      </c>
      <c r="C224" s="3482"/>
      <c r="D224" s="3482"/>
      <c r="E224" s="3482"/>
      <c r="F224" s="3471">
        <v>0.05</v>
      </c>
      <c r="G224" s="3488"/>
    </row>
    <row r="225" spans="1:7">
      <c r="A225" s="3481" t="s">
        <v>1154</v>
      </c>
      <c r="B225" s="3470" t="s">
        <v>3096</v>
      </c>
      <c r="C225" s="3482"/>
      <c r="D225" s="3482"/>
      <c r="E225" s="3482"/>
      <c r="F225" s="3471">
        <v>0.05</v>
      </c>
      <c r="G225" s="3488"/>
    </row>
    <row r="226" spans="1:7">
      <c r="A226" s="3481" t="s">
        <v>1154</v>
      </c>
      <c r="B226" s="3470" t="s">
        <v>3097</v>
      </c>
      <c r="C226" s="3482"/>
      <c r="D226" s="3482"/>
      <c r="E226" s="3482"/>
      <c r="F226" s="3471">
        <v>0.05</v>
      </c>
      <c r="G226" s="3488"/>
    </row>
    <row r="227" spans="1:7">
      <c r="A227" s="3481" t="s">
        <v>1154</v>
      </c>
      <c r="B227" s="3470" t="s">
        <v>3098</v>
      </c>
      <c r="C227" s="3482"/>
      <c r="D227" s="3482"/>
      <c r="E227" s="3482"/>
      <c r="F227" s="3471">
        <v>0.05</v>
      </c>
      <c r="G227" s="3488"/>
    </row>
    <row r="228" spans="1:7">
      <c r="A228" s="3481" t="s">
        <v>1154</v>
      </c>
      <c r="B228" s="3470" t="s">
        <v>3099</v>
      </c>
      <c r="C228" s="3482"/>
      <c r="D228" s="3482"/>
      <c r="E228" s="3482"/>
      <c r="F228" s="3471">
        <v>0.05</v>
      </c>
      <c r="G228" s="3488"/>
    </row>
    <row r="229" spans="1:7">
      <c r="A229" s="3481" t="s">
        <v>1154</v>
      </c>
      <c r="B229" s="3470" t="s">
        <v>3100</v>
      </c>
      <c r="C229" s="3482"/>
      <c r="D229" s="3482"/>
      <c r="E229" s="3482"/>
      <c r="F229" s="3471">
        <v>0.05</v>
      </c>
      <c r="G229" s="3488"/>
    </row>
    <row r="230" spans="1:7">
      <c r="A230" s="3481" t="s">
        <v>1154</v>
      </c>
      <c r="B230" s="3470" t="s">
        <v>3101</v>
      </c>
      <c r="C230" s="3482"/>
      <c r="D230" s="3482"/>
      <c r="E230" s="3482"/>
      <c r="F230" s="3471">
        <v>0.05</v>
      </c>
      <c r="G230" s="3488"/>
    </row>
    <row r="231" spans="1:7">
      <c r="A231" s="3481" t="s">
        <v>1154</v>
      </c>
      <c r="B231" s="3470" t="s">
        <v>3102</v>
      </c>
      <c r="C231" s="3482"/>
      <c r="D231" s="3482"/>
      <c r="E231" s="3482"/>
      <c r="F231" s="3471">
        <v>0.05</v>
      </c>
      <c r="G231" s="3488"/>
    </row>
    <row r="232" spans="1:7">
      <c r="A232" s="3481" t="s">
        <v>1154</v>
      </c>
      <c r="B232" s="3470" t="s">
        <v>3103</v>
      </c>
      <c r="C232" s="3482"/>
      <c r="D232" s="3482"/>
      <c r="E232" s="3482"/>
      <c r="F232" s="3471">
        <v>0.05</v>
      </c>
      <c r="G232" s="3488"/>
    </row>
    <row r="233" spans="1:7" ht="15" thickBot="1">
      <c r="A233" s="3484" t="s">
        <v>1154</v>
      </c>
      <c r="B233" s="3474" t="s">
        <v>3104</v>
      </c>
      <c r="C233" s="3476"/>
      <c r="D233" s="3476"/>
      <c r="E233" s="3476"/>
      <c r="F233" s="3475">
        <v>0.05</v>
      </c>
      <c r="G233" s="3489"/>
    </row>
    <row r="234" spans="1:7">
      <c r="A234" s="3480" t="s">
        <v>1155</v>
      </c>
      <c r="B234" s="3466" t="s">
        <v>3105</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2926</v>
      </c>
      <c r="C238" s="3471">
        <v>0.14899999999999999</v>
      </c>
      <c r="D238" s="3471">
        <v>0.14899999999999999</v>
      </c>
      <c r="E238" s="3471">
        <v>0.15</v>
      </c>
      <c r="F238" s="3471">
        <v>0.15</v>
      </c>
      <c r="G238" s="3472">
        <v>0.15</v>
      </c>
    </row>
    <row r="239" spans="1:7">
      <c r="A239" s="3481" t="s">
        <v>1155</v>
      </c>
      <c r="B239" s="3470" t="s">
        <v>3106</v>
      </c>
      <c r="C239" s="3471">
        <v>0.15</v>
      </c>
      <c r="D239" s="3471">
        <v>0.15</v>
      </c>
      <c r="E239" s="3471">
        <v>0.15</v>
      </c>
      <c r="F239" s="3471">
        <v>0.15</v>
      </c>
      <c r="G239" s="3472">
        <v>0.15</v>
      </c>
    </row>
    <row r="240" spans="1:7">
      <c r="A240" s="3481" t="s">
        <v>1155</v>
      </c>
      <c r="B240" s="3470" t="s">
        <v>3107</v>
      </c>
      <c r="C240" s="3471">
        <v>0.15</v>
      </c>
      <c r="D240" s="3471">
        <v>0.15</v>
      </c>
      <c r="E240" s="3471">
        <v>0.15</v>
      </c>
      <c r="F240" s="3471">
        <v>0.15</v>
      </c>
      <c r="G240" s="3472">
        <v>0.15</v>
      </c>
    </row>
    <row r="241" spans="1:7">
      <c r="A241" s="3481" t="s">
        <v>1155</v>
      </c>
      <c r="B241" s="3470" t="s">
        <v>3108</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3109</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3110</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3111</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3112</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3113</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2935</v>
      </c>
      <c r="C258" s="3471">
        <v>0.14299999999999999</v>
      </c>
      <c r="D258" s="3471">
        <v>0.14299999999999999</v>
      </c>
      <c r="E258" s="3471">
        <v>0.15</v>
      </c>
      <c r="F258" s="3471">
        <v>0.14799999999999999</v>
      </c>
      <c r="G258" s="3472">
        <v>0.14599999999999999</v>
      </c>
    </row>
    <row r="259" spans="1:7">
      <c r="A259" s="3481" t="s">
        <v>1155</v>
      </c>
      <c r="B259" s="3470" t="s">
        <v>3114</v>
      </c>
      <c r="C259" s="3471">
        <v>0.14399999999999999</v>
      </c>
      <c r="D259" s="3471">
        <v>0.14399999999999999</v>
      </c>
      <c r="E259" s="3471">
        <v>0.14899999999999999</v>
      </c>
      <c r="F259" s="3471">
        <v>0.14699999999999999</v>
      </c>
      <c r="G259" s="3472">
        <v>0.14599999999999999</v>
      </c>
    </row>
    <row r="260" spans="1:7">
      <c r="A260" s="3481" t="s">
        <v>1155</v>
      </c>
      <c r="B260" s="3470" t="s">
        <v>3115</v>
      </c>
      <c r="C260" s="3471">
        <v>0.109</v>
      </c>
      <c r="D260" s="3471">
        <v>0.111</v>
      </c>
      <c r="E260" s="3471">
        <v>0.13100000000000001</v>
      </c>
      <c r="F260" s="3471">
        <v>0.126</v>
      </c>
      <c r="G260" s="3472">
        <v>0.11899999999999999</v>
      </c>
    </row>
    <row r="261" spans="1:7">
      <c r="A261" s="3481" t="s">
        <v>1155</v>
      </c>
      <c r="B261" s="3470" t="s">
        <v>3116</v>
      </c>
      <c r="C261" s="3471">
        <v>0.1</v>
      </c>
      <c r="D261" s="3471">
        <v>0.1</v>
      </c>
      <c r="E261" s="3471">
        <v>0.11799999999999999</v>
      </c>
      <c r="F261" s="3471">
        <v>0.108</v>
      </c>
      <c r="G261" s="3472">
        <v>0.107</v>
      </c>
    </row>
    <row r="262" spans="1:7">
      <c r="A262" s="3481" t="s">
        <v>1155</v>
      </c>
      <c r="B262" s="3470" t="s">
        <v>3117</v>
      </c>
      <c r="C262" s="3471">
        <v>0.1</v>
      </c>
      <c r="D262" s="3471">
        <v>0.1</v>
      </c>
      <c r="E262" s="3471">
        <v>0.1</v>
      </c>
      <c r="F262" s="3471">
        <v>0.14099999999999999</v>
      </c>
      <c r="G262" s="3472">
        <v>0.1</v>
      </c>
    </row>
    <row r="263" spans="1:7">
      <c r="A263" s="3481" t="s">
        <v>1155</v>
      </c>
      <c r="B263" s="3470" t="s">
        <v>3118</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3119</v>
      </c>
      <c r="C265" s="3482"/>
      <c r="D265" s="3482"/>
      <c r="E265" s="3482"/>
      <c r="F265" s="3471">
        <v>0.05</v>
      </c>
      <c r="G265" s="3488"/>
    </row>
    <row r="266" spans="1:7">
      <c r="A266" s="3481" t="s">
        <v>1155</v>
      </c>
      <c r="B266" s="3470" t="s">
        <v>3120</v>
      </c>
      <c r="C266" s="3482"/>
      <c r="D266" s="3482"/>
      <c r="E266" s="3482"/>
      <c r="F266" s="3471">
        <v>0.05</v>
      </c>
      <c r="G266" s="3488"/>
    </row>
    <row r="267" spans="1:7">
      <c r="A267" s="3481" t="s">
        <v>1155</v>
      </c>
      <c r="B267" s="3470" t="s">
        <v>3121</v>
      </c>
      <c r="C267" s="3482"/>
      <c r="D267" s="3482"/>
      <c r="E267" s="3482"/>
      <c r="F267" s="3471">
        <v>0.05</v>
      </c>
      <c r="G267" s="3488"/>
    </row>
    <row r="268" spans="1:7">
      <c r="A268" s="3481" t="s">
        <v>1155</v>
      </c>
      <c r="B268" s="3470" t="s">
        <v>3122</v>
      </c>
      <c r="C268" s="3482"/>
      <c r="D268" s="3482"/>
      <c r="E268" s="3482"/>
      <c r="F268" s="3471">
        <v>0.05</v>
      </c>
      <c r="G268" s="3488"/>
    </row>
    <row r="269" spans="1:7">
      <c r="A269" s="3481" t="s">
        <v>1155</v>
      </c>
      <c r="B269" s="3470" t="s">
        <v>3123</v>
      </c>
      <c r="C269" s="3482"/>
      <c r="D269" s="3482"/>
      <c r="E269" s="3482"/>
      <c r="F269" s="3471">
        <v>0.05</v>
      </c>
      <c r="G269" s="3488"/>
    </row>
    <row r="270" spans="1:7">
      <c r="A270" s="3481" t="s">
        <v>1155</v>
      </c>
      <c r="B270" s="3470" t="s">
        <v>3124</v>
      </c>
      <c r="C270" s="3482"/>
      <c r="D270" s="3482"/>
      <c r="E270" s="3482"/>
      <c r="F270" s="3471">
        <v>0.05</v>
      </c>
      <c r="G270" s="3488"/>
    </row>
    <row r="271" spans="1:7">
      <c r="A271" s="3481" t="s">
        <v>1155</v>
      </c>
      <c r="B271" s="3470" t="s">
        <v>3125</v>
      </c>
      <c r="C271" s="3482"/>
      <c r="D271" s="3482"/>
      <c r="E271" s="3482"/>
      <c r="F271" s="3471">
        <v>0.05</v>
      </c>
      <c r="G271" s="3488"/>
    </row>
    <row r="272" spans="1:7">
      <c r="A272" s="3481" t="s">
        <v>1155</v>
      </c>
      <c r="B272" s="3470" t="s">
        <v>3126</v>
      </c>
      <c r="C272" s="3482"/>
      <c r="D272" s="3482"/>
      <c r="E272" s="3482"/>
      <c r="F272" s="3471">
        <v>0.05</v>
      </c>
      <c r="G272" s="3488"/>
    </row>
    <row r="273" spans="1:7">
      <c r="A273" s="3481" t="s">
        <v>1155</v>
      </c>
      <c r="B273" s="3470" t="s">
        <v>3127</v>
      </c>
      <c r="C273" s="3482"/>
      <c r="D273" s="3482"/>
      <c r="E273" s="3482"/>
      <c r="F273" s="3471">
        <v>0.05</v>
      </c>
      <c r="G273" s="3488"/>
    </row>
    <row r="274" spans="1:7">
      <c r="A274" s="3481" t="s">
        <v>1155</v>
      </c>
      <c r="B274" s="3470" t="s">
        <v>3128</v>
      </c>
      <c r="C274" s="3482"/>
      <c r="D274" s="3482"/>
      <c r="E274" s="3482"/>
      <c r="F274" s="3471">
        <v>0.05</v>
      </c>
      <c r="G274" s="3488"/>
    </row>
    <row r="275" spans="1:7">
      <c r="A275" s="3481" t="s">
        <v>1155</v>
      </c>
      <c r="B275" s="3470" t="s">
        <v>3129</v>
      </c>
      <c r="C275" s="3482"/>
      <c r="D275" s="3482"/>
      <c r="E275" s="3482"/>
      <c r="F275" s="3471">
        <v>0.05</v>
      </c>
      <c r="G275" s="3488"/>
    </row>
    <row r="276" spans="1:7" ht="15" thickBot="1">
      <c r="A276" s="3484" t="s">
        <v>1155</v>
      </c>
      <c r="B276" s="3474" t="s">
        <v>3130</v>
      </c>
      <c r="C276" s="3476"/>
      <c r="D276" s="3476"/>
      <c r="E276" s="3476"/>
      <c r="F276" s="3475">
        <v>0.05</v>
      </c>
      <c r="G276" s="3489"/>
    </row>
    <row r="277" spans="1:7">
      <c r="A277" s="3480" t="s">
        <v>1156</v>
      </c>
      <c r="B277" s="3466" t="s">
        <v>3131</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3132</v>
      </c>
      <c r="C279" s="3471">
        <v>0.15</v>
      </c>
      <c r="D279" s="3471">
        <v>0.15</v>
      </c>
      <c r="E279" s="3471">
        <v>0.15</v>
      </c>
      <c r="F279" s="3471">
        <v>0.15</v>
      </c>
      <c r="G279" s="3472">
        <v>0.15</v>
      </c>
    </row>
    <row r="280" spans="1:7">
      <c r="A280" s="3481" t="s">
        <v>1156</v>
      </c>
      <c r="B280" s="3470" t="s">
        <v>3133</v>
      </c>
      <c r="C280" s="3471">
        <v>0.15</v>
      </c>
      <c r="D280" s="3471">
        <v>0.15</v>
      </c>
      <c r="E280" s="3471">
        <v>0.15</v>
      </c>
      <c r="F280" s="3471">
        <v>0.15</v>
      </c>
      <c r="G280" s="3472">
        <v>0.15</v>
      </c>
    </row>
    <row r="281" spans="1:7">
      <c r="A281" s="3481" t="s">
        <v>1156</v>
      </c>
      <c r="B281" s="3470" t="s">
        <v>3134</v>
      </c>
      <c r="C281" s="3471">
        <v>0.15</v>
      </c>
      <c r="D281" s="3471">
        <v>0.15</v>
      </c>
      <c r="E281" s="3471">
        <v>0.15</v>
      </c>
      <c r="F281" s="3471">
        <v>0.15</v>
      </c>
      <c r="G281" s="3472">
        <v>0.15</v>
      </c>
    </row>
    <row r="282" spans="1:7">
      <c r="A282" s="3481" t="s">
        <v>1156</v>
      </c>
      <c r="B282" s="3470" t="s">
        <v>3135</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3136</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3137</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2960</v>
      </c>
      <c r="C293" s="3471">
        <v>0.15</v>
      </c>
      <c r="D293" s="3471">
        <v>0.15</v>
      </c>
      <c r="E293" s="3471">
        <v>0.15</v>
      </c>
      <c r="F293" s="3471">
        <v>0.14499999999999999</v>
      </c>
      <c r="G293" s="3472">
        <v>0.15</v>
      </c>
    </row>
    <row r="294" spans="1:7">
      <c r="A294" s="3481" t="s">
        <v>1156</v>
      </c>
      <c r="B294" s="3470" t="s">
        <v>3138</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2962</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3139</v>
      </c>
      <c r="C302" s="3471">
        <v>0.15</v>
      </c>
      <c r="D302" s="3471">
        <v>0.15</v>
      </c>
      <c r="E302" s="3471">
        <v>0.15</v>
      </c>
      <c r="F302" s="3471">
        <v>0.14699999999999999</v>
      </c>
      <c r="G302" s="3472">
        <v>0.15</v>
      </c>
    </row>
    <row r="303" spans="1:7">
      <c r="A303" s="3481" t="s">
        <v>1156</v>
      </c>
      <c r="B303" s="3470" t="s">
        <v>2964</v>
      </c>
      <c r="C303" s="3471">
        <v>0.15</v>
      </c>
      <c r="D303" s="3471">
        <v>0.15</v>
      </c>
      <c r="E303" s="3471">
        <v>0.15</v>
      </c>
      <c r="F303" s="3471">
        <v>0.14199999999999999</v>
      </c>
      <c r="G303" s="3472">
        <v>0.15</v>
      </c>
    </row>
    <row r="304" spans="1:7">
      <c r="A304" s="3481" t="s">
        <v>1156</v>
      </c>
      <c r="B304" s="3470" t="s">
        <v>2965</v>
      </c>
      <c r="C304" s="3471">
        <v>0.15</v>
      </c>
      <c r="D304" s="3471">
        <v>0.15</v>
      </c>
      <c r="E304" s="3471">
        <v>0.15</v>
      </c>
      <c r="F304" s="3471">
        <v>0.14499999999999999</v>
      </c>
      <c r="G304" s="3472">
        <v>0.15</v>
      </c>
    </row>
    <row r="305" spans="1:7">
      <c r="A305" s="3481" t="s">
        <v>1156</v>
      </c>
      <c r="B305" s="3470" t="s">
        <v>2966</v>
      </c>
      <c r="C305" s="3471">
        <v>0.15</v>
      </c>
      <c r="D305" s="3471">
        <v>0.15</v>
      </c>
      <c r="E305" s="3471">
        <v>0.15</v>
      </c>
      <c r="F305" s="3471">
        <v>0.111</v>
      </c>
      <c r="G305" s="3472">
        <v>0.15</v>
      </c>
    </row>
    <row r="306" spans="1:7">
      <c r="A306" s="3481" t="s">
        <v>1156</v>
      </c>
      <c r="B306" s="3470" t="s">
        <v>3140</v>
      </c>
      <c r="C306" s="3471">
        <v>0.15</v>
      </c>
      <c r="D306" s="3471">
        <v>0.15</v>
      </c>
      <c r="E306" s="3471">
        <v>0.15</v>
      </c>
      <c r="F306" s="3471">
        <v>0.126</v>
      </c>
      <c r="G306" s="3472">
        <v>0.15</v>
      </c>
    </row>
    <row r="307" spans="1:7">
      <c r="A307" s="3481" t="s">
        <v>1156</v>
      </c>
      <c r="B307" s="3470" t="s">
        <v>2968</v>
      </c>
      <c r="C307" s="3471">
        <v>0.15</v>
      </c>
      <c r="D307" s="3471">
        <v>0.15</v>
      </c>
      <c r="E307" s="3471">
        <v>0.15</v>
      </c>
      <c r="F307" s="3471">
        <v>0.12</v>
      </c>
      <c r="G307" s="3472">
        <v>0.15</v>
      </c>
    </row>
    <row r="308" spans="1:7">
      <c r="A308" s="3481" t="s">
        <v>1156</v>
      </c>
      <c r="B308" s="3470" t="s">
        <v>3141</v>
      </c>
      <c r="C308" s="3471">
        <v>0.15</v>
      </c>
      <c r="D308" s="3471">
        <v>0.15</v>
      </c>
      <c r="E308" s="3471">
        <v>0.15</v>
      </c>
      <c r="F308" s="3471">
        <v>0.13</v>
      </c>
      <c r="G308" s="3472">
        <v>0.15</v>
      </c>
    </row>
    <row r="309" spans="1:7">
      <c r="A309" s="3481" t="s">
        <v>1156</v>
      </c>
      <c r="B309" s="3470" t="s">
        <v>3142</v>
      </c>
      <c r="C309" s="3471">
        <v>0.15</v>
      </c>
      <c r="D309" s="3471">
        <v>0.15</v>
      </c>
      <c r="E309" s="3471">
        <v>0.15</v>
      </c>
      <c r="F309" s="3471">
        <v>0.14099999999999999</v>
      </c>
      <c r="G309" s="3472">
        <v>0.15</v>
      </c>
    </row>
    <row r="310" spans="1:7">
      <c r="A310" s="3481" t="s">
        <v>1156</v>
      </c>
      <c r="B310" s="3470" t="s">
        <v>2971</v>
      </c>
      <c r="C310" s="3471">
        <v>0.15</v>
      </c>
      <c r="D310" s="3471">
        <v>0.15</v>
      </c>
      <c r="E310" s="3471">
        <v>0.15</v>
      </c>
      <c r="F310" s="3471">
        <v>0.15</v>
      </c>
      <c r="G310" s="3472">
        <v>0.15</v>
      </c>
    </row>
    <row r="311" spans="1:7">
      <c r="A311" s="3481" t="s">
        <v>1156</v>
      </c>
      <c r="B311" s="3470" t="s">
        <v>3143</v>
      </c>
      <c r="C311" s="3471">
        <v>0.13200000000000001</v>
      </c>
      <c r="D311" s="3471">
        <v>0.13300000000000001</v>
      </c>
      <c r="E311" s="3471">
        <v>0.14499999999999999</v>
      </c>
      <c r="F311" s="3471">
        <v>0.14199999999999999</v>
      </c>
      <c r="G311" s="3472">
        <v>0.14000000000000001</v>
      </c>
    </row>
    <row r="312" spans="1:7">
      <c r="A312" s="3481" t="s">
        <v>1156</v>
      </c>
      <c r="B312" s="3470" t="s">
        <v>2973</v>
      </c>
      <c r="C312" s="3471">
        <v>0.13800000000000001</v>
      </c>
      <c r="D312" s="3471">
        <v>0.14000000000000001</v>
      </c>
      <c r="E312" s="3471">
        <v>0.14599999999999999</v>
      </c>
      <c r="F312" s="3471">
        <v>0.14899999999999999</v>
      </c>
      <c r="G312" s="3472">
        <v>0.14199999999999999</v>
      </c>
    </row>
    <row r="313" spans="1:7">
      <c r="A313" s="3481" t="s">
        <v>1156</v>
      </c>
      <c r="B313" s="3470" t="s">
        <v>2974</v>
      </c>
      <c r="C313" s="3471">
        <v>0.125</v>
      </c>
      <c r="D313" s="3471">
        <v>0.127</v>
      </c>
      <c r="E313" s="3471">
        <v>0.14399999999999999</v>
      </c>
      <c r="F313" s="3471">
        <v>0.115</v>
      </c>
      <c r="G313" s="3472">
        <v>0.13600000000000001</v>
      </c>
    </row>
    <row r="314" spans="1:7">
      <c r="A314" s="3481" t="s">
        <v>1156</v>
      </c>
      <c r="B314" s="3470" t="s">
        <v>3144</v>
      </c>
      <c r="C314" s="3487"/>
      <c r="D314" s="3487"/>
      <c r="E314" s="3487"/>
      <c r="F314" s="3471">
        <v>0.05</v>
      </c>
      <c r="G314" s="3488"/>
    </row>
    <row r="315" spans="1:7">
      <c r="A315" s="3481" t="s">
        <v>1156</v>
      </c>
      <c r="B315" s="3470" t="s">
        <v>3145</v>
      </c>
      <c r="C315" s="3487"/>
      <c r="D315" s="3487"/>
      <c r="E315" s="3487"/>
      <c r="F315" s="3471">
        <v>0.05</v>
      </c>
      <c r="G315" s="3488"/>
    </row>
    <row r="316" spans="1:7">
      <c r="A316" s="3481" t="s">
        <v>1156</v>
      </c>
      <c r="B316" s="3470" t="s">
        <v>3146</v>
      </c>
      <c r="C316" s="3482"/>
      <c r="D316" s="3482"/>
      <c r="E316" s="3482"/>
      <c r="F316" s="3471">
        <v>0.05</v>
      </c>
      <c r="G316" s="3488"/>
    </row>
    <row r="317" spans="1:7">
      <c r="A317" s="3481" t="s">
        <v>1156</v>
      </c>
      <c r="B317" s="3470" t="s">
        <v>3147</v>
      </c>
      <c r="C317" s="3482"/>
      <c r="D317" s="3482"/>
      <c r="E317" s="3482"/>
      <c r="F317" s="3471">
        <v>0.05</v>
      </c>
      <c r="G317" s="3488"/>
    </row>
    <row r="318" spans="1:7">
      <c r="A318" s="3481" t="s">
        <v>1156</v>
      </c>
      <c r="B318" s="3470" t="s">
        <v>3148</v>
      </c>
      <c r="C318" s="3482"/>
      <c r="D318" s="3482"/>
      <c r="E318" s="3482"/>
      <c r="F318" s="3471">
        <v>0.05</v>
      </c>
      <c r="G318" s="3488"/>
    </row>
    <row r="319" spans="1:7">
      <c r="A319" s="3481" t="s">
        <v>1156</v>
      </c>
      <c r="B319" s="3470" t="s">
        <v>3149</v>
      </c>
      <c r="C319" s="3482"/>
      <c r="D319" s="3482"/>
      <c r="E319" s="3482"/>
      <c r="F319" s="3471">
        <v>0.05</v>
      </c>
      <c r="G319" s="3488"/>
    </row>
    <row r="320" spans="1:7">
      <c r="A320" s="3481" t="s">
        <v>1156</v>
      </c>
      <c r="B320" s="3470" t="s">
        <v>3150</v>
      </c>
      <c r="C320" s="3482"/>
      <c r="D320" s="3482"/>
      <c r="E320" s="3482"/>
      <c r="F320" s="3471">
        <v>0.05</v>
      </c>
      <c r="G320" s="3488"/>
    </row>
    <row r="321" spans="1:7">
      <c r="A321" s="3481" t="s">
        <v>1156</v>
      </c>
      <c r="B321" s="3470" t="s">
        <v>3151</v>
      </c>
      <c r="C321" s="3482"/>
      <c r="D321" s="3482"/>
      <c r="E321" s="3482"/>
      <c r="F321" s="3471">
        <v>0.05</v>
      </c>
      <c r="G321" s="3488"/>
    </row>
    <row r="322" spans="1:7">
      <c r="A322" s="3481" t="s">
        <v>1156</v>
      </c>
      <c r="B322" s="3470" t="s">
        <v>3152</v>
      </c>
      <c r="C322" s="3482"/>
      <c r="D322" s="3482"/>
      <c r="E322" s="3482"/>
      <c r="F322" s="3471">
        <v>0.05</v>
      </c>
      <c r="G322" s="3488"/>
    </row>
    <row r="323" spans="1:7">
      <c r="A323" s="3481" t="s">
        <v>1156</v>
      </c>
      <c r="B323" s="3470" t="s">
        <v>3153</v>
      </c>
      <c r="C323" s="3482"/>
      <c r="D323" s="3482"/>
      <c r="E323" s="3482"/>
      <c r="F323" s="3471">
        <v>0.05</v>
      </c>
      <c r="G323" s="3488"/>
    </row>
    <row r="324" spans="1:7">
      <c r="A324" s="3481" t="s">
        <v>1156</v>
      </c>
      <c r="B324" s="3470" t="s">
        <v>3154</v>
      </c>
      <c r="C324" s="3482"/>
      <c r="D324" s="3482"/>
      <c r="E324" s="3482"/>
      <c r="F324" s="3471">
        <v>0.05</v>
      </c>
      <c r="G324" s="3488"/>
    </row>
    <row r="325" spans="1:7">
      <c r="A325" s="3481" t="s">
        <v>1156</v>
      </c>
      <c r="B325" s="3470" t="s">
        <v>3155</v>
      </c>
      <c r="C325" s="3482"/>
      <c r="D325" s="3482"/>
      <c r="E325" s="3482"/>
      <c r="F325" s="3471">
        <v>0.05</v>
      </c>
      <c r="G325" s="3488"/>
    </row>
    <row r="326" spans="1:7" ht="15" thickBot="1">
      <c r="A326" s="3484" t="s">
        <v>1156</v>
      </c>
      <c r="B326" s="3474" t="s">
        <v>3156</v>
      </c>
      <c r="C326" s="3476"/>
      <c r="D326" s="3476"/>
      <c r="E326" s="3476"/>
      <c r="F326" s="3475">
        <v>0.05</v>
      </c>
      <c r="G326" s="3489"/>
    </row>
    <row r="327" spans="1:7">
      <c r="A327" s="3480" t="s">
        <v>1157</v>
      </c>
      <c r="B327" s="3466" t="s">
        <v>3157</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3158</v>
      </c>
      <c r="C329" s="3471">
        <v>0.15</v>
      </c>
      <c r="D329" s="3471">
        <v>0.15</v>
      </c>
      <c r="E329" s="3471">
        <v>0.15</v>
      </c>
      <c r="F329" s="3471">
        <v>0.15</v>
      </c>
      <c r="G329" s="3472">
        <v>0.15</v>
      </c>
    </row>
    <row r="330" spans="1:7">
      <c r="A330" s="3481" t="s">
        <v>1157</v>
      </c>
      <c r="B330" s="3470" t="s">
        <v>3159</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2991</v>
      </c>
      <c r="C332" s="3471">
        <v>0.15</v>
      </c>
      <c r="D332" s="3471">
        <v>0.15</v>
      </c>
      <c r="E332" s="3471">
        <v>0.15</v>
      </c>
      <c r="F332" s="3471">
        <v>0.15</v>
      </c>
      <c r="G332" s="3472">
        <v>0.15</v>
      </c>
    </row>
    <row r="333" spans="1:7">
      <c r="A333" s="3481" t="s">
        <v>1157</v>
      </c>
      <c r="B333" s="3470" t="s">
        <v>3160</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2993</v>
      </c>
      <c r="C336" s="3471">
        <v>0.15</v>
      </c>
      <c r="D336" s="3471">
        <v>0.15</v>
      </c>
      <c r="E336" s="3471">
        <v>0.15</v>
      </c>
      <c r="F336" s="3471">
        <v>0.14199999999999999</v>
      </c>
      <c r="G336" s="3472">
        <v>0.15</v>
      </c>
    </row>
    <row r="337" spans="1:7">
      <c r="A337" s="3481" t="s">
        <v>1157</v>
      </c>
      <c r="B337" s="3470" t="s">
        <v>3161</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3162</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3163</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2997</v>
      </c>
      <c r="C345" s="3471">
        <v>0.15</v>
      </c>
      <c r="D345" s="3471">
        <v>0.15</v>
      </c>
      <c r="E345" s="3471">
        <v>0.15</v>
      </c>
      <c r="F345" s="3471">
        <v>0.13800000000000001</v>
      </c>
      <c r="G345" s="3472">
        <v>0.15</v>
      </c>
    </row>
    <row r="346" spans="1:7">
      <c r="A346" s="3481" t="s">
        <v>1157</v>
      </c>
      <c r="B346" s="3470" t="s">
        <v>3164</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2999</v>
      </c>
      <c r="C348" s="3471">
        <v>0.15</v>
      </c>
      <c r="D348" s="3471">
        <v>0.15</v>
      </c>
      <c r="E348" s="3471">
        <v>0.15</v>
      </c>
      <c r="F348" s="3471">
        <v>0.14399999999999999</v>
      </c>
      <c r="G348" s="3472">
        <v>0.15</v>
      </c>
    </row>
    <row r="349" spans="1:7">
      <c r="A349" s="3481" t="s">
        <v>1157</v>
      </c>
      <c r="B349" s="3470" t="s">
        <v>3000</v>
      </c>
      <c r="C349" s="3471">
        <v>0.15</v>
      </c>
      <c r="D349" s="3471">
        <v>0.15</v>
      </c>
      <c r="E349" s="3471">
        <v>0.15</v>
      </c>
      <c r="F349" s="3471">
        <v>0.15</v>
      </c>
      <c r="G349" s="3472">
        <v>0.15</v>
      </c>
    </row>
    <row r="350" spans="1:7">
      <c r="A350" s="3481" t="s">
        <v>1157</v>
      </c>
      <c r="B350" s="3470" t="s">
        <v>3165</v>
      </c>
      <c r="C350" s="3471">
        <v>0.15</v>
      </c>
      <c r="D350" s="3471">
        <v>0.15</v>
      </c>
      <c r="E350" s="3471">
        <v>0.15</v>
      </c>
      <c r="F350" s="3471">
        <v>0.14699999999999999</v>
      </c>
      <c r="G350" s="3472">
        <v>0.15</v>
      </c>
    </row>
    <row r="351" spans="1:7">
      <c r="A351" s="3481" t="s">
        <v>1157</v>
      </c>
      <c r="B351" s="3470" t="s">
        <v>3002</v>
      </c>
      <c r="C351" s="3471">
        <v>0.15</v>
      </c>
      <c r="D351" s="3471">
        <v>0.15</v>
      </c>
      <c r="E351" s="3471">
        <v>0.15</v>
      </c>
      <c r="F351" s="3471">
        <v>0.13</v>
      </c>
      <c r="G351" s="3472">
        <v>0.15</v>
      </c>
    </row>
    <row r="352" spans="1:7">
      <c r="A352" s="3481" t="s">
        <v>1157</v>
      </c>
      <c r="B352" s="3470" t="s">
        <v>3003</v>
      </c>
      <c r="C352" s="3471">
        <v>0.15</v>
      </c>
      <c r="D352" s="3471">
        <v>0.15</v>
      </c>
      <c r="E352" s="3471">
        <v>0.15</v>
      </c>
      <c r="F352" s="3471">
        <v>0.14599999999999999</v>
      </c>
      <c r="G352" s="3472">
        <v>0.15</v>
      </c>
    </row>
    <row r="353" spans="1:7">
      <c r="A353" s="3481" t="s">
        <v>1157</v>
      </c>
      <c r="B353" s="3470" t="s">
        <v>3166</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3005</v>
      </c>
      <c r="C355" s="3471">
        <v>0.15</v>
      </c>
      <c r="D355" s="3471">
        <v>0.15</v>
      </c>
      <c r="E355" s="3471">
        <v>0.15</v>
      </c>
      <c r="F355" s="3471">
        <v>0.15</v>
      </c>
      <c r="G355" s="3472">
        <v>0.15</v>
      </c>
    </row>
    <row r="356" spans="1:7">
      <c r="A356" s="3481" t="s">
        <v>1157</v>
      </c>
      <c r="B356" s="3470" t="s">
        <v>3006</v>
      </c>
      <c r="C356" s="3471">
        <v>0.15</v>
      </c>
      <c r="D356" s="3471">
        <v>0.15</v>
      </c>
      <c r="E356" s="3471">
        <v>0.15</v>
      </c>
      <c r="F356" s="3471">
        <v>0.15</v>
      </c>
      <c r="G356" s="3472">
        <v>0.15</v>
      </c>
    </row>
    <row r="357" spans="1:7" ht="15" thickBot="1">
      <c r="A357" s="3484" t="s">
        <v>1157</v>
      </c>
      <c r="B357" s="3474" t="s">
        <v>3167</v>
      </c>
      <c r="C357" s="3475">
        <v>0.126</v>
      </c>
      <c r="D357" s="3475">
        <v>0.127</v>
      </c>
      <c r="E357" s="3475">
        <v>0.14299999999999999</v>
      </c>
      <c r="F357" s="3475">
        <v>0.125</v>
      </c>
      <c r="G357" s="3477">
        <v>0.129</v>
      </c>
    </row>
    <row r="358" spans="1:7">
      <c r="A358" s="3480" t="s">
        <v>3168</v>
      </c>
      <c r="B358" s="3466" t="s">
        <v>3169</v>
      </c>
      <c r="C358" s="3467">
        <v>0.15</v>
      </c>
      <c r="D358" s="3467">
        <v>0.15</v>
      </c>
      <c r="E358" s="3467">
        <v>0.15</v>
      </c>
      <c r="F358" s="3467">
        <v>0.15</v>
      </c>
      <c r="G358" s="3468">
        <v>0.15</v>
      </c>
    </row>
    <row r="359" spans="1:7">
      <c r="A359" s="3481" t="s">
        <v>3168</v>
      </c>
      <c r="B359" s="3470" t="s">
        <v>3170</v>
      </c>
      <c r="C359" s="3471">
        <v>0.1</v>
      </c>
      <c r="D359" s="3471">
        <v>0.1</v>
      </c>
      <c r="E359" s="3471">
        <v>0.1</v>
      </c>
      <c r="F359" s="3471">
        <v>0.1</v>
      </c>
      <c r="G359" s="3472">
        <v>0.1</v>
      </c>
    </row>
    <row r="360" spans="1:7">
      <c r="A360" s="3481" t="s">
        <v>3168</v>
      </c>
      <c r="B360" s="3470" t="s">
        <v>3171</v>
      </c>
      <c r="C360" s="3471">
        <v>0.15</v>
      </c>
      <c r="D360" s="3471">
        <v>0.15</v>
      </c>
      <c r="E360" s="3471">
        <v>0.15</v>
      </c>
      <c r="F360" s="3471">
        <v>0.14899999999999999</v>
      </c>
      <c r="G360" s="3472">
        <v>0.15</v>
      </c>
    </row>
    <row r="361" spans="1:7">
      <c r="A361" s="3481" t="s">
        <v>3168</v>
      </c>
      <c r="B361" s="3470" t="s">
        <v>999</v>
      </c>
      <c r="C361" s="3471">
        <v>0.15</v>
      </c>
      <c r="D361" s="3471">
        <v>0.15</v>
      </c>
      <c r="E361" s="3471">
        <v>0.15</v>
      </c>
      <c r="F361" s="3471">
        <v>0.115</v>
      </c>
      <c r="G361" s="3472">
        <v>0.15</v>
      </c>
    </row>
    <row r="362" spans="1:7">
      <c r="A362" s="3481" t="s">
        <v>3168</v>
      </c>
      <c r="B362" s="3470" t="s">
        <v>3172</v>
      </c>
      <c r="C362" s="3471">
        <v>0.15</v>
      </c>
      <c r="D362" s="3471">
        <v>0.15</v>
      </c>
      <c r="E362" s="3471">
        <v>0.15</v>
      </c>
      <c r="F362" s="3471">
        <v>0.106</v>
      </c>
      <c r="G362" s="3472">
        <v>0.15</v>
      </c>
    </row>
    <row r="363" spans="1:7">
      <c r="A363" s="3481" t="s">
        <v>3168</v>
      </c>
      <c r="B363" s="3470" t="s">
        <v>3012</v>
      </c>
      <c r="C363" s="3471">
        <v>0.15</v>
      </c>
      <c r="D363" s="3471">
        <v>0.15</v>
      </c>
      <c r="E363" s="3471">
        <v>0.15</v>
      </c>
      <c r="F363" s="3471">
        <v>0.14699999999999999</v>
      </c>
      <c r="G363" s="3472">
        <v>0.15</v>
      </c>
    </row>
    <row r="364" spans="1:7">
      <c r="A364" s="3481" t="s">
        <v>3168</v>
      </c>
      <c r="B364" s="3470" t="s">
        <v>3173</v>
      </c>
      <c r="C364" s="3471">
        <v>0.15</v>
      </c>
      <c r="D364" s="3471">
        <v>0.15</v>
      </c>
      <c r="E364" s="3471">
        <v>0.15</v>
      </c>
      <c r="F364" s="3471">
        <v>0.14799999999999999</v>
      </c>
      <c r="G364" s="3472">
        <v>0.15</v>
      </c>
    </row>
    <row r="365" spans="1:7">
      <c r="A365" s="3481" t="s">
        <v>3168</v>
      </c>
      <c r="B365" s="3470" t="s">
        <v>1047</v>
      </c>
      <c r="C365" s="3471">
        <v>0.15</v>
      </c>
      <c r="D365" s="3471">
        <v>0.15</v>
      </c>
      <c r="E365" s="3471">
        <v>0.15</v>
      </c>
      <c r="F365" s="3471">
        <v>0.15</v>
      </c>
      <c r="G365" s="3472">
        <v>0.15</v>
      </c>
    </row>
    <row r="366" spans="1:7">
      <c r="A366" s="3481" t="s">
        <v>3168</v>
      </c>
      <c r="B366" s="3470" t="s">
        <v>3014</v>
      </c>
      <c r="C366" s="3471">
        <v>0.15</v>
      </c>
      <c r="D366" s="3471">
        <v>0.15</v>
      </c>
      <c r="E366" s="3471">
        <v>0.15</v>
      </c>
      <c r="F366" s="3471">
        <v>0.15</v>
      </c>
      <c r="G366" s="3472">
        <v>0.15</v>
      </c>
    </row>
    <row r="367" spans="1:7">
      <c r="A367" s="3481" t="s">
        <v>3168</v>
      </c>
      <c r="B367" s="3470" t="s">
        <v>3174</v>
      </c>
      <c r="C367" s="3471">
        <v>0.15</v>
      </c>
      <c r="D367" s="3471">
        <v>0.15</v>
      </c>
      <c r="E367" s="3471">
        <v>0.15</v>
      </c>
      <c r="F367" s="3471">
        <v>0.14699999999999999</v>
      </c>
      <c r="G367" s="3472">
        <v>0.15</v>
      </c>
    </row>
    <row r="368" spans="1:7">
      <c r="A368" s="3481" t="s">
        <v>3168</v>
      </c>
      <c r="B368" s="3470" t="s">
        <v>3175</v>
      </c>
      <c r="C368" s="3471">
        <v>0.15</v>
      </c>
      <c r="D368" s="3471">
        <v>0.15</v>
      </c>
      <c r="E368" s="3471">
        <v>0.15</v>
      </c>
      <c r="F368" s="3471">
        <v>0.13600000000000001</v>
      </c>
      <c r="G368" s="3472">
        <v>0.15</v>
      </c>
    </row>
    <row r="369" spans="1:7">
      <c r="A369" s="3481" t="s">
        <v>3168</v>
      </c>
      <c r="B369" s="3470" t="s">
        <v>1061</v>
      </c>
      <c r="C369" s="3471">
        <v>0.15</v>
      </c>
      <c r="D369" s="3471">
        <v>0.15</v>
      </c>
      <c r="E369" s="3471">
        <v>0.15</v>
      </c>
      <c r="F369" s="3471">
        <v>0.14399999999999999</v>
      </c>
      <c r="G369" s="3472">
        <v>0.15</v>
      </c>
    </row>
    <row r="370" spans="1:7">
      <c r="A370" s="3481" t="s">
        <v>3168</v>
      </c>
      <c r="B370" s="3470" t="s">
        <v>1069</v>
      </c>
      <c r="C370" s="3471">
        <v>0.15</v>
      </c>
      <c r="D370" s="3471">
        <v>0.15</v>
      </c>
      <c r="E370" s="3471">
        <v>0.15</v>
      </c>
      <c r="F370" s="3471">
        <v>0.14599999999999999</v>
      </c>
      <c r="G370" s="3472">
        <v>0.15</v>
      </c>
    </row>
    <row r="371" spans="1:7">
      <c r="A371" s="3481" t="s">
        <v>3168</v>
      </c>
      <c r="B371" s="3470" t="s">
        <v>1077</v>
      </c>
      <c r="C371" s="3471">
        <v>0.15</v>
      </c>
      <c r="D371" s="3471">
        <v>0.15</v>
      </c>
      <c r="E371" s="3471">
        <v>0.15</v>
      </c>
      <c r="F371" s="3471">
        <v>0.12</v>
      </c>
      <c r="G371" s="3472">
        <v>0.15</v>
      </c>
    </row>
    <row r="372" spans="1:7">
      <c r="A372" s="3481" t="s">
        <v>3168</v>
      </c>
      <c r="B372" s="3470" t="s">
        <v>3176</v>
      </c>
      <c r="C372" s="3471">
        <v>0.15</v>
      </c>
      <c r="D372" s="3471">
        <v>0.15</v>
      </c>
      <c r="E372" s="3471">
        <v>0.15</v>
      </c>
      <c r="F372" s="3471">
        <v>0.14299999999999999</v>
      </c>
      <c r="G372" s="3472">
        <v>0.15</v>
      </c>
    </row>
    <row r="373" spans="1:7">
      <c r="A373" s="3481" t="s">
        <v>3168</v>
      </c>
      <c r="B373" s="3470" t="s">
        <v>1106</v>
      </c>
      <c r="C373" s="3471">
        <v>0.15</v>
      </c>
      <c r="D373" s="3471">
        <v>0.15</v>
      </c>
      <c r="E373" s="3471">
        <v>0.15</v>
      </c>
      <c r="F373" s="3471">
        <v>0.14599999999999999</v>
      </c>
      <c r="G373" s="3472">
        <v>0.15</v>
      </c>
    </row>
    <row r="374" spans="1:7">
      <c r="A374" s="3481" t="s">
        <v>3168</v>
      </c>
      <c r="B374" s="3470" t="s">
        <v>1114</v>
      </c>
      <c r="C374" s="3471">
        <v>0.15</v>
      </c>
      <c r="D374" s="3471">
        <v>0.15</v>
      </c>
      <c r="E374" s="3471">
        <v>0.15</v>
      </c>
      <c r="F374" s="3471">
        <v>0.14399999999999999</v>
      </c>
      <c r="G374" s="3472">
        <v>0.15</v>
      </c>
    </row>
    <row r="375" spans="1:7">
      <c r="A375" s="3481" t="s">
        <v>3168</v>
      </c>
      <c r="B375" s="3470" t="s">
        <v>3177</v>
      </c>
      <c r="C375" s="3471">
        <v>0.15</v>
      </c>
      <c r="D375" s="3471">
        <v>0.15</v>
      </c>
      <c r="E375" s="3471">
        <v>0.15</v>
      </c>
      <c r="F375" s="3471">
        <v>0.13</v>
      </c>
      <c r="G375" s="3472">
        <v>0.15</v>
      </c>
    </row>
    <row r="376" spans="1:7">
      <c r="A376" s="3481" t="s">
        <v>3168</v>
      </c>
      <c r="B376" s="3470" t="s">
        <v>1126</v>
      </c>
      <c r="C376" s="3471">
        <v>0.15</v>
      </c>
      <c r="D376" s="3471">
        <v>0.15</v>
      </c>
      <c r="E376" s="3471">
        <v>0.15</v>
      </c>
      <c r="F376" s="3471">
        <v>0.14199999999999999</v>
      </c>
      <c r="G376" s="3472">
        <v>0.15</v>
      </c>
    </row>
    <row r="377" spans="1:7" ht="15" thickBot="1">
      <c r="A377" s="3484" t="s">
        <v>3168</v>
      </c>
      <c r="B377" s="3474" t="s">
        <v>3019</v>
      </c>
      <c r="C377" s="3475">
        <v>0.15</v>
      </c>
      <c r="D377" s="3475">
        <v>0.15</v>
      </c>
      <c r="E377" s="3475">
        <v>0.15</v>
      </c>
      <c r="F377" s="3475">
        <v>0.14000000000000001</v>
      </c>
      <c r="G377" s="3477">
        <v>0.15</v>
      </c>
    </row>
    <row r="378" spans="1:7">
      <c r="A378" s="3480" t="s">
        <v>3178</v>
      </c>
      <c r="B378" s="3466" t="s">
        <v>3179</v>
      </c>
      <c r="C378" s="3467">
        <v>0.15</v>
      </c>
      <c r="D378" s="3467">
        <v>0.15</v>
      </c>
      <c r="E378" s="3467">
        <v>0.15</v>
      </c>
      <c r="F378" s="3467">
        <v>0.107</v>
      </c>
      <c r="G378" s="3468">
        <v>0.15</v>
      </c>
    </row>
    <row r="379" spans="1:7">
      <c r="A379" s="3481" t="s">
        <v>3178</v>
      </c>
      <c r="B379" s="3470" t="s">
        <v>3180</v>
      </c>
      <c r="C379" s="3471">
        <v>0.15</v>
      </c>
      <c r="D379" s="3471">
        <v>0.15</v>
      </c>
      <c r="E379" s="3471">
        <v>0.15</v>
      </c>
      <c r="F379" s="3471">
        <v>0.115</v>
      </c>
      <c r="G379" s="3472">
        <v>0.14899999999999999</v>
      </c>
    </row>
    <row r="380" spans="1:7">
      <c r="A380" s="3481" t="s">
        <v>3181</v>
      </c>
      <c r="B380" s="3470" t="s">
        <v>3182</v>
      </c>
      <c r="C380" s="3471">
        <v>0.15</v>
      </c>
      <c r="D380" s="3471">
        <v>0.15</v>
      </c>
      <c r="E380" s="3471">
        <v>0.15</v>
      </c>
      <c r="F380" s="3471">
        <v>0.1</v>
      </c>
      <c r="G380" s="3472">
        <v>0.14799999999999999</v>
      </c>
    </row>
    <row r="381" spans="1:7">
      <c r="A381" s="3481" t="s">
        <v>3181</v>
      </c>
      <c r="B381" s="3470" t="s">
        <v>3183</v>
      </c>
      <c r="C381" s="3471">
        <v>0.15</v>
      </c>
      <c r="D381" s="3471">
        <v>0.15</v>
      </c>
      <c r="E381" s="3471">
        <v>0.15</v>
      </c>
      <c r="F381" s="3471">
        <v>0.126</v>
      </c>
      <c r="G381" s="3472">
        <v>0.15</v>
      </c>
    </row>
    <row r="382" spans="1:7">
      <c r="A382" s="3481" t="s">
        <v>3181</v>
      </c>
      <c r="B382" s="3470" t="s">
        <v>3184</v>
      </c>
      <c r="C382" s="3471">
        <v>0.15</v>
      </c>
      <c r="D382" s="3471">
        <v>0.15</v>
      </c>
      <c r="E382" s="3471">
        <v>0.15</v>
      </c>
      <c r="F382" s="3471">
        <v>0.15</v>
      </c>
      <c r="G382" s="3472">
        <v>0.15</v>
      </c>
    </row>
    <row r="383" spans="1:7">
      <c r="A383" s="3481" t="s">
        <v>3181</v>
      </c>
      <c r="B383" s="3470" t="s">
        <v>3185</v>
      </c>
      <c r="C383" s="3471">
        <v>0.15</v>
      </c>
      <c r="D383" s="3471">
        <v>0.15</v>
      </c>
      <c r="E383" s="3471">
        <v>0.15</v>
      </c>
      <c r="F383" s="3471">
        <v>0.14699999999999999</v>
      </c>
      <c r="G383" s="3472">
        <v>0.15</v>
      </c>
    </row>
    <row r="384" spans="1:7" ht="15" thickBot="1">
      <c r="A384" s="3491" t="s">
        <v>3181</v>
      </c>
      <c r="B384" s="3492" t="s">
        <v>3186</v>
      </c>
      <c r="C384" s="3493">
        <v>0.15</v>
      </c>
      <c r="D384" s="3493">
        <v>0.15</v>
      </c>
      <c r="E384" s="3493">
        <v>0.15</v>
      </c>
      <c r="F384" s="3493">
        <v>0.15</v>
      </c>
      <c r="G384" s="3494">
        <v>0.15</v>
      </c>
    </row>
  </sheetData>
  <sheetProtection password="CEE9" sheet="1" objects="1" scenarios="1"/>
  <mergeCells count="1">
    <mergeCell ref="A1:B1"/>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2025年3月28日（评估专业人员勘察现场之日）</v>
      </c>
    </row>
    <row r="12" spans="1:4" ht="17.399999999999999">
      <c r="A12" s="1585" t="s">
        <v>1543</v>
      </c>
    </row>
    <row r="13" spans="1:4" ht="17.399999999999999">
      <c r="A13" s="1579" t="s">
        <v>2202</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17.399999999999999">
      <c r="A21" s="1579" t="s">
        <v>1592</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8"/>
    <col min="2" max="6" width="9" style="2638" customWidth="1"/>
    <col min="7" max="7" width="9" style="2666" customWidth="1"/>
    <col min="8" max="12" width="9" style="2638" customWidth="1"/>
    <col min="13" max="13" width="2.21875" style="2638" customWidth="1"/>
    <col min="14" max="14" width="9" style="2666" customWidth="1"/>
    <col min="15" max="17" width="9" style="2638" customWidth="1"/>
    <col min="18" max="18" width="2.33203125" style="2638" customWidth="1"/>
    <col min="19" max="19" width="7.109375" style="2666"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16" customFormat="1">
      <c r="B1" s="4161" t="s">
        <v>1858</v>
      </c>
      <c r="C1" s="4161"/>
      <c r="D1" s="4161"/>
      <c r="E1" s="4161"/>
      <c r="F1" s="4161"/>
      <c r="G1" s="4160" t="s">
        <v>1859</v>
      </c>
      <c r="H1" s="4160"/>
      <c r="I1" s="4160"/>
      <c r="J1" s="4160"/>
      <c r="K1" s="4160"/>
      <c r="L1" s="4160"/>
      <c r="N1" s="4160" t="s">
        <v>1860</v>
      </c>
      <c r="O1" s="4160"/>
      <c r="P1" s="4160"/>
      <c r="Q1" s="4160"/>
      <c r="S1" s="4160" t="s">
        <v>1861</v>
      </c>
      <c r="T1" s="4160"/>
      <c r="U1" s="4160"/>
      <c r="V1" s="4160"/>
      <c r="X1" s="4159" t="s">
        <v>1921</v>
      </c>
      <c r="Y1" s="4160"/>
      <c r="Z1" s="4160"/>
      <c r="AA1" s="4160"/>
      <c r="AB1" s="4160"/>
      <c r="AD1" s="4159" t="s">
        <v>1925</v>
      </c>
      <c r="AE1" s="4160"/>
      <c r="AF1" s="4160"/>
      <c r="AG1" s="4160"/>
      <c r="AH1" s="4160"/>
    </row>
    <row r="2" spans="1:34" s="2617" customFormat="1" ht="15" thickBot="1">
      <c r="B2" s="2618" t="s">
        <v>1862</v>
      </c>
      <c r="C2" s="2618" t="s">
        <v>1923</v>
      </c>
      <c r="D2" s="2619" t="s">
        <v>1179</v>
      </c>
      <c r="E2" s="2619" t="s">
        <v>1469</v>
      </c>
      <c r="F2" s="2618" t="s">
        <v>1924</v>
      </c>
      <c r="G2" s="2620"/>
      <c r="I2" s="2618" t="s">
        <v>2215</v>
      </c>
      <c r="J2" s="2619" t="s">
        <v>2217</v>
      </c>
      <c r="K2" s="2619" t="s">
        <v>2218</v>
      </c>
      <c r="L2" s="2618" t="s">
        <v>2219</v>
      </c>
      <c r="N2" s="2618" t="s">
        <v>1862</v>
      </c>
      <c r="O2" s="2619" t="s">
        <v>2216</v>
      </c>
      <c r="P2" s="2619" t="s">
        <v>1469</v>
      </c>
      <c r="Q2" s="2618" t="s">
        <v>1924</v>
      </c>
      <c r="S2" s="2618" t="s">
        <v>1862</v>
      </c>
      <c r="T2" s="2619" t="s">
        <v>2216</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4">
      <c r="A3" s="2621" t="s">
        <v>2226</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4">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2447</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2446</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2445</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2444</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2443</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2292</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2291</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2290</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2289</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2287</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2286</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2251</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2249</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2247</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8" thickBot="1">
      <c r="A19" s="2640" t="s">
        <v>2246</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2244</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8" thickBot="1">
      <c r="A21" s="2640" t="s">
        <v>2243</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2242</v>
      </c>
      <c r="B22" s="2651">
        <f t="shared" si="11"/>
        <v>464.37293017158942</v>
      </c>
      <c r="C22" s="2651">
        <f t="shared" si="12"/>
        <v>344.73679941385956</v>
      </c>
      <c r="D22" s="2651">
        <f t="shared" si="2"/>
        <v>344.73679941385956</v>
      </c>
      <c r="E22" s="2651">
        <f t="shared" si="3"/>
        <v>663.2377795103107</v>
      </c>
      <c r="F22" s="2652">
        <f t="shared" si="4"/>
        <v>304.75936311478398</v>
      </c>
      <c r="G22" s="4163">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 customHeight="1">
      <c r="A23" s="2640" t="s">
        <v>2235</v>
      </c>
      <c r="B23" s="2641">
        <f t="shared" si="11"/>
        <v>459.95733971036987</v>
      </c>
      <c r="C23" s="2641">
        <f t="shared" si="12"/>
        <v>341.22221064422405</v>
      </c>
      <c r="D23" s="2641">
        <f t="shared" si="2"/>
        <v>341.22221064422405</v>
      </c>
      <c r="E23" s="2641">
        <f t="shared" si="3"/>
        <v>657.19161663724799</v>
      </c>
      <c r="F23" s="2641">
        <f t="shared" si="4"/>
        <v>300.87803644464805</v>
      </c>
      <c r="G23" s="4163"/>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 customHeight="1">
      <c r="A24" s="2640" t="s">
        <v>2236</v>
      </c>
      <c r="B24" s="2641">
        <f t="shared" si="11"/>
        <v>453.11529869999993</v>
      </c>
      <c r="C24" s="2641">
        <f t="shared" si="12"/>
        <v>336.47787264000004</v>
      </c>
      <c r="D24" s="2641">
        <f t="shared" si="2"/>
        <v>336.47787264000004</v>
      </c>
      <c r="E24" s="2641">
        <f t="shared" si="3"/>
        <v>647.35186823999993</v>
      </c>
      <c r="F24" s="2641">
        <f t="shared" si="4"/>
        <v>295.73229452000004</v>
      </c>
      <c r="G24" s="4163"/>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2232</v>
      </c>
      <c r="B25" s="2641">
        <f t="shared" si="11"/>
        <v>446.46299999999997</v>
      </c>
      <c r="C25" s="2641">
        <f t="shared" si="12"/>
        <v>333.27840000000003</v>
      </c>
      <c r="D25" s="2641">
        <f t="shared" ref="D25:D30" si="13">C25</f>
        <v>333.27840000000003</v>
      </c>
      <c r="E25" s="2641">
        <f t="shared" si="3"/>
        <v>637.28279999999995</v>
      </c>
      <c r="F25" s="2641">
        <f t="shared" si="4"/>
        <v>288.68830000000003</v>
      </c>
      <c r="G25" s="4169"/>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2225</v>
      </c>
      <c r="B26" s="2657">
        <v>439</v>
      </c>
      <c r="C26" s="2657">
        <v>327</v>
      </c>
      <c r="D26" s="2657">
        <f t="shared" si="13"/>
        <v>327</v>
      </c>
      <c r="E26" s="2657">
        <v>627</v>
      </c>
      <c r="F26" s="2658">
        <v>283</v>
      </c>
      <c r="G26" s="4168">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 customHeight="1">
      <c r="A27" s="2640" t="s">
        <v>2227</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4163"/>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4163"/>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4169"/>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4168">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4163"/>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4163"/>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8"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4164"/>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8" thickBot="1">
      <c r="A34" s="2640" t="s">
        <v>892</v>
      </c>
      <c r="B34" s="2662">
        <v>333</v>
      </c>
      <c r="C34" s="2662">
        <v>277</v>
      </c>
      <c r="D34" s="2662">
        <f t="shared" si="20"/>
        <v>277</v>
      </c>
      <c r="E34" s="2662">
        <v>459</v>
      </c>
      <c r="F34" s="2663">
        <v>249</v>
      </c>
      <c r="G34" s="4162">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4163"/>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4163"/>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4164"/>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8" thickBot="1">
      <c r="A38" s="2640" t="s">
        <v>888</v>
      </c>
      <c r="B38" s="2669">
        <v>318</v>
      </c>
      <c r="C38" s="2669">
        <v>268</v>
      </c>
      <c r="D38" s="2669">
        <f t="shared" si="20"/>
        <v>268</v>
      </c>
      <c r="E38" s="2669">
        <v>437</v>
      </c>
      <c r="F38" s="2670">
        <v>237</v>
      </c>
      <c r="G38" s="4162">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4163"/>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8"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4163"/>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8"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4164"/>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8" thickBot="1">
      <c r="A42" s="2640" t="s">
        <v>1865</v>
      </c>
      <c r="B42" s="2662">
        <v>299</v>
      </c>
      <c r="C42" s="2662">
        <v>252</v>
      </c>
      <c r="D42" s="2662">
        <f t="shared" si="20"/>
        <v>252</v>
      </c>
      <c r="E42" s="2662">
        <v>409</v>
      </c>
      <c r="F42" s="2663">
        <v>227</v>
      </c>
      <c r="G42" s="4165">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4166"/>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4166"/>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4167"/>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8" thickBot="1">
      <c r="A46" s="2640" t="s">
        <v>1869</v>
      </c>
      <c r="B46" s="2690">
        <v>278</v>
      </c>
      <c r="C46" s="2690">
        <v>234</v>
      </c>
      <c r="D46" s="2690">
        <f t="shared" si="20"/>
        <v>234</v>
      </c>
      <c r="E46" s="2690">
        <v>379</v>
      </c>
      <c r="F46" s="2691">
        <v>220</v>
      </c>
      <c r="G46" s="4162">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4163"/>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4163"/>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8" thickBot="1">
      <c r="A49" s="2640" t="s">
        <v>1872</v>
      </c>
      <c r="B49" s="2641">
        <f>B48/(1+N48)</f>
        <v>275.19025476197027</v>
      </c>
      <c r="C49" s="2692">
        <v>232</v>
      </c>
      <c r="D49" s="2692">
        <f t="shared" si="20"/>
        <v>232</v>
      </c>
      <c r="E49" s="2641">
        <f t="shared" si="29"/>
        <v>375.65990977608692</v>
      </c>
      <c r="F49" s="2641">
        <f t="shared" si="29"/>
        <v>214.12518283971252</v>
      </c>
      <c r="G49" s="4164"/>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8" thickBot="1">
      <c r="A50" s="2640" t="s">
        <v>1873</v>
      </c>
      <c r="B50" s="2662">
        <v>275</v>
      </c>
      <c r="C50" s="2662">
        <v>232</v>
      </c>
      <c r="D50" s="2662">
        <f t="shared" si="20"/>
        <v>232</v>
      </c>
      <c r="E50" s="2662">
        <v>376</v>
      </c>
      <c r="F50" s="2663">
        <v>213</v>
      </c>
      <c r="G50" s="4162">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4163">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4163">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8"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4164">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8" thickBot="1">
      <c r="A54" s="2640" t="s">
        <v>1877</v>
      </c>
      <c r="B54" s="2662">
        <v>269</v>
      </c>
      <c r="C54" s="2662">
        <v>221</v>
      </c>
      <c r="D54" s="2662">
        <f t="shared" si="20"/>
        <v>221</v>
      </c>
      <c r="E54" s="2662">
        <v>373</v>
      </c>
      <c r="F54" s="2663">
        <v>196</v>
      </c>
      <c r="G54" s="4162">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4163">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4163">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8"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4164">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8" thickBot="1">
      <c r="A58" s="2640" t="s">
        <v>1881</v>
      </c>
      <c r="B58" s="2662">
        <v>220</v>
      </c>
      <c r="C58" s="2662">
        <v>187</v>
      </c>
      <c r="D58" s="2662">
        <f t="shared" si="20"/>
        <v>187</v>
      </c>
      <c r="E58" s="2662">
        <v>301</v>
      </c>
      <c r="F58" s="2663">
        <v>168</v>
      </c>
      <c r="G58" s="4162">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4163">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4163">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4164">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8" thickBot="1">
      <c r="A62" s="2640" t="s">
        <v>1885</v>
      </c>
      <c r="B62" s="2690">
        <v>214</v>
      </c>
      <c r="C62" s="2690">
        <v>188</v>
      </c>
      <c r="D62" s="2690">
        <f t="shared" si="20"/>
        <v>188</v>
      </c>
      <c r="E62" s="2690">
        <v>289</v>
      </c>
      <c r="F62" s="2691">
        <v>166</v>
      </c>
      <c r="G62" s="4162">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4163">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4163">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8"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4164">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8" thickBot="1">
      <c r="A66" s="2640" t="s">
        <v>1889</v>
      </c>
      <c r="B66" s="2662">
        <v>188</v>
      </c>
      <c r="C66" s="2662">
        <v>165</v>
      </c>
      <c r="D66" s="2662">
        <f t="shared" si="20"/>
        <v>165</v>
      </c>
      <c r="E66" s="2662">
        <v>254</v>
      </c>
      <c r="F66" s="2663">
        <v>148</v>
      </c>
      <c r="G66" s="4162">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4163">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4163">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4164">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8" thickBot="1">
      <c r="A70" s="2640" t="s">
        <v>1893</v>
      </c>
      <c r="B70" s="2669">
        <v>159</v>
      </c>
      <c r="C70" s="2669">
        <v>141</v>
      </c>
      <c r="D70" s="2669">
        <f t="shared" si="20"/>
        <v>141</v>
      </c>
      <c r="E70" s="2669">
        <v>195</v>
      </c>
      <c r="F70" s="2670">
        <v>122</v>
      </c>
      <c r="G70" s="4162">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4163">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4163">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4164">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8" thickBot="1">
      <c r="A74" s="2640" t="s">
        <v>1897</v>
      </c>
      <c r="B74" s="2669">
        <v>138</v>
      </c>
      <c r="C74" s="2669">
        <v>131</v>
      </c>
      <c r="D74" s="2669">
        <f t="shared" si="20"/>
        <v>131</v>
      </c>
      <c r="E74" s="2669">
        <v>155</v>
      </c>
      <c r="F74" s="2670">
        <v>114</v>
      </c>
      <c r="G74" s="4162">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4163">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4163">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4164">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8" thickBot="1">
      <c r="A78" s="2640" t="s">
        <v>1901</v>
      </c>
      <c r="B78" s="2690">
        <v>121</v>
      </c>
      <c r="C78" s="2690">
        <v>122</v>
      </c>
      <c r="D78" s="2690">
        <f t="shared" si="20"/>
        <v>122</v>
      </c>
      <c r="E78" s="2690">
        <v>124</v>
      </c>
      <c r="F78" s="2691">
        <v>107</v>
      </c>
      <c r="G78" s="4162">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4163">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4163">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8" thickBot="1">
      <c r="A81" s="2640" t="s">
        <v>1904</v>
      </c>
      <c r="B81" s="2693">
        <f t="shared" si="52"/>
        <v>112.48648648648648</v>
      </c>
      <c r="C81" s="2693">
        <f t="shared" si="52"/>
        <v>115.21212121212122</v>
      </c>
      <c r="D81" s="2693">
        <f t="shared" si="20"/>
        <v>115.21212121212122</v>
      </c>
      <c r="E81" s="2693">
        <f t="shared" si="53"/>
        <v>110.4024024024024</v>
      </c>
      <c r="F81" s="2693">
        <f t="shared" si="53"/>
        <v>104</v>
      </c>
      <c r="G81" s="4164">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8" thickBot="1">
      <c r="A82" s="2640" t="s">
        <v>1905</v>
      </c>
      <c r="B82" s="2710">
        <v>111</v>
      </c>
      <c r="C82" s="2710">
        <v>114</v>
      </c>
      <c r="D82" s="2710">
        <f t="shared" si="20"/>
        <v>114</v>
      </c>
      <c r="E82" s="2710">
        <v>108</v>
      </c>
      <c r="F82" s="2711">
        <v>104</v>
      </c>
      <c r="G82" s="4162">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4163">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4163">
        <v>2003</v>
      </c>
      <c r="H84" s="2655">
        <v>2</v>
      </c>
      <c r="I84" s="2712"/>
      <c r="J84" s="2712"/>
      <c r="K84" s="2712"/>
      <c r="L84" s="2712"/>
      <c r="X84" s="2704"/>
      <c r="Y84" s="2704"/>
      <c r="Z84" s="2704"/>
    </row>
    <row r="85" spans="1:26" ht="13.8" thickBot="1">
      <c r="A85" s="2640" t="s">
        <v>1908</v>
      </c>
      <c r="B85" s="2714">
        <f t="shared" si="54"/>
        <v>107.25</v>
      </c>
      <c r="C85" s="2714">
        <f t="shared" si="54"/>
        <v>108.75</v>
      </c>
      <c r="D85" s="2714">
        <f t="shared" si="20"/>
        <v>108.75</v>
      </c>
      <c r="E85" s="2714">
        <f t="shared" si="55"/>
        <v>105.75</v>
      </c>
      <c r="F85" s="2714">
        <f t="shared" si="55"/>
        <v>102.5</v>
      </c>
      <c r="G85" s="4164">
        <v>2003</v>
      </c>
      <c r="H85" s="2715">
        <v>1</v>
      </c>
      <c r="I85" s="2712"/>
      <c r="J85" s="2712"/>
      <c r="K85" s="2712"/>
      <c r="L85" s="2712"/>
      <c r="S85" s="2643"/>
      <c r="T85" s="2639"/>
      <c r="U85" s="2639"/>
      <c r="X85" s="2704"/>
      <c r="Y85" s="2704"/>
      <c r="Z85" s="2704"/>
    </row>
    <row r="86" spans="1:26" ht="13.8" thickBot="1">
      <c r="A86" s="2640" t="s">
        <v>1909</v>
      </c>
      <c r="B86" s="2716">
        <v>106</v>
      </c>
      <c r="C86" s="2716">
        <v>107</v>
      </c>
      <c r="D86" s="2716">
        <f t="shared" si="20"/>
        <v>107</v>
      </c>
      <c r="E86" s="2716">
        <v>105</v>
      </c>
      <c r="F86" s="2717">
        <v>102</v>
      </c>
      <c r="G86" s="4162">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4163">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4163">
        <v>2002</v>
      </c>
      <c r="H88" s="2655">
        <v>2</v>
      </c>
      <c r="I88" s="2712"/>
      <c r="J88" s="2712"/>
      <c r="K88" s="2712"/>
      <c r="L88" s="2712"/>
      <c r="X88" s="2704"/>
      <c r="Y88" s="2704"/>
      <c r="Z88" s="2704"/>
    </row>
    <row r="89" spans="1:26" s="2677" customFormat="1" ht="13.8" thickBot="1">
      <c r="A89" s="2673" t="s">
        <v>1912</v>
      </c>
      <c r="B89" s="2680">
        <f t="shared" si="56"/>
        <v>103</v>
      </c>
      <c r="C89" s="2680">
        <f t="shared" si="56"/>
        <v>104</v>
      </c>
      <c r="D89" s="2680">
        <f t="shared" si="20"/>
        <v>104</v>
      </c>
      <c r="E89" s="2680">
        <f t="shared" si="57"/>
        <v>103.5</v>
      </c>
      <c r="F89" s="2680">
        <f t="shared" si="57"/>
        <v>100.5</v>
      </c>
      <c r="G89" s="4164">
        <v>2002</v>
      </c>
      <c r="H89" s="2718">
        <v>1</v>
      </c>
      <c r="I89" s="2719"/>
      <c r="J89" s="2719"/>
      <c r="K89" s="2719"/>
      <c r="L89" s="2719"/>
      <c r="N89" s="2720"/>
      <c r="S89" s="2720"/>
      <c r="X89" s="2721"/>
      <c r="Y89" s="2721"/>
      <c r="Z89" s="2721"/>
    </row>
    <row r="90" spans="1:26" ht="13.8"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8"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8"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8671875" defaultRowHeight="14.4"/>
  <cols>
    <col min="1" max="1" width="22.77734375" style="2986" customWidth="1"/>
    <col min="2" max="2" width="12.44140625" style="2986" customWidth="1"/>
    <col min="3" max="3" width="12.109375" style="2986" customWidth="1"/>
    <col min="4" max="4" width="16.6640625" style="2986" customWidth="1"/>
    <col min="5" max="5" width="12.44140625" style="2986" customWidth="1"/>
    <col min="6" max="6" width="12.77734375" style="2986" customWidth="1"/>
    <col min="7" max="16384" width="8.88671875" style="2986"/>
  </cols>
  <sheetData>
    <row r="1" spans="1:14" ht="20.399999999999999">
      <c r="A1" s="2989" t="s">
        <v>2209</v>
      </c>
      <c r="B1" s="2984"/>
      <c r="C1" s="2984"/>
      <c r="D1" s="2984"/>
      <c r="E1" s="2984"/>
      <c r="F1" s="2984"/>
      <c r="G1" s="2985"/>
      <c r="H1" s="2985"/>
      <c r="I1" s="2985"/>
      <c r="J1" s="2985"/>
      <c r="K1" s="2985"/>
      <c r="L1" s="2985"/>
      <c r="M1" s="2985"/>
      <c r="N1" s="2985"/>
    </row>
    <row r="2" spans="1:14" ht="15.6">
      <c r="A2" s="2990" t="s">
        <v>2204</v>
      </c>
      <c r="B2" s="2995">
        <f ca="1">SUMIF(B7:B14,"&lt;&gt;#ref!",B7:B14)</f>
        <v>0</v>
      </c>
      <c r="C2" s="2990" t="s">
        <v>2205</v>
      </c>
      <c r="D2" s="2987"/>
      <c r="E2" s="2987"/>
      <c r="F2" s="2987"/>
      <c r="G2" s="2985"/>
      <c r="H2" s="2985"/>
      <c r="I2" s="2985"/>
      <c r="J2" s="2985"/>
      <c r="K2" s="2985"/>
      <c r="L2" s="2985"/>
      <c r="M2" s="2985"/>
      <c r="N2" s="2985"/>
    </row>
    <row r="3" spans="1:14" ht="15.6">
      <c r="A3" s="2990" t="s">
        <v>2233</v>
      </c>
      <c r="B3" s="2995" t="e">
        <f ca="1">ROUND(B2*10000/E3,0)</f>
        <v>#DIV/0!</v>
      </c>
      <c r="C3" s="2990" t="s">
        <v>1596</v>
      </c>
      <c r="D3" s="2990" t="s">
        <v>2206</v>
      </c>
      <c r="E3" s="2988">
        <f ca="1">SUMIF(E7:E14,"&lt;&gt;#ref!",E7:E14)</f>
        <v>0</v>
      </c>
      <c r="F3" s="2987"/>
      <c r="G3" s="2985"/>
      <c r="H3" s="2985"/>
      <c r="I3" s="2985"/>
      <c r="J3" s="2985"/>
      <c r="K3" s="2985"/>
      <c r="L3" s="2985"/>
      <c r="M3" s="2985"/>
      <c r="N3" s="2985"/>
    </row>
    <row r="4" spans="1:14" ht="15.6">
      <c r="A4" s="2990" t="s">
        <v>2212</v>
      </c>
      <c r="B4" s="2995" t="e">
        <f ca="1">ROUND(B2*10000/E4,0)</f>
        <v>#DIV/0!</v>
      </c>
      <c r="C4" s="2990" t="s">
        <v>1596</v>
      </c>
      <c r="D4" s="2990" t="s">
        <v>2213</v>
      </c>
      <c r="E4" s="2988">
        <f ca="1">SUMIF(F7:F14,"&lt;&gt;#ref!",F7:F14)</f>
        <v>0</v>
      </c>
      <c r="F4" s="2987"/>
      <c r="G4" s="2985"/>
      <c r="H4" s="2985"/>
      <c r="I4" s="2985"/>
      <c r="J4" s="2985"/>
      <c r="K4" s="2985"/>
      <c r="L4" s="2985"/>
      <c r="M4" s="2985"/>
      <c r="N4" s="2985"/>
    </row>
    <row r="5" spans="1:14" ht="15.6">
      <c r="A5" s="2991"/>
      <c r="B5" s="2987"/>
      <c r="C5" s="2987"/>
      <c r="D5" s="2987"/>
      <c r="E5" s="2987"/>
      <c r="F5" s="2987"/>
      <c r="G5" s="2985"/>
      <c r="H5" s="2985"/>
      <c r="I5" s="2985"/>
      <c r="J5" s="2985"/>
      <c r="K5" s="2985"/>
      <c r="L5" s="2985"/>
      <c r="M5" s="2985"/>
      <c r="N5" s="2985"/>
    </row>
    <row r="6" spans="1:14" ht="31.2">
      <c r="A6" s="2992" t="s">
        <v>2210</v>
      </c>
      <c r="B6" s="2990" t="s">
        <v>2207</v>
      </c>
      <c r="C6" s="2544"/>
      <c r="D6" s="2987"/>
      <c r="E6" s="2990" t="s">
        <v>2208</v>
      </c>
      <c r="F6" s="2990" t="s">
        <v>2211</v>
      </c>
      <c r="G6" s="2985"/>
      <c r="H6" s="2985"/>
      <c r="I6" s="2985"/>
      <c r="J6" s="2985"/>
      <c r="K6" s="2985"/>
      <c r="L6" s="2985"/>
      <c r="M6" s="2985"/>
      <c r="N6" s="2985"/>
    </row>
    <row r="7" spans="1:14" ht="15.6">
      <c r="A7" s="2993"/>
      <c r="B7" s="2995" t="e">
        <f ca="1">SUMIF(INDIRECT("'"&amp;A7&amp;"'"&amp;"!A:A"),"总价",INDIRECT("'"&amp;A7&amp;"'"&amp;"!B:B"))</f>
        <v>#REF!</v>
      </c>
      <c r="C7" s="2990" t="s">
        <v>2205</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5.6">
      <c r="A8" s="2993"/>
      <c r="B8" s="2995" t="e">
        <f t="shared" ref="B8:B14" ca="1" si="0">SUMIF(INDIRECT("'"&amp;A8&amp;"'"&amp;"!A:A"),"总价",INDIRECT("'"&amp;A8&amp;"'"&amp;"!B:B"))</f>
        <v>#REF!</v>
      </c>
      <c r="C8" s="2990" t="s">
        <v>2205</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5.6">
      <c r="A9" s="2993"/>
      <c r="B9" s="2995" t="e">
        <f t="shared" ca="1" si="0"/>
        <v>#REF!</v>
      </c>
      <c r="C9" s="2990" t="s">
        <v>2205</v>
      </c>
      <c r="D9" s="2987"/>
      <c r="E9" s="2988" t="e">
        <f t="shared" ca="1" si="1"/>
        <v>#REF!</v>
      </c>
      <c r="F9" s="2988" t="e">
        <f t="shared" ca="1" si="2"/>
        <v>#REF!</v>
      </c>
      <c r="G9" s="2985"/>
      <c r="H9" s="2985"/>
      <c r="I9" s="2985"/>
      <c r="J9" s="2985"/>
      <c r="K9" s="2985"/>
      <c r="L9" s="2985"/>
      <c r="M9" s="2985"/>
      <c r="N9" s="2985"/>
    </row>
    <row r="10" spans="1:14" ht="15.6">
      <c r="A10" s="2993"/>
      <c r="B10" s="2995" t="e">
        <f t="shared" ca="1" si="0"/>
        <v>#REF!</v>
      </c>
      <c r="C10" s="2990" t="s">
        <v>2205</v>
      </c>
      <c r="D10" s="2987"/>
      <c r="E10" s="2988" t="e">
        <f t="shared" ca="1" si="1"/>
        <v>#REF!</v>
      </c>
      <c r="F10" s="2988" t="e">
        <f t="shared" ca="1" si="2"/>
        <v>#REF!</v>
      </c>
      <c r="G10" s="2985"/>
      <c r="H10" s="2985"/>
      <c r="I10" s="2985"/>
      <c r="J10" s="2985"/>
      <c r="K10" s="2985"/>
      <c r="L10" s="2985"/>
      <c r="M10" s="2985"/>
      <c r="N10" s="2985"/>
    </row>
    <row r="11" spans="1:14" ht="15.6">
      <c r="A11" s="2993"/>
      <c r="B11" s="2995" t="e">
        <f t="shared" ca="1" si="0"/>
        <v>#REF!</v>
      </c>
      <c r="C11" s="2990" t="s">
        <v>2205</v>
      </c>
      <c r="D11" s="2987"/>
      <c r="E11" s="2988" t="e">
        <f t="shared" ca="1" si="1"/>
        <v>#REF!</v>
      </c>
      <c r="F11" s="2988" t="e">
        <f t="shared" ca="1" si="2"/>
        <v>#REF!</v>
      </c>
      <c r="G11" s="2985"/>
      <c r="H11" s="2985"/>
      <c r="I11" s="2985"/>
      <c r="J11" s="2985"/>
      <c r="K11" s="2985"/>
      <c r="L11" s="2985"/>
      <c r="M11" s="2985"/>
      <c r="N11" s="2985"/>
    </row>
    <row r="12" spans="1:14" ht="15.6">
      <c r="A12" s="2993"/>
      <c r="B12" s="2995" t="e">
        <f t="shared" ca="1" si="0"/>
        <v>#REF!</v>
      </c>
      <c r="C12" s="2990" t="s">
        <v>2205</v>
      </c>
      <c r="D12" s="2987"/>
      <c r="E12" s="2988" t="e">
        <f t="shared" ca="1" si="1"/>
        <v>#REF!</v>
      </c>
      <c r="F12" s="2988" t="e">
        <f t="shared" ca="1" si="2"/>
        <v>#REF!</v>
      </c>
      <c r="G12" s="2985"/>
      <c r="H12" s="2985"/>
      <c r="I12" s="2985"/>
      <c r="J12" s="2985"/>
      <c r="K12" s="2985"/>
      <c r="L12" s="2985"/>
      <c r="M12" s="2985"/>
      <c r="N12" s="2985"/>
    </row>
    <row r="13" spans="1:14" ht="15.6">
      <c r="A13" s="2993"/>
      <c r="B13" s="2995" t="e">
        <f t="shared" ca="1" si="0"/>
        <v>#REF!</v>
      </c>
      <c r="C13" s="2990" t="s">
        <v>2205</v>
      </c>
      <c r="D13" s="2987"/>
      <c r="E13" s="2988" t="e">
        <f t="shared" ca="1" si="1"/>
        <v>#REF!</v>
      </c>
      <c r="F13" s="2988" t="e">
        <f t="shared" ca="1" si="2"/>
        <v>#REF!</v>
      </c>
      <c r="G13" s="2985"/>
      <c r="H13" s="2985"/>
      <c r="I13" s="2985"/>
      <c r="J13" s="2985"/>
      <c r="K13" s="2985"/>
      <c r="L13" s="2985"/>
      <c r="M13" s="2985"/>
      <c r="N13" s="2985"/>
    </row>
    <row r="14" spans="1:14" ht="15.6">
      <c r="A14" s="2994"/>
      <c r="B14" s="2995" t="e">
        <f t="shared" ca="1" si="0"/>
        <v>#REF!</v>
      </c>
      <c r="C14" s="2990" t="s">
        <v>2205</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171" t="s">
        <v>1807</v>
      </c>
      <c r="C8" s="1612">
        <f ca="1">ROUND(F8*F10*F9*(1-F11)/10000,0)</f>
        <v>0</v>
      </c>
      <c r="D8" s="1609" t="s">
        <v>1817</v>
      </c>
      <c r="E8" s="59" t="s">
        <v>585</v>
      </c>
      <c r="F8" s="751">
        <f ca="1">INDIRECT("'数据-取费表'!u"&amp;$G$1)</f>
        <v>0</v>
      </c>
      <c r="G8" s="1405"/>
      <c r="H8" s="2151" t="s">
        <v>1353</v>
      </c>
      <c r="I8" s="4171" t="s">
        <v>1807</v>
      </c>
      <c r="J8" s="749">
        <f ca="1">ROUND(M8*M10*M9*(1-M11)/10000,0)</f>
        <v>0</v>
      </c>
      <c r="K8" s="332" t="s">
        <v>1817</v>
      </c>
      <c r="L8" s="750" t="s">
        <v>1267</v>
      </c>
      <c r="M8" s="751">
        <f ca="1">INDIRECT("'数据-取费表'!z"&amp;$G$1)</f>
        <v>0</v>
      </c>
    </row>
    <row r="9" spans="1:25" ht="18" customHeight="1">
      <c r="A9" s="2147"/>
      <c r="B9" s="4172"/>
      <c r="C9" s="1613"/>
      <c r="D9" s="1610"/>
      <c r="E9" s="59" t="s">
        <v>586</v>
      </c>
      <c r="F9" s="751">
        <f ca="1">IF(INDIRECT("'数据-取费表'!ah"&amp;$G$1)="",INDIRECT("'数据-取费表'!k"&amp;$G$1),INDIRECT("'数据-取费表'!ah"&amp;$G$1))</f>
        <v>0</v>
      </c>
      <c r="G9" s="1405"/>
      <c r="H9" s="2136"/>
      <c r="I9" s="4172"/>
      <c r="J9" s="754"/>
      <c r="K9" s="755"/>
      <c r="L9" s="750" t="s">
        <v>1268</v>
      </c>
      <c r="M9" s="751">
        <f ca="1">F9</f>
        <v>0</v>
      </c>
    </row>
    <row r="10" spans="1:25" ht="18" customHeight="1">
      <c r="A10" s="2140"/>
      <c r="B10" s="4173"/>
      <c r="C10" s="1613"/>
      <c r="D10" s="1610"/>
      <c r="E10" s="59" t="s">
        <v>587</v>
      </c>
      <c r="F10" s="751">
        <f ca="1">INDIRECT("'数据-取费表'!ai"&amp;$G$1)</f>
        <v>0</v>
      </c>
      <c r="G10" s="1405"/>
      <c r="H10" s="2136"/>
      <c r="I10" s="4173"/>
      <c r="J10" s="754"/>
      <c r="K10" s="755"/>
      <c r="L10" s="750" t="s">
        <v>1269</v>
      </c>
      <c r="M10" s="751">
        <f ca="1">INDIRECT("'数据-取费表'!ai"&amp;$G$1)</f>
        <v>0</v>
      </c>
    </row>
    <row r="11" spans="1:25" ht="18" customHeight="1">
      <c r="A11" s="752"/>
      <c r="B11" s="4174"/>
      <c r="C11" s="1613"/>
      <c r="D11" s="1610"/>
      <c r="E11" s="59" t="s">
        <v>588</v>
      </c>
      <c r="F11" s="760">
        <f ca="1">INDIRECT("'数据-取费表'!w"&amp;$G$1)</f>
        <v>0</v>
      </c>
      <c r="G11" s="1405"/>
      <c r="H11" s="2152"/>
      <c r="I11" s="4173"/>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2230</v>
      </c>
      <c r="E12" s="2145" t="s">
        <v>1808</v>
      </c>
      <c r="F12" s="2228"/>
      <c r="G12" s="1405"/>
      <c r="H12" s="2179" t="s">
        <v>1354</v>
      </c>
      <c r="I12" s="2184" t="s">
        <v>1803</v>
      </c>
      <c r="J12" s="749">
        <f ca="1">ROUND(IF(M12="押一",J8/12*M13,IF(M12="押二",J8/12*2*M13,IF(M12="押三",J8/12*3*M13,J13*M13))),0)</f>
        <v>0</v>
      </c>
      <c r="K12" s="2148" t="s">
        <v>2230</v>
      </c>
      <c r="L12" s="2145" t="s">
        <v>1808</v>
      </c>
      <c r="M12" s="2228"/>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1">
        <f ca="1">ROUND(IF(AND(项目基本情况!B11="自然人",项目基本情况!B10="北京市"),J8*M19/(1+'数据-取费表'!C42),J20+J21+J22),0)</f>
        <v>0</v>
      </c>
      <c r="K19" s="1734" t="s">
        <v>605</v>
      </c>
      <c r="L19" s="1732" t="s">
        <v>606</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4.3500000000000004E-2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t="str">
        <f>IF(项目基本情况!B11="企业","——",IF(M48="住宅",IF(F8*F9*F10/12/(1+'数据-取费表'!F30)&gt;100000,4%,2.5%),IF(F8*F9*F10/12/(1+'数据-取费表'!F30)&gt;100000,12%,7%)))</f>
        <v>——</v>
      </c>
      <c r="G33" s="1786"/>
      <c r="H33" s="2996"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4170"/>
      <c r="J36" s="1803"/>
      <c r="K36" s="1804"/>
      <c r="L36" s="1803"/>
      <c r="M36" s="1803"/>
    </row>
    <row r="37" spans="1:18" ht="18" customHeight="1">
      <c r="A37" s="780"/>
      <c r="B37" s="759"/>
      <c r="C37" s="67"/>
      <c r="D37" s="781"/>
      <c r="E37" s="750" t="s">
        <v>621</v>
      </c>
      <c r="F37" s="751">
        <f ca="1">INDIRECT("'数据-取费表'!r"&amp;$G$1)</f>
        <v>0</v>
      </c>
      <c r="G37" s="1786"/>
      <c r="H37" s="1789"/>
      <c r="I37" s="4170"/>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4"/>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49" t="s">
        <v>2220</v>
      </c>
      <c r="F43" s="2550">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8">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2223</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f ca="1">C31</f>
        <v>0</v>
      </c>
      <c r="R51" s="2091" t="s">
        <v>1734</v>
      </c>
    </row>
    <row r="52" spans="1:18" s="1783" customFormat="1" ht="18" customHeight="1" thickBot="1">
      <c r="A52" s="1819"/>
      <c r="F52" s="1808"/>
      <c r="I52" s="2557" t="s">
        <v>1702</v>
      </c>
      <c r="J52" s="2561">
        <f>IF(J50="",J51,J50+J51-YEAR('数据-取费表'!B3))</f>
        <v>0</v>
      </c>
      <c r="K52" s="2553" t="s">
        <v>1708</v>
      </c>
      <c r="L52" s="2567">
        <f ca="1">C45</f>
        <v>0</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31.8" thickBot="1">
      <c r="A54" s="1819"/>
      <c r="I54" s="2559" t="s">
        <v>2234</v>
      </c>
      <c r="J54" s="2610">
        <f ca="1">IF(M48="住宅",MAX(J52,L49-'数据-取费表'!B20),MIN(J52,L49-'数据-取费表'!B20))</f>
        <v>-0.5</v>
      </c>
      <c r="K54" s="4175"/>
      <c r="L54" s="4176"/>
      <c r="O54" s="2093" t="s">
        <v>1742</v>
      </c>
      <c r="P54" s="2091" t="s">
        <v>1743</v>
      </c>
      <c r="Q54" s="2092">
        <f ca="1">J54</f>
        <v>-0.5</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2"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7.4"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31.8" thickBot="1">
      <c r="A58" s="1819"/>
      <c r="B58" s="1820"/>
      <c r="C58" s="1820"/>
      <c r="I58" s="2573" t="s">
        <v>1712</v>
      </c>
      <c r="J58" s="2574">
        <f ca="1">IF(OR(M48="住宅",J52&lt;L49,J57="是"),"——",J52-L49)</f>
        <v>0</v>
      </c>
      <c r="K58" s="2553"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5" t="s">
        <v>1715</v>
      </c>
      <c r="J61" s="2576" t="e">
        <f ca="1">IF(OR(M48="住宅",J52&lt;L49,J57="是"),"0",ROUND(J60/(1+J53)^J54,0))</f>
        <v>#DIV/0!</v>
      </c>
      <c r="K61" s="2577" t="s">
        <v>1720</v>
      </c>
      <c r="L61" s="2576"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8" t="s">
        <v>1721</v>
      </c>
      <c r="J63" s="2579" t="s">
        <v>1722</v>
      </c>
      <c r="K63" s="2579" t="s">
        <v>1723</v>
      </c>
      <c r="L63" s="2579" t="s">
        <v>1704</v>
      </c>
      <c r="M63" s="2580" t="s">
        <v>2203</v>
      </c>
      <c r="O63" s="2093" t="s">
        <v>1742</v>
      </c>
      <c r="P63" s="2091" t="s">
        <v>1750</v>
      </c>
      <c r="Q63" s="2092">
        <f ca="1">L60</f>
        <v>0</v>
      </c>
      <c r="R63" s="2095" t="s">
        <v>1751</v>
      </c>
    </row>
    <row r="64" spans="1:18" s="1783" customFormat="1" ht="16.2" thickBot="1">
      <c r="A64" s="1819"/>
      <c r="B64" s="1820"/>
      <c r="C64" s="1820"/>
      <c r="I64" s="2578" t="s">
        <v>1724</v>
      </c>
      <c r="J64" s="2579">
        <v>70</v>
      </c>
      <c r="K64" s="2579">
        <v>50</v>
      </c>
      <c r="L64" s="2579">
        <v>80</v>
      </c>
      <c r="M64" s="2581">
        <v>0.02</v>
      </c>
      <c r="O64" s="2090" t="s">
        <v>1745</v>
      </c>
      <c r="P64" s="2091" t="s">
        <v>1762</v>
      </c>
      <c r="Q64" s="2092" t="e">
        <f ca="1">Q58+Q59</f>
        <v>#DIV/0!</v>
      </c>
      <c r="R64" s="2095" t="s">
        <v>1746</v>
      </c>
    </row>
    <row r="65" spans="1:18" s="1783" customFormat="1" ht="16.2" thickBot="1">
      <c r="A65" s="1819"/>
      <c r="B65" s="1820"/>
      <c r="C65" s="1820"/>
      <c r="I65" s="2578" t="s">
        <v>1725</v>
      </c>
      <c r="J65" s="2579">
        <v>50</v>
      </c>
      <c r="K65" s="2579">
        <v>35</v>
      </c>
      <c r="L65" s="2579">
        <v>60</v>
      </c>
      <c r="M65" s="811">
        <v>0</v>
      </c>
      <c r="O65" s="2096" t="s">
        <v>1769</v>
      </c>
      <c r="P65" s="1405"/>
      <c r="Q65" s="1413"/>
      <c r="R65" s="1405"/>
    </row>
    <row r="66" spans="1:18" s="1783" customFormat="1" ht="16.2"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2" t="s">
        <v>877</v>
      </c>
      <c r="E1" s="2079" t="s">
        <v>1728</v>
      </c>
      <c r="F1" s="2080" t="e">
        <f ca="1">J53</f>
        <v>#N/A</v>
      </c>
      <c r="G1" s="2997"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2"/>
      <c r="D2" s="3003"/>
      <c r="E2" s="3004"/>
      <c r="F2" s="3004"/>
      <c r="G2" s="2998"/>
      <c r="H2" s="1781"/>
      <c r="I2" s="1781"/>
      <c r="J2" s="1781"/>
      <c r="K2" s="1782"/>
      <c r="L2" s="1781"/>
      <c r="M2" s="1781"/>
    </row>
    <row r="3" spans="1:33" ht="18" customHeight="1" thickBot="1">
      <c r="A3" s="798" t="s">
        <v>1256</v>
      </c>
      <c r="B3" s="799">
        <f ca="1">IF(ISERROR(B2*10000/F43),0,ROUND(B2*10000/F43,0))</f>
        <v>0</v>
      </c>
      <c r="C3" s="3002"/>
      <c r="D3" s="3003"/>
      <c r="E3" s="3004"/>
      <c r="F3" s="3004"/>
      <c r="G3" s="2998"/>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4171" t="s">
        <v>1807</v>
      </c>
      <c r="C6" s="749" t="e">
        <f ca="1">ROUND(F6*F8*F7*(1-F9)/10000,0)</f>
        <v>#N/A</v>
      </c>
      <c r="D6" s="2144" t="s">
        <v>1806</v>
      </c>
      <c r="E6" s="750" t="s">
        <v>1267</v>
      </c>
      <c r="F6" s="751" t="e">
        <f ca="1">INDIRECT("'数据-取费表'!u"&amp;$G$1)</f>
        <v>#N/A</v>
      </c>
      <c r="G6" s="1786"/>
      <c r="H6" s="2151" t="s">
        <v>1812</v>
      </c>
      <c r="I6" s="4171" t="s">
        <v>1807</v>
      </c>
      <c r="J6" s="749" t="e">
        <f ca="1">ROUND(M6*M8*M7*(1-M9)/10000,0)</f>
        <v>#N/A</v>
      </c>
      <c r="K6" s="332" t="s">
        <v>1266</v>
      </c>
      <c r="L6" s="750" t="s">
        <v>1267</v>
      </c>
      <c r="M6" s="751" t="e">
        <f ca="1">INDIRECT("'数据-取费表'!z"&amp;$G$1)</f>
        <v>#N/A</v>
      </c>
    </row>
    <row r="7" spans="1:33" ht="18" customHeight="1">
      <c r="A7" s="2147"/>
      <c r="B7" s="4172"/>
      <c r="C7" s="754"/>
      <c r="D7" s="755"/>
      <c r="E7" s="750" t="s">
        <v>1268</v>
      </c>
      <c r="F7" s="751" t="e">
        <f ca="1">IF(INDIRECT("'数据-取费表'!ah"&amp;$G$1)="",INDIRECT("'数据-取费表'!k"&amp;$G$1),INDIRECT("'数据-取费表'!ah"&amp;$G$1))</f>
        <v>#N/A</v>
      </c>
      <c r="G7" s="1786"/>
      <c r="H7" s="2136"/>
      <c r="I7" s="4172"/>
      <c r="J7" s="754"/>
      <c r="K7" s="755"/>
      <c r="L7" s="750" t="s">
        <v>1268</v>
      </c>
      <c r="M7" s="751" t="e">
        <f ca="1">F7</f>
        <v>#N/A</v>
      </c>
    </row>
    <row r="8" spans="1:33" ht="18" customHeight="1">
      <c r="A8" s="2140"/>
      <c r="B8" s="4173"/>
      <c r="C8" s="754"/>
      <c r="D8" s="755"/>
      <c r="E8" s="750" t="s">
        <v>1269</v>
      </c>
      <c r="F8" s="751" t="e">
        <f ca="1">INDIRECT("'数据-取费表'!ai"&amp;$G$1)</f>
        <v>#N/A</v>
      </c>
      <c r="G8" s="1786"/>
      <c r="H8" s="2136"/>
      <c r="I8" s="4173"/>
      <c r="J8" s="754"/>
      <c r="K8" s="755"/>
      <c r="L8" s="750" t="s">
        <v>1269</v>
      </c>
      <c r="M8" s="751" t="e">
        <f ca="1">INDIRECT("'数据-取费表'!ai"&amp;$G$1)</f>
        <v>#N/A</v>
      </c>
    </row>
    <row r="9" spans="1:33" ht="18" customHeight="1">
      <c r="A9" s="752"/>
      <c r="B9" s="4174"/>
      <c r="C9" s="754"/>
      <c r="D9" s="755"/>
      <c r="E9" s="750" t="s">
        <v>1270</v>
      </c>
      <c r="F9" s="760" t="e">
        <f ca="1">INDIRECT("'数据-取费表'!w"&amp;$G$1)</f>
        <v>#N/A</v>
      </c>
      <c r="G9" s="1786"/>
      <c r="H9" s="2152"/>
      <c r="I9" s="4173"/>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2230</v>
      </c>
      <c r="E10" s="2145" t="s">
        <v>1808</v>
      </c>
      <c r="F10" s="2228"/>
      <c r="G10" s="1786"/>
      <c r="H10" s="2179" t="s">
        <v>1813</v>
      </c>
      <c r="I10" s="2184" t="s">
        <v>1803</v>
      </c>
      <c r="J10" s="749">
        <f ca="1">ROUND(IF(M10="押一",J6/12*M11,IF(M10="押二",J6/12*2*M11,IF(M10="押三",J6/12*3*M11,J11*M11))),0)</f>
        <v>0</v>
      </c>
      <c r="K10" s="2148" t="s">
        <v>2230</v>
      </c>
      <c r="L10" s="2145" t="s">
        <v>1808</v>
      </c>
      <c r="M10" s="2228"/>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2999"/>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200</v>
      </c>
      <c r="G17" s="2999"/>
      <c r="H17" s="1454" t="s">
        <v>1359</v>
      </c>
      <c r="I17" s="750" t="s">
        <v>604</v>
      </c>
      <c r="J17" s="2761" t="e">
        <f ca="1">ROUND(IF(AND(项目基本情况!B11="自然人",项目基本情况!B10="北京市"),J6*M17/(1+'数据-取费表'!C42),J18+J19+J20),2)</f>
        <v>#N/A</v>
      </c>
      <c r="K17" s="2132" t="s">
        <v>1282</v>
      </c>
      <c r="L17" s="2131" t="s">
        <v>1283</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2999"/>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3245</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2999"/>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2999"/>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2999"/>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4.3500000000000004E-2</v>
      </c>
      <c r="G24" s="2999"/>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2999"/>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2999"/>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1" t="e">
        <f ca="1">ROUND(IF(AND(项目基本情况!B11="自然人",项目基本情况!B10="北京市"),C6*F31/(1+'数据-取费表'!C42),C32+C33+C34),2)</f>
        <v>#N/A</v>
      </c>
      <c r="D31" s="1734" t="s">
        <v>1321</v>
      </c>
      <c r="E31" s="1732" t="s">
        <v>1322</v>
      </c>
      <c r="F31" s="2760" t="str">
        <f>IF(项目基本情况!B11="企业","——",IF(M47="住宅",IF(F6*F7*F8/12/(1+'数据-取费表'!F30)&gt;100000,4%,2.5%),IF(F6*F7*F8/12/(1+'数据-取费表'!F30)&gt;100000,12%,7%)))</f>
        <v>——</v>
      </c>
      <c r="G31" s="1786"/>
      <c r="H31" s="2996"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3"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2222</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89" t="e">
        <f ca="1">C67-C40</f>
        <v>#N/A</v>
      </c>
      <c r="D46" s="3000"/>
      <c r="E46" s="3000"/>
      <c r="F46" s="3000"/>
      <c r="I46" s="2070" t="s">
        <v>1697</v>
      </c>
      <c r="J46" s="2071"/>
      <c r="K46" s="2072"/>
      <c r="L46" s="2565">
        <f>IF(OR(M47="住宅",D1="土地（套用方法）"),0,IF(L48&gt;J51,L60,J60))</f>
        <v>0</v>
      </c>
      <c r="M46" s="3001"/>
      <c r="O46" s="2086" t="s">
        <v>1764</v>
      </c>
      <c r="P46" s="1405"/>
      <c r="Q46" s="1413"/>
      <c r="R46" s="1405"/>
    </row>
    <row r="47" spans="1:18" s="1783" customFormat="1" ht="18" customHeight="1" thickBot="1">
      <c r="A47" s="3651">
        <v>1</v>
      </c>
      <c r="B47" s="3652" t="s">
        <v>583</v>
      </c>
      <c r="C47" s="3653" t="e">
        <f ca="1">C48+C52+C54</f>
        <v>#N/A</v>
      </c>
      <c r="D47" s="3654"/>
      <c r="E47" s="3654"/>
      <c r="F47" s="3655"/>
      <c r="I47" s="2556" t="s">
        <v>1698</v>
      </c>
      <c r="J47" s="2073"/>
      <c r="K47" s="2562" t="s">
        <v>1703</v>
      </c>
      <c r="L47" s="2566"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7" t="s">
        <v>1820</v>
      </c>
      <c r="B48" s="2248" t="s">
        <v>1821</v>
      </c>
      <c r="C48" s="2066" t="e">
        <f ca="1">ROUND(F48*F50*F49*(1-F51)/10000,0)</f>
        <v>#N/A</v>
      </c>
      <c r="D48" s="2067" t="s">
        <v>584</v>
      </c>
      <c r="E48" s="2068" t="s">
        <v>1653</v>
      </c>
      <c r="F48" s="2069" t="e">
        <f ca="1">M6</f>
        <v>#N/A</v>
      </c>
      <c r="G48" s="1813"/>
      <c r="I48" s="2553" t="s">
        <v>1699</v>
      </c>
      <c r="J48" s="2074"/>
      <c r="K48" s="2563" t="s">
        <v>1705</v>
      </c>
      <c r="L48" s="1664" t="e">
        <f ca="1">INDIRECT("'数据-取费表'!f"&amp;$G$1)</f>
        <v>#N/A</v>
      </c>
      <c r="M48" s="3001"/>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3" t="s">
        <v>1700</v>
      </c>
      <c r="J49" s="2075"/>
      <c r="K49" s="2564" t="s">
        <v>1706</v>
      </c>
      <c r="L49" s="2076"/>
      <c r="M49" s="3001"/>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3" t="s">
        <v>1701</v>
      </c>
      <c r="J50" s="2560">
        <f>SUMPRODUCT((I63:I65=J47)*(J62:L62=J48)*(J63:L65))</f>
        <v>0</v>
      </c>
      <c r="K50" s="2564" t="s">
        <v>1707</v>
      </c>
      <c r="L50" s="2076"/>
      <c r="M50" s="3001"/>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7" t="s">
        <v>1702</v>
      </c>
      <c r="J51" s="2561">
        <f>IF(J49="",J50,J49+J50-YEAR('数据-取费表'!B2))</f>
        <v>0</v>
      </c>
      <c r="K51" s="2553" t="s">
        <v>1708</v>
      </c>
      <c r="L51" s="2567" t="e">
        <f ca="1">ROUND(-PV(INDIRECT("'数据-取费表'!h"&amp;$G$1),J51,(C39-C13*J36),0),0)</f>
        <v>#N/A</v>
      </c>
      <c r="M51" s="3001"/>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8"/>
      <c r="I52" s="2558" t="s">
        <v>1775</v>
      </c>
      <c r="J52" s="2077"/>
      <c r="K52" s="2558" t="s">
        <v>1774</v>
      </c>
      <c r="L52" s="2077"/>
      <c r="M52" s="3001"/>
      <c r="O52" s="2093" t="s">
        <v>1740</v>
      </c>
      <c r="P52" s="2091" t="s">
        <v>1741</v>
      </c>
      <c r="Q52" s="2094">
        <f>J52</f>
        <v>0</v>
      </c>
      <c r="R52" s="2095"/>
    </row>
    <row r="53" spans="1:18" s="1783" customFormat="1" ht="39.75" customHeight="1" thickBot="1">
      <c r="A53" s="752"/>
      <c r="B53" s="2142" t="s">
        <v>1856</v>
      </c>
      <c r="C53" s="2146"/>
      <c r="D53" s="2148"/>
      <c r="E53" s="2145"/>
      <c r="F53" s="766"/>
      <c r="I53" s="2559" t="s">
        <v>2234</v>
      </c>
      <c r="J53" s="2610" t="e">
        <f ca="1">IF(M47="住宅",IF(D1="——",MAX(J51,L48),MAX(J51,L48-'数据-取费表'!B20)),IF(D1="——",MIN(J51,L48),MIN(J51,L48-'数据-取费表'!B20)))</f>
        <v>#N/A</v>
      </c>
      <c r="K53" s="4177" t="s">
        <v>2224</v>
      </c>
      <c r="L53" s="4178"/>
      <c r="M53" s="3001"/>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1"/>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8"/>
      <c r="M55" s="3001"/>
      <c r="O55" s="2096" t="s">
        <v>1765</v>
      </c>
      <c r="P55" s="1405"/>
      <c r="Q55" s="1413"/>
      <c r="R55" s="1405"/>
    </row>
    <row r="56" spans="1:18" s="1783" customFormat="1" ht="42.75" customHeight="1" thickBot="1">
      <c r="A56" s="1455"/>
      <c r="B56" s="1950" t="s">
        <v>1659</v>
      </c>
      <c r="C56" s="51" t="e">
        <f ca="1">C29</f>
        <v>#N/A</v>
      </c>
      <c r="D56" s="2244"/>
      <c r="E56" s="750"/>
      <c r="F56" s="775"/>
      <c r="I56" s="2572" t="s">
        <v>1711</v>
      </c>
      <c r="J56" s="2582"/>
      <c r="K56" s="2553" t="s">
        <v>1716</v>
      </c>
      <c r="L56" s="1664" t="e">
        <f ca="1">IF(L48&lt;J51,"——",L48-J51)</f>
        <v>#N/A</v>
      </c>
      <c r="M56" s="3001"/>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5"/>
      <c r="F57" s="54"/>
      <c r="I57" s="2573" t="s">
        <v>1712</v>
      </c>
      <c r="J57" s="2574" t="e">
        <f ca="1">IF(OR(M47="住宅",J51&lt;L48,J56="是"),"——",J51-L48)</f>
        <v>#N/A</v>
      </c>
      <c r="K57" s="2553" t="s">
        <v>1717</v>
      </c>
      <c r="L57" s="1664" t="e">
        <f ca="1">IF(L48&lt;J51,"——",IF(L55="比较法",L49,IF(L55="基准地价",L50,L51)))</f>
        <v>#N/A</v>
      </c>
      <c r="M57" s="3001"/>
      <c r="O57" s="2090" t="s">
        <v>1733</v>
      </c>
      <c r="P57" s="2091" t="s">
        <v>1763</v>
      </c>
      <c r="Q57" s="2092" t="e">
        <f ca="1">C40+J29</f>
        <v>#N/A</v>
      </c>
      <c r="R57" s="2091" t="s">
        <v>1734</v>
      </c>
    </row>
    <row r="58" spans="1:18" s="1783" customFormat="1" ht="28.5" customHeight="1" thickBot="1">
      <c r="A58" s="1454" t="s">
        <v>1353</v>
      </c>
      <c r="B58" s="750" t="s">
        <v>604</v>
      </c>
      <c r="C58" s="2761" t="e">
        <f ca="1">ROUND(IF(AND(项目基本情况!B11="自然人",项目基本情况!B10="北京市"),C48*F58/(1+'数据-取费表'!C42),C59+C60+C61),2)</f>
        <v>#N/A</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4" t="e">
        <f ca="1">ROUND(POWER(1+L52,L47-L48)*(POWER(1+L52,L48)-1)/(POWER(1+L52,L47)-1),4)</f>
        <v>#N/A</v>
      </c>
      <c r="M58" s="3001"/>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4" t="s">
        <v>1285</v>
      </c>
      <c r="E59" s="750" t="s">
        <v>1276</v>
      </c>
      <c r="F59" s="775">
        <f t="shared" ref="F59:F65" si="0">F32</f>
        <v>5.6000000000000001E-2</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1"/>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1"/>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8" t="s">
        <v>1721</v>
      </c>
      <c r="J62" s="2579" t="s">
        <v>1722</v>
      </c>
      <c r="K62" s="2579" t="s">
        <v>1723</v>
      </c>
      <c r="L62" s="2579" t="s">
        <v>1704</v>
      </c>
      <c r="M62" s="2580" t="s">
        <v>2203</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4" t="s">
        <v>1332</v>
      </c>
      <c r="E63" s="750" t="s">
        <v>1276</v>
      </c>
      <c r="F63" s="782" t="e">
        <f t="shared" ca="1" si="0"/>
        <v>#N/A</v>
      </c>
      <c r="I63" s="2578" t="s">
        <v>1724</v>
      </c>
      <c r="J63" s="2579">
        <v>70</v>
      </c>
      <c r="K63" s="2579">
        <v>50</v>
      </c>
      <c r="L63" s="2579">
        <v>80</v>
      </c>
      <c r="M63" s="2581">
        <v>0.02</v>
      </c>
      <c r="O63" s="2090" t="s">
        <v>1745</v>
      </c>
      <c r="P63" s="2091" t="s">
        <v>1762</v>
      </c>
      <c r="Q63" s="2092" t="e">
        <f ca="1">Q57+Q58</f>
        <v>#N/A</v>
      </c>
      <c r="R63" s="2095" t="s">
        <v>1746</v>
      </c>
    </row>
    <row r="64" spans="1:18" s="1783" customFormat="1" ht="16.2" thickBot="1">
      <c r="A64" s="1454" t="s">
        <v>1415</v>
      </c>
      <c r="B64" s="750" t="s">
        <v>626</v>
      </c>
      <c r="C64" s="51" t="e">
        <f ca="1">ROUND(C55*F64,2)</f>
        <v>#N/A</v>
      </c>
      <c r="D64" s="2244" t="s">
        <v>627</v>
      </c>
      <c r="E64" s="750" t="s">
        <v>1276</v>
      </c>
      <c r="F64" s="783" t="e">
        <f t="shared" ca="1" si="0"/>
        <v>#N/A</v>
      </c>
      <c r="I64" s="2578" t="s">
        <v>1725</v>
      </c>
      <c r="J64" s="2579">
        <v>50</v>
      </c>
      <c r="K64" s="2579">
        <v>35</v>
      </c>
      <c r="L64" s="2579">
        <v>60</v>
      </c>
      <c r="M64" s="811">
        <v>0</v>
      </c>
      <c r="O64" s="2096" t="s">
        <v>1769</v>
      </c>
      <c r="P64" s="1405"/>
      <c r="Q64" s="1413"/>
      <c r="R64" s="1405"/>
    </row>
    <row r="65" spans="1:18" s="1783" customFormat="1" ht="16.2" thickBot="1">
      <c r="A65" s="1454" t="s">
        <v>1416</v>
      </c>
      <c r="B65" s="750" t="s">
        <v>613</v>
      </c>
      <c r="C65" s="51" t="e">
        <f ca="1">ROUND(C47*F65,2)</f>
        <v>#N/A</v>
      </c>
      <c r="D65" s="2244" t="s">
        <v>630</v>
      </c>
      <c r="E65" s="750" t="s">
        <v>1276</v>
      </c>
      <c r="F65" s="760" t="e">
        <f t="shared" ca="1" si="0"/>
        <v>#N/A</v>
      </c>
      <c r="I65" s="2578" t="s">
        <v>1726</v>
      </c>
      <c r="J65" s="2579">
        <v>40</v>
      </c>
      <c r="K65" s="2579">
        <v>30</v>
      </c>
      <c r="L65" s="2579">
        <v>50</v>
      </c>
      <c r="M65" s="2581">
        <v>0.02</v>
      </c>
      <c r="O65" s="2087" t="s">
        <v>1729</v>
      </c>
      <c r="P65" s="2088" t="s">
        <v>1730</v>
      </c>
      <c r="Q65" s="2089" t="s">
        <v>1731</v>
      </c>
      <c r="R65" s="2088" t="s">
        <v>1732</v>
      </c>
    </row>
    <row r="66" spans="1:18" s="1783" customFormat="1" ht="24.6" thickBot="1">
      <c r="A66" s="763" t="s">
        <v>1305</v>
      </c>
      <c r="B66" s="2484" t="s">
        <v>2099</v>
      </c>
      <c r="C66" s="765" t="e">
        <f ca="1">C47-C57</f>
        <v>#N/A</v>
      </c>
      <c r="D66" s="2243" t="s">
        <v>647</v>
      </c>
      <c r="E66" s="2242"/>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2" customHeight="1"/>
  <cols>
    <col min="1" max="1" width="9.44140625" style="3065" customWidth="1"/>
    <col min="2" max="2" width="8.88671875" style="3065"/>
    <col min="3" max="5" width="12.88671875" style="3065" customWidth="1"/>
    <col min="6" max="6" width="47.44140625" style="3065" customWidth="1"/>
    <col min="7" max="7" width="13" style="3225" customWidth="1"/>
    <col min="8" max="8" width="8.88671875" style="3059"/>
    <col min="9" max="9" width="8.88671875" style="3060"/>
    <col min="10" max="10" width="5.77734375" style="3226" customWidth="1"/>
    <col min="11" max="11" width="11.77734375" style="3226" customWidth="1"/>
    <col min="12" max="13" width="10.77734375" style="3226" customWidth="1"/>
    <col min="14" max="14" width="10" style="3226" customWidth="1"/>
    <col min="15" max="16" width="10.44140625" style="3226" bestFit="1" customWidth="1"/>
    <col min="17" max="17" width="10" style="3226" customWidth="1"/>
    <col min="18" max="18" width="10.109375" style="3226" customWidth="1"/>
    <col min="19" max="19" width="10" style="3226" customWidth="1"/>
    <col min="20" max="20" width="26.109375" style="3226" customWidth="1"/>
    <col min="21" max="21" width="8.88671875" style="3226"/>
    <col min="22" max="22" width="8.88671875" style="3060"/>
    <col min="23" max="256" width="8.88671875" style="3065"/>
    <col min="257" max="257" width="9.44140625" style="3065" customWidth="1"/>
    <col min="258" max="258" width="8.88671875" style="3065"/>
    <col min="259" max="261" width="12.88671875" style="3065" customWidth="1"/>
    <col min="262" max="262" width="47.44140625" style="3065" customWidth="1"/>
    <col min="263" max="263" width="13" style="3065" customWidth="1"/>
    <col min="264" max="265" width="8.88671875" style="3065"/>
    <col min="266" max="266" width="5.77734375" style="3065" customWidth="1"/>
    <col min="267" max="267" width="11.77734375" style="3065" customWidth="1"/>
    <col min="268" max="269" width="10.77734375" style="3065" customWidth="1"/>
    <col min="270" max="270" width="10" style="3065" customWidth="1"/>
    <col min="271" max="272" width="10.44140625" style="3065" bestFit="1" customWidth="1"/>
    <col min="273" max="273" width="10" style="3065" customWidth="1"/>
    <col min="274" max="274" width="10.109375" style="3065" customWidth="1"/>
    <col min="275" max="275" width="10" style="3065" customWidth="1"/>
    <col min="276" max="276" width="26.109375" style="3065" customWidth="1"/>
    <col min="277" max="512" width="8.88671875" style="3065"/>
    <col min="513" max="513" width="9.44140625" style="3065" customWidth="1"/>
    <col min="514" max="514" width="8.88671875" style="3065"/>
    <col min="515" max="517" width="12.88671875" style="3065" customWidth="1"/>
    <col min="518" max="518" width="47.44140625" style="3065" customWidth="1"/>
    <col min="519" max="519" width="13" style="3065" customWidth="1"/>
    <col min="520" max="521" width="8.88671875" style="3065"/>
    <col min="522" max="522" width="5.77734375" style="3065" customWidth="1"/>
    <col min="523" max="523" width="11.77734375" style="3065" customWidth="1"/>
    <col min="524" max="525" width="10.77734375" style="3065" customWidth="1"/>
    <col min="526" max="526" width="10" style="3065" customWidth="1"/>
    <col min="527" max="528" width="10.44140625" style="3065" bestFit="1" customWidth="1"/>
    <col min="529" max="529" width="10" style="3065" customWidth="1"/>
    <col min="530" max="530" width="10.109375" style="3065" customWidth="1"/>
    <col min="531" max="531" width="10" style="3065" customWidth="1"/>
    <col min="532" max="532" width="26.109375" style="3065" customWidth="1"/>
    <col min="533" max="768" width="8.88671875" style="3065"/>
    <col min="769" max="769" width="9.44140625" style="3065" customWidth="1"/>
    <col min="770" max="770" width="8.88671875" style="3065"/>
    <col min="771" max="773" width="12.88671875" style="3065" customWidth="1"/>
    <col min="774" max="774" width="47.44140625" style="3065" customWidth="1"/>
    <col min="775" max="775" width="13" style="3065" customWidth="1"/>
    <col min="776" max="777" width="8.88671875" style="3065"/>
    <col min="778" max="778" width="5.77734375" style="3065" customWidth="1"/>
    <col min="779" max="779" width="11.77734375" style="3065" customWidth="1"/>
    <col min="780" max="781" width="10.77734375" style="3065" customWidth="1"/>
    <col min="782" max="782" width="10" style="3065" customWidth="1"/>
    <col min="783" max="784" width="10.44140625" style="3065" bestFit="1" customWidth="1"/>
    <col min="785" max="785" width="10" style="3065" customWidth="1"/>
    <col min="786" max="786" width="10.109375" style="3065" customWidth="1"/>
    <col min="787" max="787" width="10" style="3065" customWidth="1"/>
    <col min="788" max="788" width="26.109375" style="3065" customWidth="1"/>
    <col min="789" max="1024" width="8.88671875" style="3065"/>
    <col min="1025" max="1025" width="9.44140625" style="3065" customWidth="1"/>
    <col min="1026" max="1026" width="8.88671875" style="3065"/>
    <col min="1027" max="1029" width="12.88671875" style="3065" customWidth="1"/>
    <col min="1030" max="1030" width="47.44140625" style="3065" customWidth="1"/>
    <col min="1031" max="1031" width="13" style="3065" customWidth="1"/>
    <col min="1032" max="1033" width="8.88671875" style="3065"/>
    <col min="1034" max="1034" width="5.77734375" style="3065" customWidth="1"/>
    <col min="1035" max="1035" width="11.77734375" style="3065" customWidth="1"/>
    <col min="1036" max="1037" width="10.77734375" style="3065" customWidth="1"/>
    <col min="1038" max="1038" width="10" style="3065" customWidth="1"/>
    <col min="1039" max="1040" width="10.44140625" style="3065" bestFit="1" customWidth="1"/>
    <col min="1041" max="1041" width="10" style="3065" customWidth="1"/>
    <col min="1042" max="1042" width="10.109375" style="3065" customWidth="1"/>
    <col min="1043" max="1043" width="10" style="3065" customWidth="1"/>
    <col min="1044" max="1044" width="26.109375" style="3065" customWidth="1"/>
    <col min="1045" max="1280" width="8.88671875" style="3065"/>
    <col min="1281" max="1281" width="9.44140625" style="3065" customWidth="1"/>
    <col min="1282" max="1282" width="8.88671875" style="3065"/>
    <col min="1283" max="1285" width="12.88671875" style="3065" customWidth="1"/>
    <col min="1286" max="1286" width="47.44140625" style="3065" customWidth="1"/>
    <col min="1287" max="1287" width="13" style="3065" customWidth="1"/>
    <col min="1288" max="1289" width="8.88671875" style="3065"/>
    <col min="1290" max="1290" width="5.77734375" style="3065" customWidth="1"/>
    <col min="1291" max="1291" width="11.77734375" style="3065" customWidth="1"/>
    <col min="1292" max="1293" width="10.77734375" style="3065" customWidth="1"/>
    <col min="1294" max="1294" width="10" style="3065" customWidth="1"/>
    <col min="1295" max="1296" width="10.44140625" style="3065" bestFit="1" customWidth="1"/>
    <col min="1297" max="1297" width="10" style="3065" customWidth="1"/>
    <col min="1298" max="1298" width="10.109375" style="3065" customWidth="1"/>
    <col min="1299" max="1299" width="10" style="3065" customWidth="1"/>
    <col min="1300" max="1300" width="26.109375" style="3065" customWidth="1"/>
    <col min="1301" max="1536" width="8.88671875" style="3065"/>
    <col min="1537" max="1537" width="9.44140625" style="3065" customWidth="1"/>
    <col min="1538" max="1538" width="8.88671875" style="3065"/>
    <col min="1539" max="1541" width="12.88671875" style="3065" customWidth="1"/>
    <col min="1542" max="1542" width="47.44140625" style="3065" customWidth="1"/>
    <col min="1543" max="1543" width="13" style="3065" customWidth="1"/>
    <col min="1544" max="1545" width="8.88671875" style="3065"/>
    <col min="1546" max="1546" width="5.77734375" style="3065" customWidth="1"/>
    <col min="1547" max="1547" width="11.77734375" style="3065" customWidth="1"/>
    <col min="1548" max="1549" width="10.77734375" style="3065" customWidth="1"/>
    <col min="1550" max="1550" width="10" style="3065" customWidth="1"/>
    <col min="1551" max="1552" width="10.44140625" style="3065" bestFit="1" customWidth="1"/>
    <col min="1553" max="1553" width="10" style="3065" customWidth="1"/>
    <col min="1554" max="1554" width="10.109375" style="3065" customWidth="1"/>
    <col min="1555" max="1555" width="10" style="3065" customWidth="1"/>
    <col min="1556" max="1556" width="26.109375" style="3065" customWidth="1"/>
    <col min="1557" max="1792" width="8.88671875" style="3065"/>
    <col min="1793" max="1793" width="9.44140625" style="3065" customWidth="1"/>
    <col min="1794" max="1794" width="8.88671875" style="3065"/>
    <col min="1795" max="1797" width="12.88671875" style="3065" customWidth="1"/>
    <col min="1798" max="1798" width="47.44140625" style="3065" customWidth="1"/>
    <col min="1799" max="1799" width="13" style="3065" customWidth="1"/>
    <col min="1800" max="1801" width="8.88671875" style="3065"/>
    <col min="1802" max="1802" width="5.77734375" style="3065" customWidth="1"/>
    <col min="1803" max="1803" width="11.77734375" style="3065" customWidth="1"/>
    <col min="1804" max="1805" width="10.77734375" style="3065" customWidth="1"/>
    <col min="1806" max="1806" width="10" style="3065" customWidth="1"/>
    <col min="1807" max="1808" width="10.44140625" style="3065" bestFit="1" customWidth="1"/>
    <col min="1809" max="1809" width="10" style="3065" customWidth="1"/>
    <col min="1810" max="1810" width="10.109375" style="3065" customWidth="1"/>
    <col min="1811" max="1811" width="10" style="3065" customWidth="1"/>
    <col min="1812" max="1812" width="26.109375" style="3065" customWidth="1"/>
    <col min="1813" max="2048" width="8.88671875" style="3065"/>
    <col min="2049" max="2049" width="9.44140625" style="3065" customWidth="1"/>
    <col min="2050" max="2050" width="8.88671875" style="3065"/>
    <col min="2051" max="2053" width="12.88671875" style="3065" customWidth="1"/>
    <col min="2054" max="2054" width="47.44140625" style="3065" customWidth="1"/>
    <col min="2055" max="2055" width="13" style="3065" customWidth="1"/>
    <col min="2056" max="2057" width="8.88671875" style="3065"/>
    <col min="2058" max="2058" width="5.77734375" style="3065" customWidth="1"/>
    <col min="2059" max="2059" width="11.77734375" style="3065" customWidth="1"/>
    <col min="2060" max="2061" width="10.77734375" style="3065" customWidth="1"/>
    <col min="2062" max="2062" width="10" style="3065" customWidth="1"/>
    <col min="2063" max="2064" width="10.44140625" style="3065" bestFit="1" customWidth="1"/>
    <col min="2065" max="2065" width="10" style="3065" customWidth="1"/>
    <col min="2066" max="2066" width="10.109375" style="3065" customWidth="1"/>
    <col min="2067" max="2067" width="10" style="3065" customWidth="1"/>
    <col min="2068" max="2068" width="26.109375" style="3065" customWidth="1"/>
    <col min="2069" max="2304" width="8.88671875" style="3065"/>
    <col min="2305" max="2305" width="9.44140625" style="3065" customWidth="1"/>
    <col min="2306" max="2306" width="8.88671875" style="3065"/>
    <col min="2307" max="2309" width="12.88671875" style="3065" customWidth="1"/>
    <col min="2310" max="2310" width="47.44140625" style="3065" customWidth="1"/>
    <col min="2311" max="2311" width="13" style="3065" customWidth="1"/>
    <col min="2312" max="2313" width="8.88671875" style="3065"/>
    <col min="2314" max="2314" width="5.77734375" style="3065" customWidth="1"/>
    <col min="2315" max="2315" width="11.77734375" style="3065" customWidth="1"/>
    <col min="2316" max="2317" width="10.77734375" style="3065" customWidth="1"/>
    <col min="2318" max="2318" width="10" style="3065" customWidth="1"/>
    <col min="2319" max="2320" width="10.44140625" style="3065" bestFit="1" customWidth="1"/>
    <col min="2321" max="2321" width="10" style="3065" customWidth="1"/>
    <col min="2322" max="2322" width="10.109375" style="3065" customWidth="1"/>
    <col min="2323" max="2323" width="10" style="3065" customWidth="1"/>
    <col min="2324" max="2324" width="26.109375" style="3065" customWidth="1"/>
    <col min="2325" max="2560" width="8.88671875" style="3065"/>
    <col min="2561" max="2561" width="9.44140625" style="3065" customWidth="1"/>
    <col min="2562" max="2562" width="8.88671875" style="3065"/>
    <col min="2563" max="2565" width="12.88671875" style="3065" customWidth="1"/>
    <col min="2566" max="2566" width="47.44140625" style="3065" customWidth="1"/>
    <col min="2567" max="2567" width="13" style="3065" customWidth="1"/>
    <col min="2568" max="2569" width="8.88671875" style="3065"/>
    <col min="2570" max="2570" width="5.77734375" style="3065" customWidth="1"/>
    <col min="2571" max="2571" width="11.77734375" style="3065" customWidth="1"/>
    <col min="2572" max="2573" width="10.77734375" style="3065" customWidth="1"/>
    <col min="2574" max="2574" width="10" style="3065" customWidth="1"/>
    <col min="2575" max="2576" width="10.44140625" style="3065" bestFit="1" customWidth="1"/>
    <col min="2577" max="2577" width="10" style="3065" customWidth="1"/>
    <col min="2578" max="2578" width="10.109375" style="3065" customWidth="1"/>
    <col min="2579" max="2579" width="10" style="3065" customWidth="1"/>
    <col min="2580" max="2580" width="26.109375" style="3065" customWidth="1"/>
    <col min="2581" max="2816" width="8.88671875" style="3065"/>
    <col min="2817" max="2817" width="9.44140625" style="3065" customWidth="1"/>
    <col min="2818" max="2818" width="8.88671875" style="3065"/>
    <col min="2819" max="2821" width="12.88671875" style="3065" customWidth="1"/>
    <col min="2822" max="2822" width="47.44140625" style="3065" customWidth="1"/>
    <col min="2823" max="2823" width="13" style="3065" customWidth="1"/>
    <col min="2824" max="2825" width="8.88671875" style="3065"/>
    <col min="2826" max="2826" width="5.77734375" style="3065" customWidth="1"/>
    <col min="2827" max="2827" width="11.77734375" style="3065" customWidth="1"/>
    <col min="2828" max="2829" width="10.77734375" style="3065" customWidth="1"/>
    <col min="2830" max="2830" width="10" style="3065" customWidth="1"/>
    <col min="2831" max="2832" width="10.44140625" style="3065" bestFit="1" customWidth="1"/>
    <col min="2833" max="2833" width="10" style="3065" customWidth="1"/>
    <col min="2834" max="2834" width="10.109375" style="3065" customWidth="1"/>
    <col min="2835" max="2835" width="10" style="3065" customWidth="1"/>
    <col min="2836" max="2836" width="26.109375" style="3065" customWidth="1"/>
    <col min="2837" max="3072" width="8.88671875" style="3065"/>
    <col min="3073" max="3073" width="9.44140625" style="3065" customWidth="1"/>
    <col min="3074" max="3074" width="8.88671875" style="3065"/>
    <col min="3075" max="3077" width="12.88671875" style="3065" customWidth="1"/>
    <col min="3078" max="3078" width="47.44140625" style="3065" customWidth="1"/>
    <col min="3079" max="3079" width="13" style="3065" customWidth="1"/>
    <col min="3080" max="3081" width="8.88671875" style="3065"/>
    <col min="3082" max="3082" width="5.77734375" style="3065" customWidth="1"/>
    <col min="3083" max="3083" width="11.77734375" style="3065" customWidth="1"/>
    <col min="3084" max="3085" width="10.77734375" style="3065" customWidth="1"/>
    <col min="3086" max="3086" width="10" style="3065" customWidth="1"/>
    <col min="3087" max="3088" width="10.44140625" style="3065" bestFit="1" customWidth="1"/>
    <col min="3089" max="3089" width="10" style="3065" customWidth="1"/>
    <col min="3090" max="3090" width="10.109375" style="3065" customWidth="1"/>
    <col min="3091" max="3091" width="10" style="3065" customWidth="1"/>
    <col min="3092" max="3092" width="26.109375" style="3065" customWidth="1"/>
    <col min="3093" max="3328" width="8.88671875" style="3065"/>
    <col min="3329" max="3329" width="9.44140625" style="3065" customWidth="1"/>
    <col min="3330" max="3330" width="8.88671875" style="3065"/>
    <col min="3331" max="3333" width="12.88671875" style="3065" customWidth="1"/>
    <col min="3334" max="3334" width="47.44140625" style="3065" customWidth="1"/>
    <col min="3335" max="3335" width="13" style="3065" customWidth="1"/>
    <col min="3336" max="3337" width="8.88671875" style="3065"/>
    <col min="3338" max="3338" width="5.77734375" style="3065" customWidth="1"/>
    <col min="3339" max="3339" width="11.77734375" style="3065" customWidth="1"/>
    <col min="3340" max="3341" width="10.77734375" style="3065" customWidth="1"/>
    <col min="3342" max="3342" width="10" style="3065" customWidth="1"/>
    <col min="3343" max="3344" width="10.44140625" style="3065" bestFit="1" customWidth="1"/>
    <col min="3345" max="3345" width="10" style="3065" customWidth="1"/>
    <col min="3346" max="3346" width="10.109375" style="3065" customWidth="1"/>
    <col min="3347" max="3347" width="10" style="3065" customWidth="1"/>
    <col min="3348" max="3348" width="26.109375" style="3065" customWidth="1"/>
    <col min="3349" max="3584" width="8.88671875" style="3065"/>
    <col min="3585" max="3585" width="9.44140625" style="3065" customWidth="1"/>
    <col min="3586" max="3586" width="8.88671875" style="3065"/>
    <col min="3587" max="3589" width="12.88671875" style="3065" customWidth="1"/>
    <col min="3590" max="3590" width="47.44140625" style="3065" customWidth="1"/>
    <col min="3591" max="3591" width="13" style="3065" customWidth="1"/>
    <col min="3592" max="3593" width="8.88671875" style="3065"/>
    <col min="3594" max="3594" width="5.77734375" style="3065" customWidth="1"/>
    <col min="3595" max="3595" width="11.77734375" style="3065" customWidth="1"/>
    <col min="3596" max="3597" width="10.77734375" style="3065" customWidth="1"/>
    <col min="3598" max="3598" width="10" style="3065" customWidth="1"/>
    <col min="3599" max="3600" width="10.44140625" style="3065" bestFit="1" customWidth="1"/>
    <col min="3601" max="3601" width="10" style="3065" customWidth="1"/>
    <col min="3602" max="3602" width="10.109375" style="3065" customWidth="1"/>
    <col min="3603" max="3603" width="10" style="3065" customWidth="1"/>
    <col min="3604" max="3604" width="26.109375" style="3065" customWidth="1"/>
    <col min="3605" max="3840" width="8.88671875" style="3065"/>
    <col min="3841" max="3841" width="9.44140625" style="3065" customWidth="1"/>
    <col min="3842" max="3842" width="8.88671875" style="3065"/>
    <col min="3843" max="3845" width="12.88671875" style="3065" customWidth="1"/>
    <col min="3846" max="3846" width="47.44140625" style="3065" customWidth="1"/>
    <col min="3847" max="3847" width="13" style="3065" customWidth="1"/>
    <col min="3848" max="3849" width="8.88671875" style="3065"/>
    <col min="3850" max="3850" width="5.77734375" style="3065" customWidth="1"/>
    <col min="3851" max="3851" width="11.77734375" style="3065" customWidth="1"/>
    <col min="3852" max="3853" width="10.77734375" style="3065" customWidth="1"/>
    <col min="3854" max="3854" width="10" style="3065" customWidth="1"/>
    <col min="3855" max="3856" width="10.44140625" style="3065" bestFit="1" customWidth="1"/>
    <col min="3857" max="3857" width="10" style="3065" customWidth="1"/>
    <col min="3858" max="3858" width="10.109375" style="3065" customWidth="1"/>
    <col min="3859" max="3859" width="10" style="3065" customWidth="1"/>
    <col min="3860" max="3860" width="26.109375" style="3065" customWidth="1"/>
    <col min="3861" max="4096" width="8.88671875" style="3065"/>
    <col min="4097" max="4097" width="9.44140625" style="3065" customWidth="1"/>
    <col min="4098" max="4098" width="8.88671875" style="3065"/>
    <col min="4099" max="4101" width="12.88671875" style="3065" customWidth="1"/>
    <col min="4102" max="4102" width="47.44140625" style="3065" customWidth="1"/>
    <col min="4103" max="4103" width="13" style="3065" customWidth="1"/>
    <col min="4104" max="4105" width="8.88671875" style="3065"/>
    <col min="4106" max="4106" width="5.77734375" style="3065" customWidth="1"/>
    <col min="4107" max="4107" width="11.77734375" style="3065" customWidth="1"/>
    <col min="4108" max="4109" width="10.77734375" style="3065" customWidth="1"/>
    <col min="4110" max="4110" width="10" style="3065" customWidth="1"/>
    <col min="4111" max="4112" width="10.44140625" style="3065" bestFit="1" customWidth="1"/>
    <col min="4113" max="4113" width="10" style="3065" customWidth="1"/>
    <col min="4114" max="4114" width="10.109375" style="3065" customWidth="1"/>
    <col min="4115" max="4115" width="10" style="3065" customWidth="1"/>
    <col min="4116" max="4116" width="26.109375" style="3065" customWidth="1"/>
    <col min="4117" max="4352" width="8.88671875" style="3065"/>
    <col min="4353" max="4353" width="9.44140625" style="3065" customWidth="1"/>
    <col min="4354" max="4354" width="8.88671875" style="3065"/>
    <col min="4355" max="4357" width="12.88671875" style="3065" customWidth="1"/>
    <col min="4358" max="4358" width="47.44140625" style="3065" customWidth="1"/>
    <col min="4359" max="4359" width="13" style="3065" customWidth="1"/>
    <col min="4360" max="4361" width="8.88671875" style="3065"/>
    <col min="4362" max="4362" width="5.77734375" style="3065" customWidth="1"/>
    <col min="4363" max="4363" width="11.77734375" style="3065" customWidth="1"/>
    <col min="4364" max="4365" width="10.77734375" style="3065" customWidth="1"/>
    <col min="4366" max="4366" width="10" style="3065" customWidth="1"/>
    <col min="4367" max="4368" width="10.44140625" style="3065" bestFit="1" customWidth="1"/>
    <col min="4369" max="4369" width="10" style="3065" customWidth="1"/>
    <col min="4370" max="4370" width="10.109375" style="3065" customWidth="1"/>
    <col min="4371" max="4371" width="10" style="3065" customWidth="1"/>
    <col min="4372" max="4372" width="26.109375" style="3065" customWidth="1"/>
    <col min="4373" max="4608" width="8.88671875" style="3065"/>
    <col min="4609" max="4609" width="9.44140625" style="3065" customWidth="1"/>
    <col min="4610" max="4610" width="8.88671875" style="3065"/>
    <col min="4611" max="4613" width="12.88671875" style="3065" customWidth="1"/>
    <col min="4614" max="4614" width="47.44140625" style="3065" customWidth="1"/>
    <col min="4615" max="4615" width="13" style="3065" customWidth="1"/>
    <col min="4616" max="4617" width="8.88671875" style="3065"/>
    <col min="4618" max="4618" width="5.77734375" style="3065" customWidth="1"/>
    <col min="4619" max="4619" width="11.77734375" style="3065" customWidth="1"/>
    <col min="4620" max="4621" width="10.77734375" style="3065" customWidth="1"/>
    <col min="4622" max="4622" width="10" style="3065" customWidth="1"/>
    <col min="4623" max="4624" width="10.44140625" style="3065" bestFit="1" customWidth="1"/>
    <col min="4625" max="4625" width="10" style="3065" customWidth="1"/>
    <col min="4626" max="4626" width="10.109375" style="3065" customWidth="1"/>
    <col min="4627" max="4627" width="10" style="3065" customWidth="1"/>
    <col min="4628" max="4628" width="26.109375" style="3065" customWidth="1"/>
    <col min="4629" max="4864" width="8.88671875" style="3065"/>
    <col min="4865" max="4865" width="9.44140625" style="3065" customWidth="1"/>
    <col min="4866" max="4866" width="8.88671875" style="3065"/>
    <col min="4867" max="4869" width="12.88671875" style="3065" customWidth="1"/>
    <col min="4870" max="4870" width="47.44140625" style="3065" customWidth="1"/>
    <col min="4871" max="4871" width="13" style="3065" customWidth="1"/>
    <col min="4872" max="4873" width="8.88671875" style="3065"/>
    <col min="4874" max="4874" width="5.77734375" style="3065" customWidth="1"/>
    <col min="4875" max="4875" width="11.77734375" style="3065" customWidth="1"/>
    <col min="4876" max="4877" width="10.77734375" style="3065" customWidth="1"/>
    <col min="4878" max="4878" width="10" style="3065" customWidth="1"/>
    <col min="4879" max="4880" width="10.44140625" style="3065" bestFit="1" customWidth="1"/>
    <col min="4881" max="4881" width="10" style="3065" customWidth="1"/>
    <col min="4882" max="4882" width="10.109375" style="3065" customWidth="1"/>
    <col min="4883" max="4883" width="10" style="3065" customWidth="1"/>
    <col min="4884" max="4884" width="26.109375" style="3065" customWidth="1"/>
    <col min="4885" max="5120" width="8.88671875" style="3065"/>
    <col min="5121" max="5121" width="9.44140625" style="3065" customWidth="1"/>
    <col min="5122" max="5122" width="8.88671875" style="3065"/>
    <col min="5123" max="5125" width="12.88671875" style="3065" customWidth="1"/>
    <col min="5126" max="5126" width="47.44140625" style="3065" customWidth="1"/>
    <col min="5127" max="5127" width="13" style="3065" customWidth="1"/>
    <col min="5128" max="5129" width="8.88671875" style="3065"/>
    <col min="5130" max="5130" width="5.77734375" style="3065" customWidth="1"/>
    <col min="5131" max="5131" width="11.77734375" style="3065" customWidth="1"/>
    <col min="5132" max="5133" width="10.77734375" style="3065" customWidth="1"/>
    <col min="5134" max="5134" width="10" style="3065" customWidth="1"/>
    <col min="5135" max="5136" width="10.44140625" style="3065" bestFit="1" customWidth="1"/>
    <col min="5137" max="5137" width="10" style="3065" customWidth="1"/>
    <col min="5138" max="5138" width="10.109375" style="3065" customWidth="1"/>
    <col min="5139" max="5139" width="10" style="3065" customWidth="1"/>
    <col min="5140" max="5140" width="26.109375" style="3065" customWidth="1"/>
    <col min="5141" max="5376" width="8.88671875" style="3065"/>
    <col min="5377" max="5377" width="9.44140625" style="3065" customWidth="1"/>
    <col min="5378" max="5378" width="8.88671875" style="3065"/>
    <col min="5379" max="5381" width="12.88671875" style="3065" customWidth="1"/>
    <col min="5382" max="5382" width="47.44140625" style="3065" customWidth="1"/>
    <col min="5383" max="5383" width="13" style="3065" customWidth="1"/>
    <col min="5384" max="5385" width="8.88671875" style="3065"/>
    <col min="5386" max="5386" width="5.77734375" style="3065" customWidth="1"/>
    <col min="5387" max="5387" width="11.77734375" style="3065" customWidth="1"/>
    <col min="5388" max="5389" width="10.77734375" style="3065" customWidth="1"/>
    <col min="5390" max="5390" width="10" style="3065" customWidth="1"/>
    <col min="5391" max="5392" width="10.44140625" style="3065" bestFit="1" customWidth="1"/>
    <col min="5393" max="5393" width="10" style="3065" customWidth="1"/>
    <col min="5394" max="5394" width="10.109375" style="3065" customWidth="1"/>
    <col min="5395" max="5395" width="10" style="3065" customWidth="1"/>
    <col min="5396" max="5396" width="26.109375" style="3065" customWidth="1"/>
    <col min="5397" max="5632" width="8.88671875" style="3065"/>
    <col min="5633" max="5633" width="9.44140625" style="3065" customWidth="1"/>
    <col min="5634" max="5634" width="8.88671875" style="3065"/>
    <col min="5635" max="5637" width="12.88671875" style="3065" customWidth="1"/>
    <col min="5638" max="5638" width="47.44140625" style="3065" customWidth="1"/>
    <col min="5639" max="5639" width="13" style="3065" customWidth="1"/>
    <col min="5640" max="5641" width="8.88671875" style="3065"/>
    <col min="5642" max="5642" width="5.77734375" style="3065" customWidth="1"/>
    <col min="5643" max="5643" width="11.77734375" style="3065" customWidth="1"/>
    <col min="5644" max="5645" width="10.77734375" style="3065" customWidth="1"/>
    <col min="5646" max="5646" width="10" style="3065" customWidth="1"/>
    <col min="5647" max="5648" width="10.44140625" style="3065" bestFit="1" customWidth="1"/>
    <col min="5649" max="5649" width="10" style="3065" customWidth="1"/>
    <col min="5650" max="5650" width="10.109375" style="3065" customWidth="1"/>
    <col min="5651" max="5651" width="10" style="3065" customWidth="1"/>
    <col min="5652" max="5652" width="26.109375" style="3065" customWidth="1"/>
    <col min="5653" max="5888" width="8.88671875" style="3065"/>
    <col min="5889" max="5889" width="9.44140625" style="3065" customWidth="1"/>
    <col min="5890" max="5890" width="8.88671875" style="3065"/>
    <col min="5891" max="5893" width="12.88671875" style="3065" customWidth="1"/>
    <col min="5894" max="5894" width="47.44140625" style="3065" customWidth="1"/>
    <col min="5895" max="5895" width="13" style="3065" customWidth="1"/>
    <col min="5896" max="5897" width="8.88671875" style="3065"/>
    <col min="5898" max="5898" width="5.77734375" style="3065" customWidth="1"/>
    <col min="5899" max="5899" width="11.77734375" style="3065" customWidth="1"/>
    <col min="5900" max="5901" width="10.77734375" style="3065" customWidth="1"/>
    <col min="5902" max="5902" width="10" style="3065" customWidth="1"/>
    <col min="5903" max="5904" width="10.44140625" style="3065" bestFit="1" customWidth="1"/>
    <col min="5905" max="5905" width="10" style="3065" customWidth="1"/>
    <col min="5906" max="5906" width="10.109375" style="3065" customWidth="1"/>
    <col min="5907" max="5907" width="10" style="3065" customWidth="1"/>
    <col min="5908" max="5908" width="26.109375" style="3065" customWidth="1"/>
    <col min="5909" max="6144" width="8.88671875" style="3065"/>
    <col min="6145" max="6145" width="9.44140625" style="3065" customWidth="1"/>
    <col min="6146" max="6146" width="8.88671875" style="3065"/>
    <col min="6147" max="6149" width="12.88671875" style="3065" customWidth="1"/>
    <col min="6150" max="6150" width="47.44140625" style="3065" customWidth="1"/>
    <col min="6151" max="6151" width="13" style="3065" customWidth="1"/>
    <col min="6152" max="6153" width="8.88671875" style="3065"/>
    <col min="6154" max="6154" width="5.77734375" style="3065" customWidth="1"/>
    <col min="6155" max="6155" width="11.77734375" style="3065" customWidth="1"/>
    <col min="6156" max="6157" width="10.77734375" style="3065" customWidth="1"/>
    <col min="6158" max="6158" width="10" style="3065" customWidth="1"/>
    <col min="6159" max="6160" width="10.44140625" style="3065" bestFit="1" customWidth="1"/>
    <col min="6161" max="6161" width="10" style="3065" customWidth="1"/>
    <col min="6162" max="6162" width="10.109375" style="3065" customWidth="1"/>
    <col min="6163" max="6163" width="10" style="3065" customWidth="1"/>
    <col min="6164" max="6164" width="26.109375" style="3065" customWidth="1"/>
    <col min="6165" max="6400" width="8.88671875" style="3065"/>
    <col min="6401" max="6401" width="9.44140625" style="3065" customWidth="1"/>
    <col min="6402" max="6402" width="8.88671875" style="3065"/>
    <col min="6403" max="6405" width="12.88671875" style="3065" customWidth="1"/>
    <col min="6406" max="6406" width="47.44140625" style="3065" customWidth="1"/>
    <col min="6407" max="6407" width="13" style="3065" customWidth="1"/>
    <col min="6408" max="6409" width="8.88671875" style="3065"/>
    <col min="6410" max="6410" width="5.77734375" style="3065" customWidth="1"/>
    <col min="6411" max="6411" width="11.77734375" style="3065" customWidth="1"/>
    <col min="6412" max="6413" width="10.77734375" style="3065" customWidth="1"/>
    <col min="6414" max="6414" width="10" style="3065" customWidth="1"/>
    <col min="6415" max="6416" width="10.44140625" style="3065" bestFit="1" customWidth="1"/>
    <col min="6417" max="6417" width="10" style="3065" customWidth="1"/>
    <col min="6418" max="6418" width="10.109375" style="3065" customWidth="1"/>
    <col min="6419" max="6419" width="10" style="3065" customWidth="1"/>
    <col min="6420" max="6420" width="26.109375" style="3065" customWidth="1"/>
    <col min="6421" max="6656" width="8.88671875" style="3065"/>
    <col min="6657" max="6657" width="9.44140625" style="3065" customWidth="1"/>
    <col min="6658" max="6658" width="8.88671875" style="3065"/>
    <col min="6659" max="6661" width="12.88671875" style="3065" customWidth="1"/>
    <col min="6662" max="6662" width="47.44140625" style="3065" customWidth="1"/>
    <col min="6663" max="6663" width="13" style="3065" customWidth="1"/>
    <col min="6664" max="6665" width="8.88671875" style="3065"/>
    <col min="6666" max="6666" width="5.77734375" style="3065" customWidth="1"/>
    <col min="6667" max="6667" width="11.77734375" style="3065" customWidth="1"/>
    <col min="6668" max="6669" width="10.77734375" style="3065" customWidth="1"/>
    <col min="6670" max="6670" width="10" style="3065" customWidth="1"/>
    <col min="6671" max="6672" width="10.44140625" style="3065" bestFit="1" customWidth="1"/>
    <col min="6673" max="6673" width="10" style="3065" customWidth="1"/>
    <col min="6674" max="6674" width="10.109375" style="3065" customWidth="1"/>
    <col min="6675" max="6675" width="10" style="3065" customWidth="1"/>
    <col min="6676" max="6676" width="26.109375" style="3065" customWidth="1"/>
    <col min="6677" max="6912" width="8.88671875" style="3065"/>
    <col min="6913" max="6913" width="9.44140625" style="3065" customWidth="1"/>
    <col min="6914" max="6914" width="8.88671875" style="3065"/>
    <col min="6915" max="6917" width="12.88671875" style="3065" customWidth="1"/>
    <col min="6918" max="6918" width="47.44140625" style="3065" customWidth="1"/>
    <col min="6919" max="6919" width="13" style="3065" customWidth="1"/>
    <col min="6920" max="6921" width="8.88671875" style="3065"/>
    <col min="6922" max="6922" width="5.77734375" style="3065" customWidth="1"/>
    <col min="6923" max="6923" width="11.77734375" style="3065" customWidth="1"/>
    <col min="6924" max="6925" width="10.77734375" style="3065" customWidth="1"/>
    <col min="6926" max="6926" width="10" style="3065" customWidth="1"/>
    <col min="6927" max="6928" width="10.44140625" style="3065" bestFit="1" customWidth="1"/>
    <col min="6929" max="6929" width="10" style="3065" customWidth="1"/>
    <col min="6930" max="6930" width="10.109375" style="3065" customWidth="1"/>
    <col min="6931" max="6931" width="10" style="3065" customWidth="1"/>
    <col min="6932" max="6932" width="26.109375" style="3065" customWidth="1"/>
    <col min="6933" max="7168" width="8.88671875" style="3065"/>
    <col min="7169" max="7169" width="9.44140625" style="3065" customWidth="1"/>
    <col min="7170" max="7170" width="8.88671875" style="3065"/>
    <col min="7171" max="7173" width="12.88671875" style="3065" customWidth="1"/>
    <col min="7174" max="7174" width="47.44140625" style="3065" customWidth="1"/>
    <col min="7175" max="7175" width="13" style="3065" customWidth="1"/>
    <col min="7176" max="7177" width="8.88671875" style="3065"/>
    <col min="7178" max="7178" width="5.77734375" style="3065" customWidth="1"/>
    <col min="7179" max="7179" width="11.77734375" style="3065" customWidth="1"/>
    <col min="7180" max="7181" width="10.77734375" style="3065" customWidth="1"/>
    <col min="7182" max="7182" width="10" style="3065" customWidth="1"/>
    <col min="7183" max="7184" width="10.44140625" style="3065" bestFit="1" customWidth="1"/>
    <col min="7185" max="7185" width="10" style="3065" customWidth="1"/>
    <col min="7186" max="7186" width="10.109375" style="3065" customWidth="1"/>
    <col min="7187" max="7187" width="10" style="3065" customWidth="1"/>
    <col min="7188" max="7188" width="26.109375" style="3065" customWidth="1"/>
    <col min="7189" max="7424" width="8.88671875" style="3065"/>
    <col min="7425" max="7425" width="9.44140625" style="3065" customWidth="1"/>
    <col min="7426" max="7426" width="8.88671875" style="3065"/>
    <col min="7427" max="7429" width="12.88671875" style="3065" customWidth="1"/>
    <col min="7430" max="7430" width="47.44140625" style="3065" customWidth="1"/>
    <col min="7431" max="7431" width="13" style="3065" customWidth="1"/>
    <col min="7432" max="7433" width="8.88671875" style="3065"/>
    <col min="7434" max="7434" width="5.77734375" style="3065" customWidth="1"/>
    <col min="7435" max="7435" width="11.77734375" style="3065" customWidth="1"/>
    <col min="7436" max="7437" width="10.77734375" style="3065" customWidth="1"/>
    <col min="7438" max="7438" width="10" style="3065" customWidth="1"/>
    <col min="7439" max="7440" width="10.44140625" style="3065" bestFit="1" customWidth="1"/>
    <col min="7441" max="7441" width="10" style="3065" customWidth="1"/>
    <col min="7442" max="7442" width="10.109375" style="3065" customWidth="1"/>
    <col min="7443" max="7443" width="10" style="3065" customWidth="1"/>
    <col min="7444" max="7444" width="26.109375" style="3065" customWidth="1"/>
    <col min="7445" max="7680" width="8.88671875" style="3065"/>
    <col min="7681" max="7681" width="9.44140625" style="3065" customWidth="1"/>
    <col min="7682" max="7682" width="8.88671875" style="3065"/>
    <col min="7683" max="7685" width="12.88671875" style="3065" customWidth="1"/>
    <col min="7686" max="7686" width="47.44140625" style="3065" customWidth="1"/>
    <col min="7687" max="7687" width="13" style="3065" customWidth="1"/>
    <col min="7688" max="7689" width="8.88671875" style="3065"/>
    <col min="7690" max="7690" width="5.77734375" style="3065" customWidth="1"/>
    <col min="7691" max="7691" width="11.77734375" style="3065" customWidth="1"/>
    <col min="7692" max="7693" width="10.77734375" style="3065" customWidth="1"/>
    <col min="7694" max="7694" width="10" style="3065" customWidth="1"/>
    <col min="7695" max="7696" width="10.44140625" style="3065" bestFit="1" customWidth="1"/>
    <col min="7697" max="7697" width="10" style="3065" customWidth="1"/>
    <col min="7698" max="7698" width="10.109375" style="3065" customWidth="1"/>
    <col min="7699" max="7699" width="10" style="3065" customWidth="1"/>
    <col min="7700" max="7700" width="26.109375" style="3065" customWidth="1"/>
    <col min="7701" max="7936" width="8.88671875" style="3065"/>
    <col min="7937" max="7937" width="9.44140625" style="3065" customWidth="1"/>
    <col min="7938" max="7938" width="8.88671875" style="3065"/>
    <col min="7939" max="7941" width="12.88671875" style="3065" customWidth="1"/>
    <col min="7942" max="7942" width="47.44140625" style="3065" customWidth="1"/>
    <col min="7943" max="7943" width="13" style="3065" customWidth="1"/>
    <col min="7944" max="7945" width="8.88671875" style="3065"/>
    <col min="7946" max="7946" width="5.77734375" style="3065" customWidth="1"/>
    <col min="7947" max="7947" width="11.77734375" style="3065" customWidth="1"/>
    <col min="7948" max="7949" width="10.77734375" style="3065" customWidth="1"/>
    <col min="7950" max="7950" width="10" style="3065" customWidth="1"/>
    <col min="7951" max="7952" width="10.44140625" style="3065" bestFit="1" customWidth="1"/>
    <col min="7953" max="7953" width="10" style="3065" customWidth="1"/>
    <col min="7954" max="7954" width="10.109375" style="3065" customWidth="1"/>
    <col min="7955" max="7955" width="10" style="3065" customWidth="1"/>
    <col min="7956" max="7956" width="26.109375" style="3065" customWidth="1"/>
    <col min="7957" max="8192" width="8.88671875" style="3065"/>
    <col min="8193" max="8193" width="9.44140625" style="3065" customWidth="1"/>
    <col min="8194" max="8194" width="8.88671875" style="3065"/>
    <col min="8195" max="8197" width="12.88671875" style="3065" customWidth="1"/>
    <col min="8198" max="8198" width="47.44140625" style="3065" customWidth="1"/>
    <col min="8199" max="8199" width="13" style="3065" customWidth="1"/>
    <col min="8200" max="8201" width="8.88671875" style="3065"/>
    <col min="8202" max="8202" width="5.77734375" style="3065" customWidth="1"/>
    <col min="8203" max="8203" width="11.77734375" style="3065" customWidth="1"/>
    <col min="8204" max="8205" width="10.77734375" style="3065" customWidth="1"/>
    <col min="8206" max="8206" width="10" style="3065" customWidth="1"/>
    <col min="8207" max="8208" width="10.44140625" style="3065" bestFit="1" customWidth="1"/>
    <col min="8209" max="8209" width="10" style="3065" customWidth="1"/>
    <col min="8210" max="8210" width="10.109375" style="3065" customWidth="1"/>
    <col min="8211" max="8211" width="10" style="3065" customWidth="1"/>
    <col min="8212" max="8212" width="26.109375" style="3065" customWidth="1"/>
    <col min="8213" max="8448" width="8.88671875" style="3065"/>
    <col min="8449" max="8449" width="9.44140625" style="3065" customWidth="1"/>
    <col min="8450" max="8450" width="8.88671875" style="3065"/>
    <col min="8451" max="8453" width="12.88671875" style="3065" customWidth="1"/>
    <col min="8454" max="8454" width="47.44140625" style="3065" customWidth="1"/>
    <col min="8455" max="8455" width="13" style="3065" customWidth="1"/>
    <col min="8456" max="8457" width="8.88671875" style="3065"/>
    <col min="8458" max="8458" width="5.77734375" style="3065" customWidth="1"/>
    <col min="8459" max="8459" width="11.77734375" style="3065" customWidth="1"/>
    <col min="8460" max="8461" width="10.77734375" style="3065" customWidth="1"/>
    <col min="8462" max="8462" width="10" style="3065" customWidth="1"/>
    <col min="8463" max="8464" width="10.44140625" style="3065" bestFit="1" customWidth="1"/>
    <col min="8465" max="8465" width="10" style="3065" customWidth="1"/>
    <col min="8466" max="8466" width="10.109375" style="3065" customWidth="1"/>
    <col min="8467" max="8467" width="10" style="3065" customWidth="1"/>
    <col min="8468" max="8468" width="26.109375" style="3065" customWidth="1"/>
    <col min="8469" max="8704" width="8.88671875" style="3065"/>
    <col min="8705" max="8705" width="9.44140625" style="3065" customWidth="1"/>
    <col min="8706" max="8706" width="8.88671875" style="3065"/>
    <col min="8707" max="8709" width="12.88671875" style="3065" customWidth="1"/>
    <col min="8710" max="8710" width="47.44140625" style="3065" customWidth="1"/>
    <col min="8711" max="8711" width="13" style="3065" customWidth="1"/>
    <col min="8712" max="8713" width="8.88671875" style="3065"/>
    <col min="8714" max="8714" width="5.77734375" style="3065" customWidth="1"/>
    <col min="8715" max="8715" width="11.77734375" style="3065" customWidth="1"/>
    <col min="8716" max="8717" width="10.77734375" style="3065" customWidth="1"/>
    <col min="8718" max="8718" width="10" style="3065" customWidth="1"/>
    <col min="8719" max="8720" width="10.44140625" style="3065" bestFit="1" customWidth="1"/>
    <col min="8721" max="8721" width="10" style="3065" customWidth="1"/>
    <col min="8722" max="8722" width="10.109375" style="3065" customWidth="1"/>
    <col min="8723" max="8723" width="10" style="3065" customWidth="1"/>
    <col min="8724" max="8724" width="26.109375" style="3065" customWidth="1"/>
    <col min="8725" max="8960" width="8.88671875" style="3065"/>
    <col min="8961" max="8961" width="9.44140625" style="3065" customWidth="1"/>
    <col min="8962" max="8962" width="8.88671875" style="3065"/>
    <col min="8963" max="8965" width="12.88671875" style="3065" customWidth="1"/>
    <col min="8966" max="8966" width="47.44140625" style="3065" customWidth="1"/>
    <col min="8967" max="8967" width="13" style="3065" customWidth="1"/>
    <col min="8968" max="8969" width="8.88671875" style="3065"/>
    <col min="8970" max="8970" width="5.77734375" style="3065" customWidth="1"/>
    <col min="8971" max="8971" width="11.77734375" style="3065" customWidth="1"/>
    <col min="8972" max="8973" width="10.77734375" style="3065" customWidth="1"/>
    <col min="8974" max="8974" width="10" style="3065" customWidth="1"/>
    <col min="8975" max="8976" width="10.44140625" style="3065" bestFit="1" customWidth="1"/>
    <col min="8977" max="8977" width="10" style="3065" customWidth="1"/>
    <col min="8978" max="8978" width="10.109375" style="3065" customWidth="1"/>
    <col min="8979" max="8979" width="10" style="3065" customWidth="1"/>
    <col min="8980" max="8980" width="26.109375" style="3065" customWidth="1"/>
    <col min="8981" max="9216" width="8.88671875" style="3065"/>
    <col min="9217" max="9217" width="9.44140625" style="3065" customWidth="1"/>
    <col min="9218" max="9218" width="8.88671875" style="3065"/>
    <col min="9219" max="9221" width="12.88671875" style="3065" customWidth="1"/>
    <col min="9222" max="9222" width="47.44140625" style="3065" customWidth="1"/>
    <col min="9223" max="9223" width="13" style="3065" customWidth="1"/>
    <col min="9224" max="9225" width="8.88671875" style="3065"/>
    <col min="9226" max="9226" width="5.77734375" style="3065" customWidth="1"/>
    <col min="9227" max="9227" width="11.77734375" style="3065" customWidth="1"/>
    <col min="9228" max="9229" width="10.77734375" style="3065" customWidth="1"/>
    <col min="9230" max="9230" width="10" style="3065" customWidth="1"/>
    <col min="9231" max="9232" width="10.44140625" style="3065" bestFit="1" customWidth="1"/>
    <col min="9233" max="9233" width="10" style="3065" customWidth="1"/>
    <col min="9234" max="9234" width="10.109375" style="3065" customWidth="1"/>
    <col min="9235" max="9235" width="10" style="3065" customWidth="1"/>
    <col min="9236" max="9236" width="26.109375" style="3065" customWidth="1"/>
    <col min="9237" max="9472" width="8.88671875" style="3065"/>
    <col min="9473" max="9473" width="9.44140625" style="3065" customWidth="1"/>
    <col min="9474" max="9474" width="8.88671875" style="3065"/>
    <col min="9475" max="9477" width="12.88671875" style="3065" customWidth="1"/>
    <col min="9478" max="9478" width="47.44140625" style="3065" customWidth="1"/>
    <col min="9479" max="9479" width="13" style="3065" customWidth="1"/>
    <col min="9480" max="9481" width="8.88671875" style="3065"/>
    <col min="9482" max="9482" width="5.77734375" style="3065" customWidth="1"/>
    <col min="9483" max="9483" width="11.77734375" style="3065" customWidth="1"/>
    <col min="9484" max="9485" width="10.77734375" style="3065" customWidth="1"/>
    <col min="9486" max="9486" width="10" style="3065" customWidth="1"/>
    <col min="9487" max="9488" width="10.44140625" style="3065" bestFit="1" customWidth="1"/>
    <col min="9489" max="9489" width="10" style="3065" customWidth="1"/>
    <col min="9490" max="9490" width="10.109375" style="3065" customWidth="1"/>
    <col min="9491" max="9491" width="10" style="3065" customWidth="1"/>
    <col min="9492" max="9492" width="26.109375" style="3065" customWidth="1"/>
    <col min="9493" max="9728" width="8.88671875" style="3065"/>
    <col min="9729" max="9729" width="9.44140625" style="3065" customWidth="1"/>
    <col min="9730" max="9730" width="8.88671875" style="3065"/>
    <col min="9731" max="9733" width="12.88671875" style="3065" customWidth="1"/>
    <col min="9734" max="9734" width="47.44140625" style="3065" customWidth="1"/>
    <col min="9735" max="9735" width="13" style="3065" customWidth="1"/>
    <col min="9736" max="9737" width="8.88671875" style="3065"/>
    <col min="9738" max="9738" width="5.77734375" style="3065" customWidth="1"/>
    <col min="9739" max="9739" width="11.77734375" style="3065" customWidth="1"/>
    <col min="9740" max="9741" width="10.77734375" style="3065" customWidth="1"/>
    <col min="9742" max="9742" width="10" style="3065" customWidth="1"/>
    <col min="9743" max="9744" width="10.44140625" style="3065" bestFit="1" customWidth="1"/>
    <col min="9745" max="9745" width="10" style="3065" customWidth="1"/>
    <col min="9746" max="9746" width="10.109375" style="3065" customWidth="1"/>
    <col min="9747" max="9747" width="10" style="3065" customWidth="1"/>
    <col min="9748" max="9748" width="26.109375" style="3065" customWidth="1"/>
    <col min="9749" max="9984" width="8.88671875" style="3065"/>
    <col min="9985" max="9985" width="9.44140625" style="3065" customWidth="1"/>
    <col min="9986" max="9986" width="8.88671875" style="3065"/>
    <col min="9987" max="9989" width="12.88671875" style="3065" customWidth="1"/>
    <col min="9990" max="9990" width="47.44140625" style="3065" customWidth="1"/>
    <col min="9991" max="9991" width="13" style="3065" customWidth="1"/>
    <col min="9992" max="9993" width="8.88671875" style="3065"/>
    <col min="9994" max="9994" width="5.77734375" style="3065" customWidth="1"/>
    <col min="9995" max="9995" width="11.77734375" style="3065" customWidth="1"/>
    <col min="9996" max="9997" width="10.77734375" style="3065" customWidth="1"/>
    <col min="9998" max="9998" width="10" style="3065" customWidth="1"/>
    <col min="9999" max="10000" width="10.44140625" style="3065" bestFit="1" customWidth="1"/>
    <col min="10001" max="10001" width="10" style="3065" customWidth="1"/>
    <col min="10002" max="10002" width="10.109375" style="3065" customWidth="1"/>
    <col min="10003" max="10003" width="10" style="3065" customWidth="1"/>
    <col min="10004" max="10004" width="26.109375" style="3065" customWidth="1"/>
    <col min="10005" max="10240" width="8.88671875" style="3065"/>
    <col min="10241" max="10241" width="9.44140625" style="3065" customWidth="1"/>
    <col min="10242" max="10242" width="8.88671875" style="3065"/>
    <col min="10243" max="10245" width="12.88671875" style="3065" customWidth="1"/>
    <col min="10246" max="10246" width="47.44140625" style="3065" customWidth="1"/>
    <col min="10247" max="10247" width="13" style="3065" customWidth="1"/>
    <col min="10248" max="10249" width="8.88671875" style="3065"/>
    <col min="10250" max="10250" width="5.77734375" style="3065" customWidth="1"/>
    <col min="10251" max="10251" width="11.77734375" style="3065" customWidth="1"/>
    <col min="10252" max="10253" width="10.77734375" style="3065" customWidth="1"/>
    <col min="10254" max="10254" width="10" style="3065" customWidth="1"/>
    <col min="10255" max="10256" width="10.44140625" style="3065" bestFit="1" customWidth="1"/>
    <col min="10257" max="10257" width="10" style="3065" customWidth="1"/>
    <col min="10258" max="10258" width="10.109375" style="3065" customWidth="1"/>
    <col min="10259" max="10259" width="10" style="3065" customWidth="1"/>
    <col min="10260" max="10260" width="26.109375" style="3065" customWidth="1"/>
    <col min="10261" max="10496" width="8.88671875" style="3065"/>
    <col min="10497" max="10497" width="9.44140625" style="3065" customWidth="1"/>
    <col min="10498" max="10498" width="8.88671875" style="3065"/>
    <col min="10499" max="10501" width="12.88671875" style="3065" customWidth="1"/>
    <col min="10502" max="10502" width="47.44140625" style="3065" customWidth="1"/>
    <col min="10503" max="10503" width="13" style="3065" customWidth="1"/>
    <col min="10504" max="10505" width="8.88671875" style="3065"/>
    <col min="10506" max="10506" width="5.77734375" style="3065" customWidth="1"/>
    <col min="10507" max="10507" width="11.77734375" style="3065" customWidth="1"/>
    <col min="10508" max="10509" width="10.77734375" style="3065" customWidth="1"/>
    <col min="10510" max="10510" width="10" style="3065" customWidth="1"/>
    <col min="10511" max="10512" width="10.44140625" style="3065" bestFit="1" customWidth="1"/>
    <col min="10513" max="10513" width="10" style="3065" customWidth="1"/>
    <col min="10514" max="10514" width="10.109375" style="3065" customWidth="1"/>
    <col min="10515" max="10515" width="10" style="3065" customWidth="1"/>
    <col min="10516" max="10516" width="26.109375" style="3065" customWidth="1"/>
    <col min="10517" max="10752" width="8.88671875" style="3065"/>
    <col min="10753" max="10753" width="9.44140625" style="3065" customWidth="1"/>
    <col min="10754" max="10754" width="8.88671875" style="3065"/>
    <col min="10755" max="10757" width="12.88671875" style="3065" customWidth="1"/>
    <col min="10758" max="10758" width="47.44140625" style="3065" customWidth="1"/>
    <col min="10759" max="10759" width="13" style="3065" customWidth="1"/>
    <col min="10760" max="10761" width="8.88671875" style="3065"/>
    <col min="10762" max="10762" width="5.77734375" style="3065" customWidth="1"/>
    <col min="10763" max="10763" width="11.77734375" style="3065" customWidth="1"/>
    <col min="10764" max="10765" width="10.77734375" style="3065" customWidth="1"/>
    <col min="10766" max="10766" width="10" style="3065" customWidth="1"/>
    <col min="10767" max="10768" width="10.44140625" style="3065" bestFit="1" customWidth="1"/>
    <col min="10769" max="10769" width="10" style="3065" customWidth="1"/>
    <col min="10770" max="10770" width="10.109375" style="3065" customWidth="1"/>
    <col min="10771" max="10771" width="10" style="3065" customWidth="1"/>
    <col min="10772" max="10772" width="26.109375" style="3065" customWidth="1"/>
    <col min="10773" max="11008" width="8.88671875" style="3065"/>
    <col min="11009" max="11009" width="9.44140625" style="3065" customWidth="1"/>
    <col min="11010" max="11010" width="8.88671875" style="3065"/>
    <col min="11011" max="11013" width="12.88671875" style="3065" customWidth="1"/>
    <col min="11014" max="11014" width="47.44140625" style="3065" customWidth="1"/>
    <col min="11015" max="11015" width="13" style="3065" customWidth="1"/>
    <col min="11016" max="11017" width="8.88671875" style="3065"/>
    <col min="11018" max="11018" width="5.77734375" style="3065" customWidth="1"/>
    <col min="11019" max="11019" width="11.77734375" style="3065" customWidth="1"/>
    <col min="11020" max="11021" width="10.77734375" style="3065" customWidth="1"/>
    <col min="11022" max="11022" width="10" style="3065" customWidth="1"/>
    <col min="11023" max="11024" width="10.44140625" style="3065" bestFit="1" customWidth="1"/>
    <col min="11025" max="11025" width="10" style="3065" customWidth="1"/>
    <col min="11026" max="11026" width="10.109375" style="3065" customWidth="1"/>
    <col min="11027" max="11027" width="10" style="3065" customWidth="1"/>
    <col min="11028" max="11028" width="26.109375" style="3065" customWidth="1"/>
    <col min="11029" max="11264" width="8.88671875" style="3065"/>
    <col min="11265" max="11265" width="9.44140625" style="3065" customWidth="1"/>
    <col min="11266" max="11266" width="8.88671875" style="3065"/>
    <col min="11267" max="11269" width="12.88671875" style="3065" customWidth="1"/>
    <col min="11270" max="11270" width="47.44140625" style="3065" customWidth="1"/>
    <col min="11271" max="11271" width="13" style="3065" customWidth="1"/>
    <col min="11272" max="11273" width="8.88671875" style="3065"/>
    <col min="11274" max="11274" width="5.77734375" style="3065" customWidth="1"/>
    <col min="11275" max="11275" width="11.77734375" style="3065" customWidth="1"/>
    <col min="11276" max="11277" width="10.77734375" style="3065" customWidth="1"/>
    <col min="11278" max="11278" width="10" style="3065" customWidth="1"/>
    <col min="11279" max="11280" width="10.44140625" style="3065" bestFit="1" customWidth="1"/>
    <col min="11281" max="11281" width="10" style="3065" customWidth="1"/>
    <col min="11282" max="11282" width="10.109375" style="3065" customWidth="1"/>
    <col min="11283" max="11283" width="10" style="3065" customWidth="1"/>
    <col min="11284" max="11284" width="26.109375" style="3065" customWidth="1"/>
    <col min="11285" max="11520" width="8.88671875" style="3065"/>
    <col min="11521" max="11521" width="9.44140625" style="3065" customWidth="1"/>
    <col min="11522" max="11522" width="8.88671875" style="3065"/>
    <col min="11523" max="11525" width="12.88671875" style="3065" customWidth="1"/>
    <col min="11526" max="11526" width="47.44140625" style="3065" customWidth="1"/>
    <col min="11527" max="11527" width="13" style="3065" customWidth="1"/>
    <col min="11528" max="11529" width="8.88671875" style="3065"/>
    <col min="11530" max="11530" width="5.77734375" style="3065" customWidth="1"/>
    <col min="11531" max="11531" width="11.77734375" style="3065" customWidth="1"/>
    <col min="11532" max="11533" width="10.77734375" style="3065" customWidth="1"/>
    <col min="11534" max="11534" width="10" style="3065" customWidth="1"/>
    <col min="11535" max="11536" width="10.44140625" style="3065" bestFit="1" customWidth="1"/>
    <col min="11537" max="11537" width="10" style="3065" customWidth="1"/>
    <col min="11538" max="11538" width="10.109375" style="3065" customWidth="1"/>
    <col min="11539" max="11539" width="10" style="3065" customWidth="1"/>
    <col min="11540" max="11540" width="26.109375" style="3065" customWidth="1"/>
    <col min="11541" max="11776" width="8.88671875" style="3065"/>
    <col min="11777" max="11777" width="9.44140625" style="3065" customWidth="1"/>
    <col min="11778" max="11778" width="8.88671875" style="3065"/>
    <col min="11779" max="11781" width="12.88671875" style="3065" customWidth="1"/>
    <col min="11782" max="11782" width="47.44140625" style="3065" customWidth="1"/>
    <col min="11783" max="11783" width="13" style="3065" customWidth="1"/>
    <col min="11784" max="11785" width="8.88671875" style="3065"/>
    <col min="11786" max="11786" width="5.77734375" style="3065" customWidth="1"/>
    <col min="11787" max="11787" width="11.77734375" style="3065" customWidth="1"/>
    <col min="11788" max="11789" width="10.77734375" style="3065" customWidth="1"/>
    <col min="11790" max="11790" width="10" style="3065" customWidth="1"/>
    <col min="11791" max="11792" width="10.44140625" style="3065" bestFit="1" customWidth="1"/>
    <col min="11793" max="11793" width="10" style="3065" customWidth="1"/>
    <col min="11794" max="11794" width="10.109375" style="3065" customWidth="1"/>
    <col min="11795" max="11795" width="10" style="3065" customWidth="1"/>
    <col min="11796" max="11796" width="26.109375" style="3065" customWidth="1"/>
    <col min="11797" max="12032" width="8.88671875" style="3065"/>
    <col min="12033" max="12033" width="9.44140625" style="3065" customWidth="1"/>
    <col min="12034" max="12034" width="8.88671875" style="3065"/>
    <col min="12035" max="12037" width="12.88671875" style="3065" customWidth="1"/>
    <col min="12038" max="12038" width="47.44140625" style="3065" customWidth="1"/>
    <col min="12039" max="12039" width="13" style="3065" customWidth="1"/>
    <col min="12040" max="12041" width="8.88671875" style="3065"/>
    <col min="12042" max="12042" width="5.77734375" style="3065" customWidth="1"/>
    <col min="12043" max="12043" width="11.77734375" style="3065" customWidth="1"/>
    <col min="12044" max="12045" width="10.77734375" style="3065" customWidth="1"/>
    <col min="12046" max="12046" width="10" style="3065" customWidth="1"/>
    <col min="12047" max="12048" width="10.44140625" style="3065" bestFit="1" customWidth="1"/>
    <col min="12049" max="12049" width="10" style="3065" customWidth="1"/>
    <col min="12050" max="12050" width="10.109375" style="3065" customWidth="1"/>
    <col min="12051" max="12051" width="10" style="3065" customWidth="1"/>
    <col min="12052" max="12052" width="26.109375" style="3065" customWidth="1"/>
    <col min="12053" max="12288" width="8.88671875" style="3065"/>
    <col min="12289" max="12289" width="9.44140625" style="3065" customWidth="1"/>
    <col min="12290" max="12290" width="8.88671875" style="3065"/>
    <col min="12291" max="12293" width="12.88671875" style="3065" customWidth="1"/>
    <col min="12294" max="12294" width="47.44140625" style="3065" customWidth="1"/>
    <col min="12295" max="12295" width="13" style="3065" customWidth="1"/>
    <col min="12296" max="12297" width="8.88671875" style="3065"/>
    <col min="12298" max="12298" width="5.77734375" style="3065" customWidth="1"/>
    <col min="12299" max="12299" width="11.77734375" style="3065" customWidth="1"/>
    <col min="12300" max="12301" width="10.77734375" style="3065" customWidth="1"/>
    <col min="12302" max="12302" width="10" style="3065" customWidth="1"/>
    <col min="12303" max="12304" width="10.44140625" style="3065" bestFit="1" customWidth="1"/>
    <col min="12305" max="12305" width="10" style="3065" customWidth="1"/>
    <col min="12306" max="12306" width="10.109375" style="3065" customWidth="1"/>
    <col min="12307" max="12307" width="10" style="3065" customWidth="1"/>
    <col min="12308" max="12308" width="26.109375" style="3065" customWidth="1"/>
    <col min="12309" max="12544" width="8.88671875" style="3065"/>
    <col min="12545" max="12545" width="9.44140625" style="3065" customWidth="1"/>
    <col min="12546" max="12546" width="8.88671875" style="3065"/>
    <col min="12547" max="12549" width="12.88671875" style="3065" customWidth="1"/>
    <col min="12550" max="12550" width="47.44140625" style="3065" customWidth="1"/>
    <col min="12551" max="12551" width="13" style="3065" customWidth="1"/>
    <col min="12552" max="12553" width="8.88671875" style="3065"/>
    <col min="12554" max="12554" width="5.77734375" style="3065" customWidth="1"/>
    <col min="12555" max="12555" width="11.77734375" style="3065" customWidth="1"/>
    <col min="12556" max="12557" width="10.77734375" style="3065" customWidth="1"/>
    <col min="12558" max="12558" width="10" style="3065" customWidth="1"/>
    <col min="12559" max="12560" width="10.44140625" style="3065" bestFit="1" customWidth="1"/>
    <col min="12561" max="12561" width="10" style="3065" customWidth="1"/>
    <col min="12562" max="12562" width="10.109375" style="3065" customWidth="1"/>
    <col min="12563" max="12563" width="10" style="3065" customWidth="1"/>
    <col min="12564" max="12564" width="26.109375" style="3065" customWidth="1"/>
    <col min="12565" max="12800" width="8.88671875" style="3065"/>
    <col min="12801" max="12801" width="9.44140625" style="3065" customWidth="1"/>
    <col min="12802" max="12802" width="8.88671875" style="3065"/>
    <col min="12803" max="12805" width="12.88671875" style="3065" customWidth="1"/>
    <col min="12806" max="12806" width="47.44140625" style="3065" customWidth="1"/>
    <col min="12807" max="12807" width="13" style="3065" customWidth="1"/>
    <col min="12808" max="12809" width="8.88671875" style="3065"/>
    <col min="12810" max="12810" width="5.77734375" style="3065" customWidth="1"/>
    <col min="12811" max="12811" width="11.77734375" style="3065" customWidth="1"/>
    <col min="12812" max="12813" width="10.77734375" style="3065" customWidth="1"/>
    <col min="12814" max="12814" width="10" style="3065" customWidth="1"/>
    <col min="12815" max="12816" width="10.44140625" style="3065" bestFit="1" customWidth="1"/>
    <col min="12817" max="12817" width="10" style="3065" customWidth="1"/>
    <col min="12818" max="12818" width="10.109375" style="3065" customWidth="1"/>
    <col min="12819" max="12819" width="10" style="3065" customWidth="1"/>
    <col min="12820" max="12820" width="26.109375" style="3065" customWidth="1"/>
    <col min="12821" max="13056" width="8.88671875" style="3065"/>
    <col min="13057" max="13057" width="9.44140625" style="3065" customWidth="1"/>
    <col min="13058" max="13058" width="8.88671875" style="3065"/>
    <col min="13059" max="13061" width="12.88671875" style="3065" customWidth="1"/>
    <col min="13062" max="13062" width="47.44140625" style="3065" customWidth="1"/>
    <col min="13063" max="13063" width="13" style="3065" customWidth="1"/>
    <col min="13064" max="13065" width="8.88671875" style="3065"/>
    <col min="13066" max="13066" width="5.77734375" style="3065" customWidth="1"/>
    <col min="13067" max="13067" width="11.77734375" style="3065" customWidth="1"/>
    <col min="13068" max="13069" width="10.77734375" style="3065" customWidth="1"/>
    <col min="13070" max="13070" width="10" style="3065" customWidth="1"/>
    <col min="13071" max="13072" width="10.44140625" style="3065" bestFit="1" customWidth="1"/>
    <col min="13073" max="13073" width="10" style="3065" customWidth="1"/>
    <col min="13074" max="13074" width="10.109375" style="3065" customWidth="1"/>
    <col min="13075" max="13075" width="10" style="3065" customWidth="1"/>
    <col min="13076" max="13076" width="26.109375" style="3065" customWidth="1"/>
    <col min="13077" max="13312" width="8.88671875" style="3065"/>
    <col min="13313" max="13313" width="9.44140625" style="3065" customWidth="1"/>
    <col min="13314" max="13314" width="8.88671875" style="3065"/>
    <col min="13315" max="13317" width="12.88671875" style="3065" customWidth="1"/>
    <col min="13318" max="13318" width="47.44140625" style="3065" customWidth="1"/>
    <col min="13319" max="13319" width="13" style="3065" customWidth="1"/>
    <col min="13320" max="13321" width="8.88671875" style="3065"/>
    <col min="13322" max="13322" width="5.77734375" style="3065" customWidth="1"/>
    <col min="13323" max="13323" width="11.77734375" style="3065" customWidth="1"/>
    <col min="13324" max="13325" width="10.77734375" style="3065" customWidth="1"/>
    <col min="13326" max="13326" width="10" style="3065" customWidth="1"/>
    <col min="13327" max="13328" width="10.44140625" style="3065" bestFit="1" customWidth="1"/>
    <col min="13329" max="13329" width="10" style="3065" customWidth="1"/>
    <col min="13330" max="13330" width="10.109375" style="3065" customWidth="1"/>
    <col min="13331" max="13331" width="10" style="3065" customWidth="1"/>
    <col min="13332" max="13332" width="26.109375" style="3065" customWidth="1"/>
    <col min="13333" max="13568" width="8.88671875" style="3065"/>
    <col min="13569" max="13569" width="9.44140625" style="3065" customWidth="1"/>
    <col min="13570" max="13570" width="8.88671875" style="3065"/>
    <col min="13571" max="13573" width="12.88671875" style="3065" customWidth="1"/>
    <col min="13574" max="13574" width="47.44140625" style="3065" customWidth="1"/>
    <col min="13575" max="13575" width="13" style="3065" customWidth="1"/>
    <col min="13576" max="13577" width="8.88671875" style="3065"/>
    <col min="13578" max="13578" width="5.77734375" style="3065" customWidth="1"/>
    <col min="13579" max="13579" width="11.77734375" style="3065" customWidth="1"/>
    <col min="13580" max="13581" width="10.77734375" style="3065" customWidth="1"/>
    <col min="13582" max="13582" width="10" style="3065" customWidth="1"/>
    <col min="13583" max="13584" width="10.44140625" style="3065" bestFit="1" customWidth="1"/>
    <col min="13585" max="13585" width="10" style="3065" customWidth="1"/>
    <col min="13586" max="13586" width="10.109375" style="3065" customWidth="1"/>
    <col min="13587" max="13587" width="10" style="3065" customWidth="1"/>
    <col min="13588" max="13588" width="26.109375" style="3065" customWidth="1"/>
    <col min="13589" max="13824" width="8.88671875" style="3065"/>
    <col min="13825" max="13825" width="9.44140625" style="3065" customWidth="1"/>
    <col min="13826" max="13826" width="8.88671875" style="3065"/>
    <col min="13827" max="13829" width="12.88671875" style="3065" customWidth="1"/>
    <col min="13830" max="13830" width="47.44140625" style="3065" customWidth="1"/>
    <col min="13831" max="13831" width="13" style="3065" customWidth="1"/>
    <col min="13832" max="13833" width="8.88671875" style="3065"/>
    <col min="13834" max="13834" width="5.77734375" style="3065" customWidth="1"/>
    <col min="13835" max="13835" width="11.77734375" style="3065" customWidth="1"/>
    <col min="13836" max="13837" width="10.77734375" style="3065" customWidth="1"/>
    <col min="13838" max="13838" width="10" style="3065" customWidth="1"/>
    <col min="13839" max="13840" width="10.44140625" style="3065" bestFit="1" customWidth="1"/>
    <col min="13841" max="13841" width="10" style="3065" customWidth="1"/>
    <col min="13842" max="13842" width="10.109375" style="3065" customWidth="1"/>
    <col min="13843" max="13843" width="10" style="3065" customWidth="1"/>
    <col min="13844" max="13844" width="26.109375" style="3065" customWidth="1"/>
    <col min="13845" max="14080" width="8.88671875" style="3065"/>
    <col min="14081" max="14081" width="9.44140625" style="3065" customWidth="1"/>
    <col min="14082" max="14082" width="8.88671875" style="3065"/>
    <col min="14083" max="14085" width="12.88671875" style="3065" customWidth="1"/>
    <col min="14086" max="14086" width="47.44140625" style="3065" customWidth="1"/>
    <col min="14087" max="14087" width="13" style="3065" customWidth="1"/>
    <col min="14088" max="14089" width="8.88671875" style="3065"/>
    <col min="14090" max="14090" width="5.77734375" style="3065" customWidth="1"/>
    <col min="14091" max="14091" width="11.77734375" style="3065" customWidth="1"/>
    <col min="14092" max="14093" width="10.77734375" style="3065" customWidth="1"/>
    <col min="14094" max="14094" width="10" style="3065" customWidth="1"/>
    <col min="14095" max="14096" width="10.44140625" style="3065" bestFit="1" customWidth="1"/>
    <col min="14097" max="14097" width="10" style="3065" customWidth="1"/>
    <col min="14098" max="14098" width="10.109375" style="3065" customWidth="1"/>
    <col min="14099" max="14099" width="10" style="3065" customWidth="1"/>
    <col min="14100" max="14100" width="26.109375" style="3065" customWidth="1"/>
    <col min="14101" max="14336" width="8.88671875" style="3065"/>
    <col min="14337" max="14337" width="9.44140625" style="3065" customWidth="1"/>
    <col min="14338" max="14338" width="8.88671875" style="3065"/>
    <col min="14339" max="14341" width="12.88671875" style="3065" customWidth="1"/>
    <col min="14342" max="14342" width="47.44140625" style="3065" customWidth="1"/>
    <col min="14343" max="14343" width="13" style="3065" customWidth="1"/>
    <col min="14344" max="14345" width="8.88671875" style="3065"/>
    <col min="14346" max="14346" width="5.77734375" style="3065" customWidth="1"/>
    <col min="14347" max="14347" width="11.77734375" style="3065" customWidth="1"/>
    <col min="14348" max="14349" width="10.77734375" style="3065" customWidth="1"/>
    <col min="14350" max="14350" width="10" style="3065" customWidth="1"/>
    <col min="14351" max="14352" width="10.44140625" style="3065" bestFit="1" customWidth="1"/>
    <col min="14353" max="14353" width="10" style="3065" customWidth="1"/>
    <col min="14354" max="14354" width="10.109375" style="3065" customWidth="1"/>
    <col min="14355" max="14355" width="10" style="3065" customWidth="1"/>
    <col min="14356" max="14356" width="26.109375" style="3065" customWidth="1"/>
    <col min="14357" max="14592" width="8.88671875" style="3065"/>
    <col min="14593" max="14593" width="9.44140625" style="3065" customWidth="1"/>
    <col min="14594" max="14594" width="8.88671875" style="3065"/>
    <col min="14595" max="14597" width="12.88671875" style="3065" customWidth="1"/>
    <col min="14598" max="14598" width="47.44140625" style="3065" customWidth="1"/>
    <col min="14599" max="14599" width="13" style="3065" customWidth="1"/>
    <col min="14600" max="14601" width="8.88671875" style="3065"/>
    <col min="14602" max="14602" width="5.77734375" style="3065" customWidth="1"/>
    <col min="14603" max="14603" width="11.77734375" style="3065" customWidth="1"/>
    <col min="14604" max="14605" width="10.77734375" style="3065" customWidth="1"/>
    <col min="14606" max="14606" width="10" style="3065" customWidth="1"/>
    <col min="14607" max="14608" width="10.44140625" style="3065" bestFit="1" customWidth="1"/>
    <col min="14609" max="14609" width="10" style="3065" customWidth="1"/>
    <col min="14610" max="14610" width="10.109375" style="3065" customWidth="1"/>
    <col min="14611" max="14611" width="10" style="3065" customWidth="1"/>
    <col min="14612" max="14612" width="26.109375" style="3065" customWidth="1"/>
    <col min="14613" max="14848" width="8.88671875" style="3065"/>
    <col min="14849" max="14849" width="9.44140625" style="3065" customWidth="1"/>
    <col min="14850" max="14850" width="8.88671875" style="3065"/>
    <col min="14851" max="14853" width="12.88671875" style="3065" customWidth="1"/>
    <col min="14854" max="14854" width="47.44140625" style="3065" customWidth="1"/>
    <col min="14855" max="14855" width="13" style="3065" customWidth="1"/>
    <col min="14856" max="14857" width="8.88671875" style="3065"/>
    <col min="14858" max="14858" width="5.77734375" style="3065" customWidth="1"/>
    <col min="14859" max="14859" width="11.77734375" style="3065" customWidth="1"/>
    <col min="14860" max="14861" width="10.77734375" style="3065" customWidth="1"/>
    <col min="14862" max="14862" width="10" style="3065" customWidth="1"/>
    <col min="14863" max="14864" width="10.44140625" style="3065" bestFit="1" customWidth="1"/>
    <col min="14865" max="14865" width="10" style="3065" customWidth="1"/>
    <col min="14866" max="14866" width="10.109375" style="3065" customWidth="1"/>
    <col min="14867" max="14867" width="10" style="3065" customWidth="1"/>
    <col min="14868" max="14868" width="26.109375" style="3065" customWidth="1"/>
    <col min="14869" max="15104" width="8.88671875" style="3065"/>
    <col min="15105" max="15105" width="9.44140625" style="3065" customWidth="1"/>
    <col min="15106" max="15106" width="8.88671875" style="3065"/>
    <col min="15107" max="15109" width="12.88671875" style="3065" customWidth="1"/>
    <col min="15110" max="15110" width="47.44140625" style="3065" customWidth="1"/>
    <col min="15111" max="15111" width="13" style="3065" customWidth="1"/>
    <col min="15112" max="15113" width="8.88671875" style="3065"/>
    <col min="15114" max="15114" width="5.77734375" style="3065" customWidth="1"/>
    <col min="15115" max="15115" width="11.77734375" style="3065" customWidth="1"/>
    <col min="15116" max="15117" width="10.77734375" style="3065" customWidth="1"/>
    <col min="15118" max="15118" width="10" style="3065" customWidth="1"/>
    <col min="15119" max="15120" width="10.44140625" style="3065" bestFit="1" customWidth="1"/>
    <col min="15121" max="15121" width="10" style="3065" customWidth="1"/>
    <col min="15122" max="15122" width="10.109375" style="3065" customWidth="1"/>
    <col min="15123" max="15123" width="10" style="3065" customWidth="1"/>
    <col min="15124" max="15124" width="26.109375" style="3065" customWidth="1"/>
    <col min="15125" max="15360" width="8.88671875" style="3065"/>
    <col min="15361" max="15361" width="9.44140625" style="3065" customWidth="1"/>
    <col min="15362" max="15362" width="8.88671875" style="3065"/>
    <col min="15363" max="15365" width="12.88671875" style="3065" customWidth="1"/>
    <col min="15366" max="15366" width="47.44140625" style="3065" customWidth="1"/>
    <col min="15367" max="15367" width="13" style="3065" customWidth="1"/>
    <col min="15368" max="15369" width="8.88671875" style="3065"/>
    <col min="15370" max="15370" width="5.77734375" style="3065" customWidth="1"/>
    <col min="15371" max="15371" width="11.77734375" style="3065" customWidth="1"/>
    <col min="15372" max="15373" width="10.77734375" style="3065" customWidth="1"/>
    <col min="15374" max="15374" width="10" style="3065" customWidth="1"/>
    <col min="15375" max="15376" width="10.44140625" style="3065" bestFit="1" customWidth="1"/>
    <col min="15377" max="15377" width="10" style="3065" customWidth="1"/>
    <col min="15378" max="15378" width="10.109375" style="3065" customWidth="1"/>
    <col min="15379" max="15379" width="10" style="3065" customWidth="1"/>
    <col min="15380" max="15380" width="26.109375" style="3065" customWidth="1"/>
    <col min="15381" max="15616" width="8.88671875" style="3065"/>
    <col min="15617" max="15617" width="9.44140625" style="3065" customWidth="1"/>
    <col min="15618" max="15618" width="8.88671875" style="3065"/>
    <col min="15619" max="15621" width="12.88671875" style="3065" customWidth="1"/>
    <col min="15622" max="15622" width="47.44140625" style="3065" customWidth="1"/>
    <col min="15623" max="15623" width="13" style="3065" customWidth="1"/>
    <col min="15624" max="15625" width="8.88671875" style="3065"/>
    <col min="15626" max="15626" width="5.77734375" style="3065" customWidth="1"/>
    <col min="15627" max="15627" width="11.77734375" style="3065" customWidth="1"/>
    <col min="15628" max="15629" width="10.77734375" style="3065" customWidth="1"/>
    <col min="15630" max="15630" width="10" style="3065" customWidth="1"/>
    <col min="15631" max="15632" width="10.44140625" style="3065" bestFit="1" customWidth="1"/>
    <col min="15633" max="15633" width="10" style="3065" customWidth="1"/>
    <col min="15634" max="15634" width="10.109375" style="3065" customWidth="1"/>
    <col min="15635" max="15635" width="10" style="3065" customWidth="1"/>
    <col min="15636" max="15636" width="26.109375" style="3065" customWidth="1"/>
    <col min="15637" max="15872" width="8.88671875" style="3065"/>
    <col min="15873" max="15873" width="9.44140625" style="3065" customWidth="1"/>
    <col min="15874" max="15874" width="8.88671875" style="3065"/>
    <col min="15875" max="15877" width="12.88671875" style="3065" customWidth="1"/>
    <col min="15878" max="15878" width="47.44140625" style="3065" customWidth="1"/>
    <col min="15879" max="15879" width="13" style="3065" customWidth="1"/>
    <col min="15880" max="15881" width="8.88671875" style="3065"/>
    <col min="15882" max="15882" width="5.77734375" style="3065" customWidth="1"/>
    <col min="15883" max="15883" width="11.77734375" style="3065" customWidth="1"/>
    <col min="15884" max="15885" width="10.77734375" style="3065" customWidth="1"/>
    <col min="15886" max="15886" width="10" style="3065" customWidth="1"/>
    <col min="15887" max="15888" width="10.44140625" style="3065" bestFit="1" customWidth="1"/>
    <col min="15889" max="15889" width="10" style="3065" customWidth="1"/>
    <col min="15890" max="15890" width="10.109375" style="3065" customWidth="1"/>
    <col min="15891" max="15891" width="10" style="3065" customWidth="1"/>
    <col min="15892" max="15892" width="26.109375" style="3065" customWidth="1"/>
    <col min="15893" max="16128" width="8.88671875" style="3065"/>
    <col min="16129" max="16129" width="9.44140625" style="3065" customWidth="1"/>
    <col min="16130" max="16130" width="8.88671875" style="3065"/>
    <col min="16131" max="16133" width="12.88671875" style="3065" customWidth="1"/>
    <col min="16134" max="16134" width="47.44140625" style="3065" customWidth="1"/>
    <col min="16135" max="16135" width="13" style="3065" customWidth="1"/>
    <col min="16136" max="16137" width="8.88671875" style="3065"/>
    <col min="16138" max="16138" width="5.77734375" style="3065" customWidth="1"/>
    <col min="16139" max="16139" width="11.77734375" style="3065" customWidth="1"/>
    <col min="16140" max="16141" width="10.77734375" style="3065" customWidth="1"/>
    <col min="16142" max="16142" width="10" style="3065" customWidth="1"/>
    <col min="16143" max="16144" width="10.44140625" style="3065" bestFit="1" customWidth="1"/>
    <col min="16145" max="16145" width="10" style="3065" customWidth="1"/>
    <col min="16146" max="16146" width="10.109375" style="3065" customWidth="1"/>
    <col min="16147" max="16147" width="10" style="3065" customWidth="1"/>
    <col min="16148" max="16148" width="26.109375" style="3065" customWidth="1"/>
    <col min="16149" max="16384" width="8.88671875" style="3065"/>
  </cols>
  <sheetData>
    <row r="1" spans="1:22" ht="21" customHeight="1">
      <c r="A1" s="3054" t="s">
        <v>2441</v>
      </c>
      <c r="B1" s="3055"/>
      <c r="C1" s="3068"/>
      <c r="D1" s="3068"/>
      <c r="E1" s="3056"/>
      <c r="F1" s="3057"/>
      <c r="G1" s="3058"/>
      <c r="J1" s="3061" t="s">
        <v>2298</v>
      </c>
      <c r="K1" s="3062"/>
      <c r="L1" s="3062"/>
      <c r="M1" s="3062"/>
      <c r="N1" s="3062"/>
      <c r="O1" s="3062"/>
      <c r="P1" s="3062"/>
      <c r="Q1" s="3062"/>
      <c r="R1" s="3063"/>
      <c r="S1" s="3064"/>
      <c r="T1" s="3064"/>
      <c r="U1" s="3064"/>
    </row>
    <row r="2" spans="1:22" s="3077" customFormat="1" ht="13.2" customHeight="1">
      <c r="A2" s="3066" t="s">
        <v>2299</v>
      </c>
      <c r="B2" s="3067" t="e">
        <f>C40</f>
        <v>#DIV/0!</v>
      </c>
      <c r="C2" s="3068" t="s">
        <v>2300</v>
      </c>
      <c r="D2" s="3068"/>
      <c r="E2" s="3069"/>
      <c r="F2" s="3070"/>
      <c r="G2" s="3071"/>
      <c r="H2" s="3072"/>
      <c r="I2" s="3073"/>
      <c r="J2" s="4185" t="s">
        <v>2301</v>
      </c>
      <c r="K2" s="4186"/>
      <c r="L2" s="3074" t="s">
        <v>2302</v>
      </c>
      <c r="M2" s="3074" t="s">
        <v>2303</v>
      </c>
      <c r="N2" s="3074" t="s">
        <v>2304</v>
      </c>
      <c r="O2" s="3074" t="s">
        <v>2305</v>
      </c>
      <c r="P2" s="3074" t="s">
        <v>2306</v>
      </c>
      <c r="Q2" s="3075" t="s">
        <v>2307</v>
      </c>
      <c r="R2" s="3076" t="s">
        <v>2308</v>
      </c>
      <c r="S2" s="3064"/>
      <c r="T2" s="3064"/>
      <c r="U2" s="3064"/>
      <c r="V2" s="3073"/>
    </row>
    <row r="3" spans="1:22" s="3077" customFormat="1" ht="13.2" customHeight="1">
      <c r="A3" s="3078" t="s">
        <v>2309</v>
      </c>
      <c r="B3" s="3079" t="e">
        <f>ROUND(B2*10000/B4,0)</f>
        <v>#DIV/0!</v>
      </c>
      <c r="C3" s="3068" t="s">
        <v>2310</v>
      </c>
      <c r="D3" s="3068"/>
      <c r="E3" s="3069"/>
      <c r="F3" s="3070"/>
      <c r="G3" s="3071"/>
      <c r="H3" s="3072"/>
      <c r="I3" s="3073"/>
      <c r="J3" s="4187" t="s">
        <v>2311</v>
      </c>
      <c r="K3" s="4188"/>
      <c r="L3" s="3080"/>
      <c r="M3" s="3080"/>
      <c r="N3" s="3080"/>
      <c r="O3" s="3080"/>
      <c r="P3" s="3080"/>
      <c r="Q3" s="3081"/>
      <c r="R3" s="3082">
        <f>SUM(L3:Q3)</f>
        <v>0</v>
      </c>
      <c r="S3" s="3064"/>
      <c r="T3" s="3064"/>
      <c r="U3" s="3064"/>
      <c r="V3" s="3073"/>
    </row>
    <row r="4" spans="1:22" s="3077" customFormat="1" ht="13.2" customHeight="1">
      <c r="A4" s="3083" t="s">
        <v>2312</v>
      </c>
      <c r="B4" s="3084"/>
      <c r="C4" s="3068"/>
      <c r="D4" s="3068"/>
      <c r="E4" s="3069"/>
      <c r="F4" s="3070"/>
      <c r="G4" s="3071"/>
      <c r="H4" s="3072"/>
      <c r="I4" s="3073"/>
      <c r="J4" s="4187" t="s">
        <v>2313</v>
      </c>
      <c r="K4" s="4188"/>
      <c r="L4" s="3085"/>
      <c r="M4" s="3085"/>
      <c r="N4" s="3085"/>
      <c r="O4" s="3085"/>
      <c r="P4" s="3085"/>
      <c r="Q4" s="3086"/>
      <c r="R4" s="3087">
        <f>SUM(L4:Q4)</f>
        <v>0</v>
      </c>
      <c r="S4" s="3064"/>
      <c r="T4" s="3064"/>
      <c r="U4" s="3064"/>
      <c r="V4" s="3073"/>
    </row>
    <row r="5" spans="1:22" s="3077" customFormat="1" ht="13.2" customHeight="1" thickBot="1">
      <c r="A5" s="3088" t="s">
        <v>2314</v>
      </c>
      <c r="B5" s="3089"/>
      <c r="C5" s="3068"/>
      <c r="D5" s="3090"/>
      <c r="E5" s="3070"/>
      <c r="F5" s="3070"/>
      <c r="G5" s="3071"/>
      <c r="H5" s="3072"/>
      <c r="I5" s="3073"/>
      <c r="J5" s="3091" t="s">
        <v>2315</v>
      </c>
      <c r="K5" s="3092"/>
      <c r="L5" s="3092"/>
      <c r="M5" s="3093"/>
      <c r="N5" s="3093"/>
      <c r="O5" s="3093"/>
      <c r="P5" s="3093"/>
      <c r="Q5" s="3093"/>
      <c r="R5" s="3076">
        <f>SUM(R14,R19,R24,R25,R27,R28)</f>
        <v>0</v>
      </c>
      <c r="S5" s="3064"/>
      <c r="T5" s="3064" t="s">
        <v>2316</v>
      </c>
      <c r="U5" s="3064" t="e">
        <f>ROUND(R5*10000/365/R3,1)</f>
        <v>#DIV/0!</v>
      </c>
      <c r="V5" s="3073"/>
    </row>
    <row r="6" spans="1:22" s="3077" customFormat="1" ht="13.2" customHeight="1" thickBot="1">
      <c r="A6" s="4193" t="s">
        <v>2317</v>
      </c>
      <c r="B6" s="4194"/>
      <c r="C6" s="4195"/>
      <c r="D6" s="3094"/>
      <c r="E6" s="3095"/>
      <c r="F6" s="3096"/>
      <c r="G6" s="3097"/>
      <c r="H6" s="3072"/>
      <c r="I6" s="3073"/>
      <c r="J6" s="4179">
        <v>1</v>
      </c>
      <c r="K6" s="4180" t="s">
        <v>2318</v>
      </c>
      <c r="L6" s="3098" t="s">
        <v>2319</v>
      </c>
      <c r="M6" s="3099" t="s">
        <v>2320</v>
      </c>
      <c r="N6" s="3099" t="s">
        <v>2321</v>
      </c>
      <c r="O6" s="3099" t="s">
        <v>2322</v>
      </c>
      <c r="P6" s="3099" t="s">
        <v>2323</v>
      </c>
      <c r="Q6" s="3099" t="s">
        <v>2324</v>
      </c>
      <c r="R6" s="3082" t="s">
        <v>2325</v>
      </c>
      <c r="S6" s="3064"/>
      <c r="T6" s="3064" t="s">
        <v>2326</v>
      </c>
      <c r="U6" s="3064"/>
      <c r="V6" s="3073"/>
    </row>
    <row r="7" spans="1:22" s="3077" customFormat="1" ht="13.2" customHeight="1">
      <c r="A7" s="3100" t="s">
        <v>2327</v>
      </c>
      <c r="B7" s="3101"/>
      <c r="C7" s="3102"/>
      <c r="D7" s="3103">
        <f>SUM(D9,D10,D11,D17,0)</f>
        <v>0</v>
      </c>
      <c r="E7" s="3104" t="e">
        <f>E9+E10+E11+E17</f>
        <v>#DIV/0!</v>
      </c>
      <c r="F7" s="3105"/>
      <c r="G7" s="3106"/>
      <c r="H7" s="3072"/>
      <c r="I7" s="3073"/>
      <c r="J7" s="4179"/>
      <c r="K7" s="4181"/>
      <c r="L7" s="3107" t="s">
        <v>2328</v>
      </c>
      <c r="M7" s="3108"/>
      <c r="N7" s="3084"/>
      <c r="O7" s="3109"/>
      <c r="P7" s="3109"/>
      <c r="Q7" s="3110">
        <v>365</v>
      </c>
      <c r="R7" s="3111">
        <f>ROUND(M7*N7*O7*P7*Q7/10000,0)</f>
        <v>0</v>
      </c>
      <c r="S7" s="3064"/>
      <c r="T7" s="3064" t="s">
        <v>2329</v>
      </c>
      <c r="U7" s="3064"/>
      <c r="V7" s="3073"/>
    </row>
    <row r="8" spans="1:22" s="3077" customFormat="1" ht="13.2" customHeight="1">
      <c r="A8" s="3112" t="s">
        <v>2330</v>
      </c>
      <c r="B8" s="4196" t="s">
        <v>2331</v>
      </c>
      <c r="C8" s="4197"/>
      <c r="D8" s="3113" t="s">
        <v>2332</v>
      </c>
      <c r="E8" s="3114" t="s">
        <v>2333</v>
      </c>
      <c r="F8" s="3115" t="s">
        <v>2334</v>
      </c>
      <c r="G8" s="3116"/>
      <c r="H8" s="3072"/>
      <c r="I8" s="3073"/>
      <c r="J8" s="4179"/>
      <c r="K8" s="4181"/>
      <c r="L8" s="3107" t="s">
        <v>2335</v>
      </c>
      <c r="M8" s="3108"/>
      <c r="N8" s="3084"/>
      <c r="O8" s="3109"/>
      <c r="P8" s="3109"/>
      <c r="Q8" s="3110">
        <v>365</v>
      </c>
      <c r="R8" s="3111">
        <f t="shared" ref="R8:R13" si="0">ROUND(M8*N8*O8*P8*Q8/10000,0)</f>
        <v>0</v>
      </c>
      <c r="S8" s="3064"/>
      <c r="T8" s="3064" t="s">
        <v>2336</v>
      </c>
      <c r="U8" s="3064"/>
      <c r="V8" s="3073"/>
    </row>
    <row r="9" spans="1:22" s="3077" customFormat="1" ht="13.2" customHeight="1">
      <c r="A9" s="3112">
        <v>1</v>
      </c>
      <c r="B9" s="4196" t="s">
        <v>2337</v>
      </c>
      <c r="C9" s="4197"/>
      <c r="D9" s="3113">
        <f>ROUND(D6*E9,0)</f>
        <v>0</v>
      </c>
      <c r="E9" s="3117"/>
      <c r="F9" s="3118" t="s">
        <v>2338</v>
      </c>
      <c r="G9" s="3097"/>
      <c r="H9" s="3072"/>
      <c r="I9" s="3073"/>
      <c r="J9" s="4179"/>
      <c r="K9" s="4181"/>
      <c r="L9" s="3107" t="s">
        <v>2339</v>
      </c>
      <c r="M9" s="3108"/>
      <c r="N9" s="3084"/>
      <c r="O9" s="3109"/>
      <c r="P9" s="3109"/>
      <c r="Q9" s="3110">
        <v>365</v>
      </c>
      <c r="R9" s="3111">
        <f t="shared" si="0"/>
        <v>0</v>
      </c>
      <c r="S9" s="3064"/>
      <c r="T9" s="3064"/>
      <c r="U9" s="3064"/>
      <c r="V9" s="3073"/>
    </row>
    <row r="10" spans="1:22" s="3077" customFormat="1" ht="13.2" customHeight="1">
      <c r="A10" s="3112">
        <v>2</v>
      </c>
      <c r="B10" s="4196" t="s">
        <v>2340</v>
      </c>
      <c r="C10" s="4197"/>
      <c r="D10" s="3113">
        <f>ROUND(D6*E10,0)</f>
        <v>0</v>
      </c>
      <c r="E10" s="3117"/>
      <c r="F10" s="3118" t="s">
        <v>2341</v>
      </c>
      <c r="G10" s="3097"/>
      <c r="H10" s="3072"/>
      <c r="I10" s="3073"/>
      <c r="J10" s="4179"/>
      <c r="K10" s="4181"/>
      <c r="L10" s="3107" t="s">
        <v>2342</v>
      </c>
      <c r="M10" s="3108"/>
      <c r="N10" s="3084"/>
      <c r="O10" s="3109"/>
      <c r="P10" s="3109"/>
      <c r="Q10" s="3110">
        <v>365</v>
      </c>
      <c r="R10" s="3111">
        <f t="shared" si="0"/>
        <v>0</v>
      </c>
      <c r="S10" s="3064"/>
      <c r="T10" s="3064"/>
      <c r="U10" s="3064"/>
      <c r="V10" s="3073"/>
    </row>
    <row r="11" spans="1:22" s="3077" customFormat="1" ht="13.2" customHeight="1">
      <c r="A11" s="3112">
        <v>3</v>
      </c>
      <c r="B11" s="4196" t="s">
        <v>2343</v>
      </c>
      <c r="C11" s="4197"/>
      <c r="D11" s="3113">
        <f>D12+D14+D15+D16</f>
        <v>0</v>
      </c>
      <c r="E11" s="3119" t="e">
        <f>D11/D6</f>
        <v>#DIV/0!</v>
      </c>
      <c r="F11" s="3115"/>
      <c r="G11" s="3116"/>
      <c r="H11" s="3072"/>
      <c r="I11" s="3073"/>
      <c r="J11" s="4179"/>
      <c r="K11" s="4181"/>
      <c r="L11" s="3107" t="s">
        <v>2344</v>
      </c>
      <c r="M11" s="3108"/>
      <c r="N11" s="3084"/>
      <c r="O11" s="3109"/>
      <c r="P11" s="3109"/>
      <c r="Q11" s="3110">
        <v>365</v>
      </c>
      <c r="R11" s="3111">
        <f t="shared" si="0"/>
        <v>0</v>
      </c>
      <c r="S11" s="3064"/>
      <c r="T11" s="3064"/>
      <c r="U11" s="3064"/>
      <c r="V11" s="3073"/>
    </row>
    <row r="12" spans="1:22" s="3077" customFormat="1" ht="13.2" customHeight="1">
      <c r="A12" s="3120" t="s">
        <v>2345</v>
      </c>
      <c r="B12" s="4189" t="s">
        <v>2346</v>
      </c>
      <c r="C12" s="4190"/>
      <c r="D12" s="3121">
        <f>ROUND(D13*1.2%*(1-30%),0)</f>
        <v>0</v>
      </c>
      <c r="E12" s="3122">
        <v>1.2E-2</v>
      </c>
      <c r="F12" s="3115" t="s">
        <v>2347</v>
      </c>
      <c r="G12" s="3116"/>
      <c r="H12" s="3072"/>
      <c r="I12" s="3073"/>
      <c r="J12" s="4179"/>
      <c r="K12" s="4181"/>
      <c r="L12" s="3107" t="s">
        <v>2348</v>
      </c>
      <c r="M12" s="3108"/>
      <c r="N12" s="3084"/>
      <c r="O12" s="3109"/>
      <c r="P12" s="3109"/>
      <c r="Q12" s="3110">
        <v>365</v>
      </c>
      <c r="R12" s="3111">
        <f t="shared" si="0"/>
        <v>0</v>
      </c>
      <c r="S12" s="3064"/>
      <c r="T12" s="3064"/>
      <c r="U12" s="3064"/>
      <c r="V12" s="3073"/>
    </row>
    <row r="13" spans="1:22" s="3077" customFormat="1" ht="13.2" customHeight="1">
      <c r="A13" s="3120"/>
      <c r="B13" s="3123"/>
      <c r="C13" s="3124" t="s">
        <v>2349</v>
      </c>
      <c r="D13" s="3125"/>
      <c r="E13" s="3126"/>
      <c r="F13" s="3115"/>
      <c r="G13" s="3116"/>
      <c r="H13" s="3072"/>
      <c r="I13" s="3073"/>
      <c r="J13" s="4179"/>
      <c r="K13" s="4181"/>
      <c r="L13" s="3107" t="s">
        <v>2350</v>
      </c>
      <c r="M13" s="3108"/>
      <c r="N13" s="3084"/>
      <c r="O13" s="3109"/>
      <c r="P13" s="3109"/>
      <c r="Q13" s="3110">
        <v>365</v>
      </c>
      <c r="R13" s="3111">
        <f t="shared" si="0"/>
        <v>0</v>
      </c>
      <c r="S13" s="3064"/>
      <c r="T13" s="3064"/>
      <c r="U13" s="3064"/>
      <c r="V13" s="3073"/>
    </row>
    <row r="14" spans="1:22" s="3077" customFormat="1" ht="13.2" customHeight="1">
      <c r="A14" s="3120" t="s">
        <v>2351</v>
      </c>
      <c r="B14" s="4189" t="s">
        <v>2352</v>
      </c>
      <c r="C14" s="4190"/>
      <c r="D14" s="3121">
        <f>ROUND(E14*B5/10000,0)</f>
        <v>0</v>
      </c>
      <c r="E14" s="3110"/>
      <c r="F14" s="3115" t="s">
        <v>2353</v>
      </c>
      <c r="G14" s="3116"/>
      <c r="H14" s="3072"/>
      <c r="I14" s="3073"/>
      <c r="J14" s="4179"/>
      <c r="K14" s="4182"/>
      <c r="L14" s="3127" t="s">
        <v>2354</v>
      </c>
      <c r="M14" s="3128">
        <f>SUM(M7:M13)</f>
        <v>0</v>
      </c>
      <c r="N14" s="3128" t="e">
        <f>ROUND((N7*M7+N8*M8+N9*M9+N10*M10+N11*M11+N12*M12+N13*M13)/M14,0)</f>
        <v>#DIV/0!</v>
      </c>
      <c r="O14" s="3129"/>
      <c r="P14" s="3129"/>
      <c r="Q14" s="3130"/>
      <c r="R14" s="3076">
        <f>SUM(R7:R13)</f>
        <v>0</v>
      </c>
      <c r="S14" s="3064"/>
      <c r="T14" s="3064"/>
      <c r="U14" s="3064"/>
      <c r="V14" s="3073"/>
    </row>
    <row r="15" spans="1:22" s="3077" customFormat="1" ht="13.2" customHeight="1">
      <c r="A15" s="3120" t="s">
        <v>2355</v>
      </c>
      <c r="B15" s="4189" t="s">
        <v>2356</v>
      </c>
      <c r="C15" s="4190"/>
      <c r="D15" s="3121">
        <f>ROUND(D6*E15,0)</f>
        <v>0</v>
      </c>
      <c r="E15" s="3122">
        <v>5.5E-2</v>
      </c>
      <c r="F15" s="3115" t="s">
        <v>2357</v>
      </c>
      <c r="G15" s="3097"/>
      <c r="H15" s="3072"/>
      <c r="I15" s="3073"/>
      <c r="J15" s="4179">
        <v>2</v>
      </c>
      <c r="K15" s="4180" t="s">
        <v>2358</v>
      </c>
      <c r="L15" s="3107" t="s">
        <v>2359</v>
      </c>
      <c r="M15" s="3108" t="s">
        <v>2360</v>
      </c>
      <c r="N15" s="3108" t="s">
        <v>2361</v>
      </c>
      <c r="O15" s="3109" t="s">
        <v>2362</v>
      </c>
      <c r="P15" s="3109" t="s">
        <v>2363</v>
      </c>
      <c r="Q15" s="3084" t="s">
        <v>2364</v>
      </c>
      <c r="R15" s="3131" t="s">
        <v>2365</v>
      </c>
      <c r="S15" s="3064"/>
      <c r="T15" s="3064"/>
      <c r="U15" s="3064"/>
      <c r="V15" s="3073"/>
    </row>
    <row r="16" spans="1:22" s="3077" customFormat="1" ht="13.2" customHeight="1">
      <c r="A16" s="3120" t="s">
        <v>2366</v>
      </c>
      <c r="B16" s="4189" t="s">
        <v>2367</v>
      </c>
      <c r="C16" s="4190"/>
      <c r="D16" s="3132">
        <f>D6*E16</f>
        <v>0</v>
      </c>
      <c r="E16" s="3133"/>
      <c r="F16" s="3118" t="s">
        <v>2368</v>
      </c>
      <c r="G16" s="3097"/>
      <c r="H16" s="3072"/>
      <c r="I16" s="3073"/>
      <c r="J16" s="4179"/>
      <c r="K16" s="4181"/>
      <c r="L16" s="3107" t="s">
        <v>2369</v>
      </c>
      <c r="M16" s="3108"/>
      <c r="N16" s="3108"/>
      <c r="O16" s="3109"/>
      <c r="P16" s="3110">
        <v>365</v>
      </c>
      <c r="Q16" s="3084"/>
      <c r="R16" s="3131">
        <f>ROUND(M16*N16*O16*P16/10000,0)</f>
        <v>0</v>
      </c>
      <c r="S16" s="3064"/>
      <c r="T16" s="3064"/>
      <c r="U16" s="3064"/>
      <c r="V16" s="3073"/>
    </row>
    <row r="17" spans="1:22" s="3077" customFormat="1" ht="13.2" customHeight="1" thickBot="1">
      <c r="A17" s="3134">
        <v>4</v>
      </c>
      <c r="B17" s="4191" t="s">
        <v>2370</v>
      </c>
      <c r="C17" s="4192"/>
      <c r="D17" s="3135">
        <f>ROUND(D6*E17,0)</f>
        <v>0</v>
      </c>
      <c r="E17" s="3136"/>
      <c r="F17" s="3137" t="s">
        <v>2371</v>
      </c>
      <c r="G17" s="3097"/>
      <c r="H17" s="3072"/>
      <c r="I17" s="3073"/>
      <c r="J17" s="4179"/>
      <c r="K17" s="4181"/>
      <c r="L17" s="3107" t="s">
        <v>2372</v>
      </c>
      <c r="M17" s="3108"/>
      <c r="N17" s="3108"/>
      <c r="O17" s="3109"/>
      <c r="P17" s="3110">
        <v>365</v>
      </c>
      <c r="Q17" s="3084"/>
      <c r="R17" s="3131">
        <f>ROUND(M17*N17*O17*P17/10000,0)</f>
        <v>0</v>
      </c>
      <c r="S17" s="3064"/>
      <c r="T17" s="3064"/>
      <c r="U17" s="3064"/>
      <c r="V17" s="3073"/>
    </row>
    <row r="18" spans="1:22" s="3077" customFormat="1" ht="13.2" customHeight="1" thickBot="1">
      <c r="A18" s="3100" t="s">
        <v>2373</v>
      </c>
      <c r="B18" s="3101"/>
      <c r="C18" s="3101"/>
      <c r="D18" s="3138">
        <f>ROUND(D6*E18,0)</f>
        <v>0</v>
      </c>
      <c r="E18" s="3139"/>
      <c r="F18" s="3140" t="s">
        <v>2374</v>
      </c>
      <c r="G18" s="3097"/>
      <c r="H18" s="3072"/>
      <c r="I18" s="3073"/>
      <c r="J18" s="4179"/>
      <c r="K18" s="4181"/>
      <c r="L18" s="3107" t="s">
        <v>2375</v>
      </c>
      <c r="M18" s="3108"/>
      <c r="N18" s="3108"/>
      <c r="O18" s="3109"/>
      <c r="P18" s="3110">
        <v>365</v>
      </c>
      <c r="Q18" s="3084"/>
      <c r="R18" s="3131">
        <f>ROUND(M18*N18*O18*P18/10000,0)</f>
        <v>0</v>
      </c>
      <c r="S18" s="3064"/>
      <c r="T18" s="3064"/>
      <c r="U18" s="3064"/>
      <c r="V18" s="3073"/>
    </row>
    <row r="19" spans="1:22" s="3077" customFormat="1" ht="13.2" customHeight="1" thickBot="1">
      <c r="A19" s="3141" t="s">
        <v>2376</v>
      </c>
      <c r="B19" s="3095"/>
      <c r="C19" s="3095"/>
      <c r="D19" s="3095"/>
      <c r="E19" s="3095"/>
      <c r="F19" s="3096"/>
      <c r="G19" s="3116"/>
      <c r="H19" s="3072"/>
      <c r="I19" s="3073"/>
      <c r="J19" s="4179"/>
      <c r="K19" s="4182"/>
      <c r="L19" s="3127" t="s">
        <v>2354</v>
      </c>
      <c r="M19" s="3128"/>
      <c r="N19" s="3128">
        <f>SUM(N16:N18)</f>
        <v>0</v>
      </c>
      <c r="O19" s="3129"/>
      <c r="P19" s="3142" t="s">
        <v>2442</v>
      </c>
      <c r="Q19" s="3109"/>
      <c r="R19" s="3143">
        <f>ROUND(IF(P19="按比例",R14*Q19,SUM(R16:R18)),0)</f>
        <v>0</v>
      </c>
      <c r="S19" s="3064"/>
      <c r="T19" s="3064"/>
      <c r="U19" s="3064"/>
      <c r="V19" s="3073"/>
    </row>
    <row r="20" spans="1:22" s="3077" customFormat="1" ht="13.2" customHeight="1">
      <c r="A20" s="3100"/>
      <c r="B20" s="3101"/>
      <c r="C20" s="3101"/>
      <c r="D20" s="3101"/>
      <c r="E20" s="3101"/>
      <c r="F20" s="3144"/>
      <c r="G20" s="3116"/>
      <c r="H20" s="3072"/>
      <c r="I20" s="3073"/>
      <c r="J20" s="4179">
        <v>3</v>
      </c>
      <c r="K20" s="4180" t="s">
        <v>2377</v>
      </c>
      <c r="L20" s="3107" t="s">
        <v>2378</v>
      </c>
      <c r="M20" s="3108" t="s">
        <v>2379</v>
      </c>
      <c r="N20" s="3145" t="s">
        <v>2380</v>
      </c>
      <c r="O20" s="3109" t="s">
        <v>2381</v>
      </c>
      <c r="P20" s="3110" t="s">
        <v>2382</v>
      </c>
      <c r="Q20" s="3084" t="s">
        <v>2383</v>
      </c>
      <c r="R20" s="3131" t="s">
        <v>2325</v>
      </c>
      <c r="S20" s="3146"/>
      <c r="T20" s="3146"/>
      <c r="U20" s="3146"/>
      <c r="V20" s="3073"/>
    </row>
    <row r="21" spans="1:22" s="3077" customFormat="1" ht="13.2" customHeight="1">
      <c r="A21" s="3100"/>
      <c r="B21" s="3101"/>
      <c r="C21" s="3147" t="s">
        <v>2384</v>
      </c>
      <c r="D21" s="3148" t="s">
        <v>2385</v>
      </c>
      <c r="E21" s="3149" t="s">
        <v>2386</v>
      </c>
      <c r="F21" s="3144"/>
      <c r="G21" s="3116"/>
      <c r="H21" s="3072"/>
      <c r="I21" s="3073"/>
      <c r="J21" s="4179"/>
      <c r="K21" s="4181"/>
      <c r="L21" s="3107" t="s">
        <v>2387</v>
      </c>
      <c r="M21" s="3108"/>
      <c r="N21" s="3108"/>
      <c r="O21" s="3109"/>
      <c r="P21" s="3110">
        <v>365</v>
      </c>
      <c r="Q21" s="3084"/>
      <c r="R21" s="3150">
        <f>ROUND(M21*N21*O21*P21/10000,0)</f>
        <v>0</v>
      </c>
      <c r="S21" s="3146"/>
      <c r="T21" s="3146"/>
      <c r="U21" s="3146"/>
      <c r="V21" s="3073"/>
    </row>
    <row r="22" spans="1:22" s="3077" customFormat="1" ht="13.2" customHeight="1">
      <c r="A22" s="3100"/>
      <c r="B22" s="3101"/>
      <c r="C22" s="3151" t="s">
        <v>2388</v>
      </c>
      <c r="D22" s="3152" t="s">
        <v>2389</v>
      </c>
      <c r="E22" s="3153" t="s">
        <v>2390</v>
      </c>
      <c r="F22" s="3144"/>
      <c r="G22" s="3154"/>
      <c r="H22" s="3072"/>
      <c r="I22" s="3073"/>
      <c r="J22" s="4179"/>
      <c r="K22" s="4181"/>
      <c r="L22" s="3107" t="s">
        <v>2391</v>
      </c>
      <c r="M22" s="3108"/>
      <c r="N22" s="3108"/>
      <c r="O22" s="3109"/>
      <c r="P22" s="3110">
        <v>365</v>
      </c>
      <c r="Q22" s="3084"/>
      <c r="R22" s="3150">
        <f>ROUND(M22*N22*O22*P22/10000,0)</f>
        <v>0</v>
      </c>
      <c r="S22" s="3146"/>
      <c r="T22" s="3146"/>
      <c r="U22" s="3146"/>
      <c r="V22" s="3073"/>
    </row>
    <row r="23" spans="1:22" s="3077" customFormat="1" ht="13.2" customHeight="1">
      <c r="A23" s="3155">
        <v>1</v>
      </c>
      <c r="B23" s="3156" t="s">
        <v>2392</v>
      </c>
      <c r="C23" s="3157">
        <f>D6</f>
        <v>0</v>
      </c>
      <c r="D23" s="3158">
        <f>C23*(1+D24)</f>
        <v>0</v>
      </c>
      <c r="E23" s="3159">
        <f>D23*(1+E24)</f>
        <v>0</v>
      </c>
      <c r="F23" s="3160"/>
      <c r="G23" s="3161"/>
      <c r="H23" s="3072"/>
      <c r="I23" s="3073"/>
      <c r="J23" s="4179"/>
      <c r="K23" s="4181"/>
      <c r="L23" s="3107" t="s">
        <v>2393</v>
      </c>
      <c r="M23" s="3108"/>
      <c r="N23" s="3108"/>
      <c r="O23" s="3109"/>
      <c r="P23" s="3110">
        <v>365</v>
      </c>
      <c r="Q23" s="3084"/>
      <c r="R23" s="3150">
        <f>ROUND(M23*N23*O23*P23/10000,0)</f>
        <v>0</v>
      </c>
      <c r="S23" s="3064"/>
      <c r="T23" s="3064"/>
      <c r="U23" s="3064"/>
      <c r="V23" s="3073"/>
    </row>
    <row r="24" spans="1:22" s="3077" customFormat="1" ht="13.2" customHeight="1">
      <c r="A24" s="3162"/>
      <c r="B24" s="3163" t="s">
        <v>2394</v>
      </c>
      <c r="C24" s="3164"/>
      <c r="D24" s="3165"/>
      <c r="E24" s="3166"/>
      <c r="F24" s="3167"/>
      <c r="G24" s="3161"/>
      <c r="H24" s="3072"/>
      <c r="I24" s="3073"/>
      <c r="J24" s="4179"/>
      <c r="K24" s="4182"/>
      <c r="L24" s="3127" t="s">
        <v>2354</v>
      </c>
      <c r="M24" s="3128">
        <f>SUM(M21:M23)</f>
        <v>0</v>
      </c>
      <c r="N24" s="3128"/>
      <c r="O24" s="3129"/>
      <c r="P24" s="3142" t="s">
        <v>2442</v>
      </c>
      <c r="Q24" s="3109"/>
      <c r="R24" s="3143">
        <f>ROUND(IF(P24="按比例",R14*Q24,SUM(R21:R23)),0)</f>
        <v>0</v>
      </c>
      <c r="S24" s="3064"/>
      <c r="T24" s="3064"/>
      <c r="U24" s="3064"/>
      <c r="V24" s="3073"/>
    </row>
    <row r="25" spans="1:22" s="3174" customFormat="1" ht="13.2" customHeight="1">
      <c r="A25" s="3162"/>
      <c r="B25" s="3163"/>
      <c r="C25" s="3164"/>
      <c r="D25" s="3165"/>
      <c r="E25" s="3166"/>
      <c r="F25" s="3167"/>
      <c r="G25" s="3154"/>
      <c r="H25" s="3072"/>
      <c r="I25" s="3073"/>
      <c r="J25" s="3168">
        <v>4</v>
      </c>
      <c r="K25" s="3169" t="s">
        <v>2395</v>
      </c>
      <c r="L25" s="3170"/>
      <c r="M25" s="3170"/>
      <c r="N25" s="3170"/>
      <c r="O25" s="3170"/>
      <c r="P25" s="3171"/>
      <c r="Q25" s="3172"/>
      <c r="R25" s="3143">
        <f>ROUND(R14*Q25,0)</f>
        <v>0</v>
      </c>
      <c r="S25" s="3064"/>
      <c r="T25" s="3064"/>
      <c r="U25" s="3064"/>
      <c r="V25" s="3173"/>
    </row>
    <row r="26" spans="1:22" s="3174" customFormat="1" ht="13.2" customHeight="1">
      <c r="A26" s="3155">
        <v>2</v>
      </c>
      <c r="B26" s="3156" t="s">
        <v>2396</v>
      </c>
      <c r="C26" s="3157">
        <f>D7</f>
        <v>0</v>
      </c>
      <c r="D26" s="3158">
        <f>D23*D27</f>
        <v>0</v>
      </c>
      <c r="E26" s="3159">
        <f>E23*E27</f>
        <v>0</v>
      </c>
      <c r="F26" s="3160"/>
      <c r="G26" s="3161"/>
      <c r="H26" s="3072"/>
      <c r="I26" s="3073"/>
      <c r="J26" s="4183">
        <v>5</v>
      </c>
      <c r="K26" s="3175" t="s">
        <v>2397</v>
      </c>
      <c r="L26" s="3176"/>
      <c r="M26" s="3177"/>
      <c r="N26" s="3178" t="s">
        <v>2398</v>
      </c>
      <c r="O26" s="3178" t="s">
        <v>2399</v>
      </c>
      <c r="P26" s="3179" t="s">
        <v>2400</v>
      </c>
      <c r="Q26" s="3179" t="s">
        <v>2401</v>
      </c>
      <c r="R26" s="3082" t="s">
        <v>2402</v>
      </c>
      <c r="S26" s="3180"/>
      <c r="T26" s="3180"/>
      <c r="U26" s="3180"/>
      <c r="V26" s="3173"/>
    </row>
    <row r="27" spans="1:22" s="3077" customFormat="1" ht="13.2" customHeight="1">
      <c r="A27" s="3162"/>
      <c r="B27" s="3163" t="s">
        <v>2403</v>
      </c>
      <c r="C27" s="3181" t="e">
        <f>E7</f>
        <v>#DIV/0!</v>
      </c>
      <c r="D27" s="3165"/>
      <c r="E27" s="3166"/>
      <c r="F27" s="3167"/>
      <c r="G27" s="3161"/>
      <c r="H27" s="3182"/>
      <c r="I27" s="3173"/>
      <c r="J27" s="4184"/>
      <c r="K27" s="3183"/>
      <c r="L27" s="3184"/>
      <c r="M27" s="3185"/>
      <c r="N27" s="3186"/>
      <c r="O27" s="3186"/>
      <c r="P27" s="3186"/>
      <c r="Q27" s="3187"/>
      <c r="R27" s="3143">
        <f>ROUND(O27*N27*P27*(1-Q27)/10000,0)</f>
        <v>0</v>
      </c>
      <c r="S27" s="3064"/>
      <c r="T27" s="3064"/>
      <c r="U27" s="3064"/>
      <c r="V27" s="3073"/>
    </row>
    <row r="28" spans="1:22" s="3174" customFormat="1" ht="13.2" customHeight="1" thickBot="1">
      <c r="A28" s="3162"/>
      <c r="B28" s="3163"/>
      <c r="C28" s="3181"/>
      <c r="D28" s="3165"/>
      <c r="E28" s="3166" t="s">
        <v>2404</v>
      </c>
      <c r="F28" s="3167"/>
      <c r="G28" s="3154"/>
      <c r="H28" s="3182"/>
      <c r="I28" s="3173"/>
      <c r="J28" s="3188">
        <v>6</v>
      </c>
      <c r="K28" s="3189" t="s">
        <v>2405</v>
      </c>
      <c r="L28" s="3190" t="s">
        <v>2406</v>
      </c>
      <c r="M28" s="3191"/>
      <c r="N28" s="3190" t="s">
        <v>2407</v>
      </c>
      <c r="O28" s="3192"/>
      <c r="P28" s="3190" t="s">
        <v>2408</v>
      </c>
      <c r="Q28" s="3193">
        <v>1.4999999999999999E-2</v>
      </c>
      <c r="R28" s="3194"/>
      <c r="S28" s="3146"/>
      <c r="T28" s="3146"/>
      <c r="U28" s="3146"/>
      <c r="V28" s="3173"/>
    </row>
    <row r="29" spans="1:22" s="3174" customFormat="1" ht="13.2" customHeight="1">
      <c r="A29" s="3155">
        <v>3</v>
      </c>
      <c r="B29" s="3156" t="s">
        <v>2409</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2" customHeight="1" thickBot="1">
      <c r="A30" s="3162"/>
      <c r="B30" s="3163" t="s">
        <v>2410</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2" customHeight="1">
      <c r="A31" s="3162"/>
      <c r="B31" s="3163"/>
      <c r="C31" s="3196"/>
      <c r="D31" s="3195"/>
      <c r="E31" s="3126"/>
      <c r="F31" s="3167"/>
      <c r="G31" s="3154"/>
      <c r="H31" s="3182"/>
      <c r="I31" s="3173"/>
      <c r="J31" s="3061" t="s">
        <v>2411</v>
      </c>
      <c r="K31" s="3062"/>
      <c r="L31" s="3062"/>
      <c r="M31" s="3062"/>
      <c r="N31" s="3062"/>
      <c r="O31" s="3062"/>
      <c r="P31" s="3062"/>
      <c r="Q31" s="3062"/>
      <c r="R31" s="3063"/>
      <c r="S31" s="3146"/>
      <c r="T31" s="3064"/>
      <c r="U31" s="3064"/>
      <c r="V31" s="3173"/>
    </row>
    <row r="32" spans="1:22" s="3174" customFormat="1" ht="13.2" customHeight="1">
      <c r="A32" s="3155">
        <v>4</v>
      </c>
      <c r="B32" s="3156" t="s">
        <v>2412</v>
      </c>
      <c r="C32" s="3157">
        <f>C23-C26-C29</f>
        <v>0</v>
      </c>
      <c r="D32" s="3158">
        <f>D23-D26-D29</f>
        <v>0</v>
      </c>
      <c r="E32" s="3159">
        <f>E23-E26-E29</f>
        <v>0</v>
      </c>
      <c r="F32" s="3160"/>
      <c r="G32" s="3154"/>
      <c r="H32" s="3072"/>
      <c r="I32" s="3073"/>
      <c r="J32" s="4185" t="s">
        <v>2413</v>
      </c>
      <c r="K32" s="4186"/>
      <c r="L32" s="3074" t="s">
        <v>2414</v>
      </c>
      <c r="M32" s="3074" t="s">
        <v>2303</v>
      </c>
      <c r="N32" s="3074" t="s">
        <v>2304</v>
      </c>
      <c r="O32" s="3074" t="s">
        <v>2305</v>
      </c>
      <c r="P32" s="3074" t="s">
        <v>2306</v>
      </c>
      <c r="Q32" s="3075" t="s">
        <v>2415</v>
      </c>
      <c r="R32" s="3197" t="s">
        <v>2416</v>
      </c>
      <c r="S32" s="3146"/>
      <c r="T32" s="3064"/>
      <c r="U32" s="3064"/>
      <c r="V32" s="3173"/>
    </row>
    <row r="33" spans="1:23" s="3077" customFormat="1" ht="13.2" customHeight="1">
      <c r="A33" s="3155"/>
      <c r="B33" s="3156"/>
      <c r="C33" s="3157"/>
      <c r="D33" s="3198"/>
      <c r="E33" s="3199"/>
      <c r="F33" s="3160"/>
      <c r="G33" s="3154"/>
      <c r="H33" s="3182"/>
      <c r="I33" s="3173"/>
      <c r="J33" s="4187" t="s">
        <v>2417</v>
      </c>
      <c r="K33" s="4188"/>
      <c r="L33" s="3080"/>
      <c r="M33" s="3080"/>
      <c r="N33" s="3080"/>
      <c r="O33" s="3080"/>
      <c r="P33" s="3080"/>
      <c r="Q33" s="3081"/>
      <c r="R33" s="3200">
        <f>SUM(L33:Q33)</f>
        <v>0</v>
      </c>
      <c r="S33" s="3146"/>
      <c r="T33" s="3064"/>
      <c r="U33" s="3064"/>
      <c r="V33" s="3073"/>
    </row>
    <row r="34" spans="1:23" s="3077" customFormat="1" ht="13.2" customHeight="1">
      <c r="A34" s="3155">
        <v>5</v>
      </c>
      <c r="B34" s="3156" t="s">
        <v>2418</v>
      </c>
      <c r="C34" s="3201"/>
      <c r="D34" s="3202"/>
      <c r="E34" s="3203"/>
      <c r="F34" s="3160"/>
      <c r="G34" s="3154"/>
      <c r="H34" s="3182"/>
      <c r="I34" s="3173"/>
      <c r="J34" s="4187" t="s">
        <v>2419</v>
      </c>
      <c r="K34" s="4188"/>
      <c r="L34" s="3085"/>
      <c r="M34" s="3085"/>
      <c r="N34" s="3085"/>
      <c r="O34" s="3085"/>
      <c r="P34" s="3085"/>
      <c r="Q34" s="3086"/>
      <c r="R34" s="3204">
        <f>SUM(L34:Q34)</f>
        <v>0</v>
      </c>
      <c r="S34" s="3146"/>
      <c r="T34" s="3064"/>
      <c r="U34" s="3064" t="e">
        <f>ROUND(R35*10000/365/R33,1)</f>
        <v>#DIV/0!</v>
      </c>
      <c r="V34" s="3073"/>
    </row>
    <row r="35" spans="1:23" s="3077" customFormat="1" ht="13.2" customHeight="1">
      <c r="A35" s="3155">
        <v>6</v>
      </c>
      <c r="B35" s="3156" t="s">
        <v>2420</v>
      </c>
      <c r="C35" s="3205"/>
      <c r="D35" s="3206"/>
      <c r="E35" s="3207"/>
      <c r="F35" s="3160"/>
      <c r="G35" s="3208"/>
      <c r="H35" s="3072"/>
      <c r="I35" s="3173"/>
      <c r="J35" s="3091" t="s">
        <v>2421</v>
      </c>
      <c r="K35" s="3092"/>
      <c r="L35" s="3092"/>
      <c r="M35" s="3093"/>
      <c r="N35" s="3093"/>
      <c r="O35" s="3093"/>
      <c r="P35" s="3093"/>
      <c r="Q35" s="3093"/>
      <c r="R35" s="3209">
        <f>R40+R41+R43</f>
        <v>0</v>
      </c>
      <c r="S35" s="3146"/>
      <c r="T35" s="3064" t="s">
        <v>2422</v>
      </c>
      <c r="U35" s="3064"/>
      <c r="V35" s="3073"/>
    </row>
    <row r="36" spans="1:23" s="3077" customFormat="1" ht="13.2" customHeight="1" thickBot="1">
      <c r="A36" s="3155">
        <v>7</v>
      </c>
      <c r="B36" s="3210" t="s">
        <v>2423</v>
      </c>
      <c r="C36" s="3211"/>
      <c r="D36" s="3212"/>
      <c r="E36" s="3213"/>
      <c r="F36" s="3214">
        <f>C36+D36+E36</f>
        <v>0</v>
      </c>
      <c r="G36" s="3154"/>
      <c r="H36" s="3072"/>
      <c r="I36" s="3073"/>
      <c r="J36" s="4179">
        <v>1</v>
      </c>
      <c r="K36" s="4180" t="s">
        <v>2424</v>
      </c>
      <c r="L36" s="3098"/>
      <c r="M36" s="3099"/>
      <c r="N36" s="3099"/>
      <c r="O36" s="3099"/>
      <c r="P36" s="3099"/>
      <c r="Q36" s="3099"/>
      <c r="R36" s="3082" t="s">
        <v>2325</v>
      </c>
      <c r="S36" s="3146"/>
      <c r="T36" s="3064" t="s">
        <v>2326</v>
      </c>
      <c r="U36" s="3064"/>
      <c r="V36" s="3073"/>
    </row>
    <row r="37" spans="1:23" s="3077" customFormat="1" ht="13.2" customHeight="1">
      <c r="A37" s="3155"/>
      <c r="B37" s="3156"/>
      <c r="C37" s="3156"/>
      <c r="D37" s="3156"/>
      <c r="E37" s="3156"/>
      <c r="F37" s="3160"/>
      <c r="G37" s="3154"/>
      <c r="H37" s="3072"/>
      <c r="I37" s="3073"/>
      <c r="J37" s="4179"/>
      <c r="K37" s="4181"/>
      <c r="L37" s="3107"/>
      <c r="M37" s="3108"/>
      <c r="N37" s="3084"/>
      <c r="O37" s="3109"/>
      <c r="P37" s="3109"/>
      <c r="Q37" s="3110"/>
      <c r="R37" s="3111"/>
      <c r="S37" s="3146"/>
      <c r="T37" s="3064" t="s">
        <v>2329</v>
      </c>
      <c r="U37" s="3064"/>
      <c r="V37" s="3073"/>
    </row>
    <row r="38" spans="1:23" s="3077" customFormat="1" ht="13.2" customHeight="1">
      <c r="A38" s="3155">
        <v>8</v>
      </c>
      <c r="B38" s="3156"/>
      <c r="C38" s="3113" t="e">
        <f>ROUND(C32*(1-((1+C35)/(1+C34))^C36)/(C34-C35),0)</f>
        <v>#DIV/0!</v>
      </c>
      <c r="D38" s="3113">
        <f>IF(D23=0,0,ROUND(D32*(1-((1+D35)/(1+D34))^D36)/(D34-D35),0))</f>
        <v>0</v>
      </c>
      <c r="E38" s="3113">
        <f>IF(E23=0,0,ROUND(E32*(1-((1+E35)/(1+E34))^E36)/(E34-E35),0))</f>
        <v>0</v>
      </c>
      <c r="F38" s="3160"/>
      <c r="G38" s="3154"/>
      <c r="H38" s="3072"/>
      <c r="I38" s="3073"/>
      <c r="J38" s="4179"/>
      <c r="K38" s="4181"/>
      <c r="L38" s="3107"/>
      <c r="M38" s="3108"/>
      <c r="N38" s="3084"/>
      <c r="O38" s="3109"/>
      <c r="P38" s="3109"/>
      <c r="Q38" s="3110"/>
      <c r="R38" s="3111"/>
      <c r="S38" s="3146"/>
      <c r="T38" s="3064" t="s">
        <v>2336</v>
      </c>
      <c r="U38" s="3064"/>
      <c r="V38" s="3073"/>
    </row>
    <row r="39" spans="1:23" s="3077" customFormat="1" ht="13.2" customHeight="1">
      <c r="A39" s="3155">
        <v>9</v>
      </c>
      <c r="B39" s="3156" t="s">
        <v>2425</v>
      </c>
      <c r="C39" s="3121" t="e">
        <f>C38</f>
        <v>#DIV/0!</v>
      </c>
      <c r="D39" s="3156">
        <f>D38/(1+D34)^C36</f>
        <v>0</v>
      </c>
      <c r="E39" s="3156">
        <f>E38/(1+E34)^(C36+D36)</f>
        <v>0</v>
      </c>
      <c r="F39" s="3160"/>
      <c r="G39" s="3215"/>
      <c r="H39" s="3072"/>
      <c r="I39" s="3073"/>
      <c r="J39" s="4179"/>
      <c r="K39" s="4181"/>
      <c r="L39" s="3107"/>
      <c r="M39" s="3108"/>
      <c r="N39" s="3084"/>
      <c r="O39" s="3109"/>
      <c r="P39" s="3109"/>
      <c r="Q39" s="3110"/>
      <c r="R39" s="3111"/>
      <c r="S39" s="3146"/>
      <c r="T39" s="3064"/>
      <c r="U39" s="3064"/>
      <c r="V39" s="3073"/>
    </row>
    <row r="40" spans="1:23" s="3077" customFormat="1" ht="13.2" customHeight="1">
      <c r="A40" s="3216">
        <v>10</v>
      </c>
      <c r="B40" s="3156" t="s">
        <v>2426</v>
      </c>
      <c r="C40" s="3217" t="e">
        <f>C39+D39+E39</f>
        <v>#DIV/0!</v>
      </c>
      <c r="D40" s="3218"/>
      <c r="E40" s="3218"/>
      <c r="F40" s="3219"/>
      <c r="G40" s="3154"/>
      <c r="H40" s="3072"/>
      <c r="I40" s="3073"/>
      <c r="J40" s="4179"/>
      <c r="K40" s="4182"/>
      <c r="L40" s="3127" t="s">
        <v>2427</v>
      </c>
      <c r="M40" s="3128"/>
      <c r="N40" s="3128"/>
      <c r="O40" s="3129"/>
      <c r="P40" s="3129"/>
      <c r="Q40" s="3130"/>
      <c r="R40" s="3076">
        <f>SUM(R37:R39)</f>
        <v>0</v>
      </c>
      <c r="S40" s="3146"/>
      <c r="T40" s="3064"/>
      <c r="U40" s="3064"/>
      <c r="V40" s="3073"/>
    </row>
    <row r="41" spans="1:23" s="3077" customFormat="1" ht="13.2" customHeight="1" thickBot="1">
      <c r="A41" s="3220">
        <v>11</v>
      </c>
      <c r="B41" s="3221" t="s">
        <v>2428</v>
      </c>
      <c r="C41" s="3221" t="e">
        <f>ROUND(C40*10000/B4,0)</f>
        <v>#DIV/0!</v>
      </c>
      <c r="D41" s="3222"/>
      <c r="E41" s="3222"/>
      <c r="F41" s="3223"/>
      <c r="G41" s="3224"/>
      <c r="H41" s="3072"/>
      <c r="I41" s="3073"/>
      <c r="J41" s="3168">
        <v>2</v>
      </c>
      <c r="K41" s="3169" t="s">
        <v>2429</v>
      </c>
      <c r="L41" s="3170"/>
      <c r="M41" s="3170"/>
      <c r="N41" s="3170"/>
      <c r="O41" s="3170"/>
      <c r="P41" s="3171"/>
      <c r="Q41" s="3172"/>
      <c r="R41" s="3143">
        <f>ROUND(R40*Q41,0)</f>
        <v>0</v>
      </c>
      <c r="S41" s="3146"/>
      <c r="T41" s="3064"/>
      <c r="U41" s="3180"/>
      <c r="V41" s="3073"/>
    </row>
    <row r="42" spans="1:23" s="3077" customFormat="1" ht="13.2" customHeight="1">
      <c r="G42" s="3224"/>
      <c r="H42" s="3072"/>
      <c r="I42" s="3073"/>
      <c r="J42" s="4183">
        <v>3</v>
      </c>
      <c r="K42" s="3175" t="s">
        <v>2430</v>
      </c>
      <c r="L42" s="3176"/>
      <c r="M42" s="3177"/>
      <c r="N42" s="3178" t="s">
        <v>2431</v>
      </c>
      <c r="O42" s="3178" t="s">
        <v>2432</v>
      </c>
      <c r="P42" s="3179" t="s">
        <v>2433</v>
      </c>
      <c r="Q42" s="3179" t="s">
        <v>2434</v>
      </c>
      <c r="R42" s="3082" t="s">
        <v>2435</v>
      </c>
      <c r="S42" s="3180"/>
      <c r="T42" s="3180"/>
      <c r="U42" s="3064"/>
      <c r="V42" s="3073"/>
    </row>
    <row r="43" spans="1:23" ht="13.2" customHeight="1">
      <c r="A43" s="3077"/>
      <c r="B43" s="3077"/>
      <c r="C43" s="3077"/>
      <c r="D43" s="3077"/>
      <c r="E43" s="3077"/>
      <c r="F43" s="3077"/>
      <c r="I43" s="3059"/>
      <c r="J43" s="4184"/>
      <c r="K43" s="3183"/>
      <c r="L43" s="3184"/>
      <c r="M43" s="3185"/>
      <c r="N43" s="3108"/>
      <c r="O43" s="3108"/>
      <c r="P43" s="3108"/>
      <c r="Q43" s="3172"/>
      <c r="R43" s="3143">
        <f>ROUND(O43*N43*P43*(1-Q43)/10000,0)</f>
        <v>0</v>
      </c>
      <c r="S43" s="3146"/>
      <c r="T43" s="3064"/>
      <c r="V43" s="3226"/>
      <c r="W43" s="3227"/>
    </row>
    <row r="44" spans="1:23" ht="13.2" customHeight="1" thickBot="1">
      <c r="J44" s="3188">
        <v>6</v>
      </c>
      <c r="K44" s="3189" t="s">
        <v>2436</v>
      </c>
      <c r="L44" s="3228" t="s">
        <v>2437</v>
      </c>
      <c r="M44" s="3191"/>
      <c r="N44" s="3228" t="s">
        <v>2438</v>
      </c>
      <c r="O44" s="3191"/>
      <c r="P44" s="3228" t="s">
        <v>2439</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3" zoomScale="80" zoomScaleNormal="50" zoomScaleSheetLayoutView="80" workbookViewId="0">
      <selection activeCell="C69" sqref="C69"/>
    </sheetView>
  </sheetViews>
  <sheetFormatPr defaultColWidth="9" defaultRowHeight="13.8"/>
  <cols>
    <col min="1" max="1" width="13.33203125" style="1198" customWidth="1"/>
    <col min="2" max="2" width="15.77734375" style="1198" customWidth="1"/>
    <col min="3" max="3" width="16.88671875" style="1198" customWidth="1"/>
    <col min="4" max="4" width="12.21875" style="1198" customWidth="1"/>
    <col min="5" max="5" width="17.44140625" style="1198" customWidth="1"/>
    <col min="6" max="6" width="12.21875" style="1198" customWidth="1"/>
    <col min="7" max="7" width="17.33203125" style="1198" customWidth="1"/>
    <col min="8" max="8" width="12.21875" style="1198" customWidth="1"/>
    <col min="9" max="9" width="17"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9546</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1217</v>
      </c>
      <c r="B3" s="480">
        <f>ROUND(B2*10000/'数据-汇总表'!E3,0)</f>
        <v>8889</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8889</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593</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4.4">
      <c r="A6" s="482" t="s">
        <v>470</v>
      </c>
      <c r="B6" s="483"/>
      <c r="C6" s="4097" t="s">
        <v>471</v>
      </c>
      <c r="D6" s="4098"/>
      <c r="E6" s="4119" t="s">
        <v>472</v>
      </c>
      <c r="F6" s="4120"/>
      <c r="G6" s="4097" t="s">
        <v>473</v>
      </c>
      <c r="H6" s="4098"/>
      <c r="I6" s="4097" t="s">
        <v>474</v>
      </c>
      <c r="J6" s="4098"/>
      <c r="K6" s="484" t="s">
        <v>475</v>
      </c>
      <c r="L6" s="1856"/>
      <c r="M6" s="1857"/>
      <c r="N6" s="1857"/>
      <c r="O6" s="1857"/>
      <c r="P6" s="4099" t="s">
        <v>476</v>
      </c>
      <c r="Q6" s="4100"/>
      <c r="R6" s="4083" t="s">
        <v>472</v>
      </c>
      <c r="S6" s="4084"/>
      <c r="T6" s="4083" t="s">
        <v>473</v>
      </c>
      <c r="U6" s="4084"/>
      <c r="V6" s="4105" t="s">
        <v>474</v>
      </c>
      <c r="W6" s="4105"/>
      <c r="X6" s="3664"/>
      <c r="Y6" s="4083" t="s">
        <v>476</v>
      </c>
      <c r="Z6" s="4084"/>
      <c r="AA6" s="4078" t="s">
        <v>472</v>
      </c>
      <c r="AB6" s="4079" t="s">
        <v>473</v>
      </c>
      <c r="AC6" s="4078" t="s">
        <v>474</v>
      </c>
    </row>
    <row r="7" spans="1:29">
      <c r="A7" s="485"/>
      <c r="B7" s="486"/>
      <c r="C7" s="4108" t="s">
        <v>2190</v>
      </c>
      <c r="D7" s="4109"/>
      <c r="E7" s="4121" t="str">
        <f>'案例（海淀）'!B3</f>
        <v>永丰产业基地（新）园区土地一级开发项目F1地块</v>
      </c>
      <c r="F7" s="4122"/>
      <c r="G7" s="4108" t="str">
        <f>'案例（海淀）'!B4</f>
        <v>永丰产业基地（新）园区土地一级开发项目F2地块</v>
      </c>
      <c r="H7" s="4109"/>
      <c r="I7" s="4108" t="str">
        <f>'案例（海淀）'!B6</f>
        <v>北部地区温泉镇HD00-0301-6003等地块</v>
      </c>
      <c r="J7" s="4109"/>
      <c r="K7" s="484"/>
      <c r="L7" s="1856"/>
      <c r="M7" s="1857"/>
      <c r="N7" s="1857"/>
      <c r="O7" s="1857"/>
      <c r="P7" s="4101"/>
      <c r="Q7" s="4102"/>
      <c r="R7" s="4085"/>
      <c r="S7" s="4086"/>
      <c r="T7" s="4085"/>
      <c r="U7" s="4086"/>
      <c r="V7" s="4105"/>
      <c r="W7" s="4105"/>
      <c r="X7" s="3664"/>
      <c r="Y7" s="4085"/>
      <c r="Z7" s="4086"/>
      <c r="AA7" s="4079"/>
      <c r="AB7" s="4079"/>
      <c r="AC7" s="4079"/>
    </row>
    <row r="8" spans="1:29" ht="15" thickBot="1">
      <c r="A8" s="487"/>
      <c r="B8" s="488"/>
      <c r="C8" s="4106" t="s">
        <v>2194</v>
      </c>
      <c r="D8" s="4107"/>
      <c r="E8" s="4123" t="s">
        <v>2194</v>
      </c>
      <c r="F8" s="4124"/>
      <c r="G8" s="4106" t="s">
        <v>2194</v>
      </c>
      <c r="H8" s="4107"/>
      <c r="I8" s="4106" t="s">
        <v>2194</v>
      </c>
      <c r="J8" s="4107"/>
      <c r="K8" s="484" t="s">
        <v>477</v>
      </c>
      <c r="L8" s="1856"/>
      <c r="M8" s="1857"/>
      <c r="N8" s="1857"/>
      <c r="O8" s="1857"/>
      <c r="P8" s="4103"/>
      <c r="Q8" s="4104"/>
      <c r="R8" s="4085"/>
      <c r="S8" s="4086"/>
      <c r="T8" s="4087"/>
      <c r="U8" s="4088"/>
      <c r="V8" s="4105"/>
      <c r="W8" s="4105"/>
      <c r="X8" s="3664"/>
      <c r="Y8" s="4087"/>
      <c r="Z8" s="4088"/>
      <c r="AA8" s="4080"/>
      <c r="AB8" s="4080"/>
      <c r="AC8" s="4080"/>
    </row>
    <row r="9" spans="1:29" s="1118" customFormat="1" ht="15" thickBot="1">
      <c r="A9" s="2391"/>
      <c r="B9" s="2398" t="s">
        <v>478</v>
      </c>
      <c r="C9" s="489">
        <f>'数据-取费表'!B2</f>
        <v>45744</v>
      </c>
      <c r="D9" s="490">
        <v>100</v>
      </c>
      <c r="E9" s="491">
        <f>'案例（海淀）'!I3</f>
        <v>44435</v>
      </c>
      <c r="F9" s="492">
        <f>SUMIF(66:66,YEAR(E9)&amp;"-"&amp;INT((MONTH(E9)+2)/3),67:67)</f>
        <v>93.3</v>
      </c>
      <c r="G9" s="493">
        <f>'案例（海淀）'!I4</f>
        <v>44704</v>
      </c>
      <c r="H9" s="490">
        <f>SUMIF(66:66,YEAR(G9)&amp;"-"&amp;INT((MONTH(G9)+2)/3),67:67)</f>
        <v>94.87</v>
      </c>
      <c r="I9" s="493">
        <f>'案例（海淀）'!I6</f>
        <v>45062</v>
      </c>
      <c r="J9" s="490">
        <f>SUMIF(66:66,YEAR(I9)&amp;"-"&amp;INT((MONTH(I9)+2)/3),67:67)</f>
        <v>97.49</v>
      </c>
      <c r="K9" s="494"/>
      <c r="L9" s="1858"/>
      <c r="M9" s="1859"/>
      <c r="N9" s="1859"/>
      <c r="O9" s="1859"/>
      <c r="P9" s="4081" t="s">
        <v>479</v>
      </c>
      <c r="Q9" s="4090"/>
      <c r="R9" s="1381" t="s">
        <v>5</v>
      </c>
      <c r="S9" s="1382">
        <f t="shared" ref="S9:S17" si="0">F9</f>
        <v>93.3</v>
      </c>
      <c r="T9" s="1381" t="s">
        <v>5</v>
      </c>
      <c r="U9" s="1382">
        <f t="shared" ref="U9:U17" si="1">H9</f>
        <v>94.87</v>
      </c>
      <c r="V9" s="1381" t="s">
        <v>5</v>
      </c>
      <c r="W9" s="1382">
        <f t="shared" ref="W9:W17" si="2">J9</f>
        <v>97.49</v>
      </c>
      <c r="X9" s="1383"/>
      <c r="Y9" s="4081" t="s">
        <v>479</v>
      </c>
      <c r="Z9" s="4082"/>
      <c r="AA9" s="1384">
        <f>D9/F9</f>
        <v>1.0718113612004287</v>
      </c>
      <c r="AB9" s="1384">
        <f>D9/H9</f>
        <v>1.0540739959945187</v>
      </c>
      <c r="AC9" s="1384">
        <f>D9/J9</f>
        <v>1.0257462303826035</v>
      </c>
    </row>
    <row r="10" spans="1:29" s="1118" customFormat="1" ht="15" thickBot="1">
      <c r="A10" s="2392"/>
      <c r="B10" s="2399" t="s">
        <v>480</v>
      </c>
      <c r="C10" s="495" t="s">
        <v>481</v>
      </c>
      <c r="D10" s="490">
        <v>100</v>
      </c>
      <c r="E10" s="495" t="s">
        <v>3298</v>
      </c>
      <c r="F10" s="492">
        <f>SUMIF(69:69,E10,70:70)-SUMIF(69:69,C10,70:70)+100</f>
        <v>100</v>
      </c>
      <c r="G10" s="495" t="s">
        <v>3298</v>
      </c>
      <c r="H10" s="490">
        <f>SUMIF(69:69,G10,70:70)-SUMIF(69:69,C10,70:70)+100</f>
        <v>100</v>
      </c>
      <c r="I10" s="495" t="s">
        <v>3298</v>
      </c>
      <c r="J10" s="490">
        <f>SUMIF(69:69,I10,70:70)-SUMIF(69:69,C10,70:70)+100</f>
        <v>100</v>
      </c>
      <c r="K10" s="494"/>
      <c r="L10" s="1858"/>
      <c r="M10" s="1859"/>
      <c r="N10" s="1859"/>
      <c r="O10" s="1859"/>
      <c r="P10" s="4081" t="s">
        <v>482</v>
      </c>
      <c r="Q10" s="4082"/>
      <c r="R10" s="1381" t="s">
        <v>5</v>
      </c>
      <c r="S10" s="1382">
        <f t="shared" si="0"/>
        <v>100</v>
      </c>
      <c r="T10" s="1381" t="s">
        <v>5</v>
      </c>
      <c r="U10" s="1382">
        <f t="shared" si="1"/>
        <v>100</v>
      </c>
      <c r="V10" s="1381" t="s">
        <v>5</v>
      </c>
      <c r="W10" s="1382">
        <f t="shared" si="2"/>
        <v>100</v>
      </c>
      <c r="X10" s="1383"/>
      <c r="Y10" s="4081" t="s">
        <v>482</v>
      </c>
      <c r="Z10" s="4082"/>
      <c r="AA10" s="1384">
        <f t="shared" ref="AA10:AA42" si="3">D10/F10</f>
        <v>1</v>
      </c>
      <c r="AB10" s="1384">
        <f t="shared" ref="AB10:AB42" si="4">D10/H10</f>
        <v>1</v>
      </c>
      <c r="AC10" s="1384">
        <f t="shared" ref="AC10:AC42" si="5">D10/J10</f>
        <v>1</v>
      </c>
    </row>
    <row r="11" spans="1:29" s="1118"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4089" t="s">
        <v>484</v>
      </c>
      <c r="Q11" s="3661" t="str">
        <f t="shared" ref="Q11:Q17" si="6">B11</f>
        <v>用途</v>
      </c>
      <c r="R11" s="1381" t="s">
        <v>5</v>
      </c>
      <c r="S11" s="1382">
        <f t="shared" si="0"/>
        <v>100</v>
      </c>
      <c r="T11" s="1381" t="s">
        <v>5</v>
      </c>
      <c r="U11" s="1382">
        <f t="shared" si="1"/>
        <v>100</v>
      </c>
      <c r="V11" s="1381" t="s">
        <v>5</v>
      </c>
      <c r="W11" s="1382">
        <f t="shared" si="2"/>
        <v>100</v>
      </c>
      <c r="X11" s="1383"/>
      <c r="Y11" s="4035" t="s">
        <v>485</v>
      </c>
      <c r="Z11" s="3660" t="str">
        <f t="shared" ref="Z11:Z17" si="7">Q11</f>
        <v>用途</v>
      </c>
      <c r="AA11" s="1384">
        <f t="shared" si="3"/>
        <v>1</v>
      </c>
      <c r="AB11" s="1384">
        <f t="shared" si="4"/>
        <v>1</v>
      </c>
      <c r="AC11" s="1384">
        <f t="shared" si="5"/>
        <v>1</v>
      </c>
    </row>
    <row r="12" spans="1:29" s="1199" customFormat="1" ht="28.8">
      <c r="A12" s="2394"/>
      <c r="B12" s="2399" t="s">
        <v>2039</v>
      </c>
      <c r="C12" s="498">
        <v>50</v>
      </c>
      <c r="D12" s="246">
        <v>100</v>
      </c>
      <c r="E12" s="498"/>
      <c r="F12" s="246">
        <f>ROUND(100/'数据-取费表'!G16,0)</f>
        <v>100</v>
      </c>
      <c r="G12" s="498"/>
      <c r="H12" s="246">
        <f>ROUND(100/'数据-取费表'!G16,0)</f>
        <v>100</v>
      </c>
      <c r="I12" s="498"/>
      <c r="J12" s="246">
        <f>ROUND(100/'数据-取费表'!G16,0)</f>
        <v>100</v>
      </c>
      <c r="K12" s="501"/>
      <c r="L12" s="1861"/>
      <c r="M12" s="1900"/>
      <c r="N12" s="1900"/>
      <c r="O12" s="1862"/>
      <c r="P12" s="4089"/>
      <c r="Q12" s="3661" t="str">
        <f t="shared" si="6"/>
        <v>土地使用年限（年）</v>
      </c>
      <c r="R12" s="1381" t="s">
        <v>5</v>
      </c>
      <c r="S12" s="1382">
        <f t="shared" si="0"/>
        <v>100</v>
      </c>
      <c r="T12" s="1381" t="s">
        <v>5</v>
      </c>
      <c r="U12" s="1382">
        <f t="shared" si="1"/>
        <v>100</v>
      </c>
      <c r="V12" s="1381" t="s">
        <v>5</v>
      </c>
      <c r="W12" s="1382">
        <f t="shared" si="2"/>
        <v>100</v>
      </c>
      <c r="X12" s="1383"/>
      <c r="Y12" s="4035"/>
      <c r="Z12" s="3660"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4089"/>
      <c r="Q13" s="3661" t="str">
        <f t="shared" si="6"/>
        <v>容积率</v>
      </c>
      <c r="R13" s="1381" t="s">
        <v>5</v>
      </c>
      <c r="S13" s="1382">
        <f t="shared" si="0"/>
        <v>100</v>
      </c>
      <c r="T13" s="1381" t="s">
        <v>5</v>
      </c>
      <c r="U13" s="1382">
        <f t="shared" si="1"/>
        <v>100</v>
      </c>
      <c r="V13" s="1381" t="s">
        <v>5</v>
      </c>
      <c r="W13" s="1382">
        <f t="shared" si="2"/>
        <v>100</v>
      </c>
      <c r="X13" s="1383"/>
      <c r="Y13" s="4035"/>
      <c r="Z13" s="3660"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4089"/>
      <c r="Q14" s="3661">
        <f t="shared" si="6"/>
        <v>111</v>
      </c>
      <c r="R14" s="1381" t="s">
        <v>5</v>
      </c>
      <c r="S14" s="1382">
        <f t="shared" si="0"/>
        <v>100</v>
      </c>
      <c r="T14" s="1381" t="s">
        <v>5</v>
      </c>
      <c r="U14" s="1382">
        <f t="shared" si="1"/>
        <v>100</v>
      </c>
      <c r="V14" s="1381" t="s">
        <v>5</v>
      </c>
      <c r="W14" s="1382">
        <f t="shared" si="2"/>
        <v>100</v>
      </c>
      <c r="X14" s="1383"/>
      <c r="Y14" s="4035"/>
      <c r="Z14" s="3660">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4089"/>
      <c r="Q15" s="3661">
        <f t="shared" si="6"/>
        <v>111</v>
      </c>
      <c r="R15" s="1381" t="s">
        <v>5</v>
      </c>
      <c r="S15" s="1382">
        <f t="shared" si="0"/>
        <v>100</v>
      </c>
      <c r="T15" s="1381" t="s">
        <v>5</v>
      </c>
      <c r="U15" s="1382">
        <f t="shared" si="1"/>
        <v>100</v>
      </c>
      <c r="V15" s="1381" t="s">
        <v>5</v>
      </c>
      <c r="W15" s="1382">
        <f t="shared" si="2"/>
        <v>100</v>
      </c>
      <c r="X15" s="1383"/>
      <c r="Y15" s="4035"/>
      <c r="Z15" s="3660">
        <f t="shared" si="7"/>
        <v>111</v>
      </c>
      <c r="AA15" s="1384">
        <f t="shared" si="3"/>
        <v>1</v>
      </c>
      <c r="AB15" s="1384">
        <f t="shared" si="4"/>
        <v>1</v>
      </c>
      <c r="AC15" s="1384">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4089"/>
      <c r="Q16" s="3661">
        <f t="shared" si="6"/>
        <v>111</v>
      </c>
      <c r="R16" s="1381" t="s">
        <v>5</v>
      </c>
      <c r="S16" s="1382">
        <f t="shared" si="0"/>
        <v>100</v>
      </c>
      <c r="T16" s="1381" t="s">
        <v>5</v>
      </c>
      <c r="U16" s="1382">
        <f t="shared" si="1"/>
        <v>100</v>
      </c>
      <c r="V16" s="1381" t="s">
        <v>5</v>
      </c>
      <c r="W16" s="1382">
        <f t="shared" si="2"/>
        <v>100</v>
      </c>
      <c r="X16" s="1383"/>
      <c r="Y16" s="4035"/>
      <c r="Z16" s="3660">
        <f t="shared" si="7"/>
        <v>111</v>
      </c>
      <c r="AA16" s="1384">
        <f t="shared" si="3"/>
        <v>1</v>
      </c>
      <c r="AB16" s="1384">
        <f t="shared" si="4"/>
        <v>1</v>
      </c>
      <c r="AC16" s="1384">
        <f t="shared" si="5"/>
        <v>1</v>
      </c>
    </row>
    <row r="17" spans="1:29" ht="55.2">
      <c r="A17" s="2389" t="s">
        <v>2036</v>
      </c>
      <c r="B17" s="159" t="s">
        <v>546</v>
      </c>
      <c r="C17" s="884" t="str">
        <f>估价对象房地状况!G15</f>
        <v>估价对象位于海淀区，区域工业成熟度一般，产业集聚程度一般</v>
      </c>
      <c r="D17" s="519">
        <v>100</v>
      </c>
      <c r="E17" s="520"/>
      <c r="F17" s="519">
        <f>SUMIF(84:84,E18,85:85)-SUMIF(84:84,C18,85:85)+100</f>
        <v>102</v>
      </c>
      <c r="G17" s="520"/>
      <c r="H17" s="519">
        <f>SUMIF(84:84,G18,85:85)-SUMIF(84:84,C18,85:85)+100</f>
        <v>102</v>
      </c>
      <c r="I17" s="522"/>
      <c r="J17" s="519">
        <f>SUMIF(84:84,I18,85:85)-SUMIF(84:84,C18,85:85)+100</f>
        <v>100</v>
      </c>
      <c r="K17" s="505">
        <v>2</v>
      </c>
      <c r="L17" s="1865"/>
      <c r="M17" s="1857"/>
      <c r="N17" s="1857"/>
      <c r="O17" s="1864"/>
      <c r="P17" s="4091" t="s">
        <v>489</v>
      </c>
      <c r="Q17" s="3662" t="str">
        <f t="shared" si="6"/>
        <v>产业集聚程度</v>
      </c>
      <c r="R17" s="1386" t="s">
        <v>5</v>
      </c>
      <c r="S17" s="1387">
        <f t="shared" si="0"/>
        <v>102</v>
      </c>
      <c r="T17" s="1386" t="s">
        <v>5</v>
      </c>
      <c r="U17" s="1387">
        <f t="shared" si="1"/>
        <v>102</v>
      </c>
      <c r="V17" s="1386" t="s">
        <v>5</v>
      </c>
      <c r="W17" s="1387">
        <f t="shared" si="2"/>
        <v>100</v>
      </c>
      <c r="X17" s="3664"/>
      <c r="Y17" s="4091" t="s">
        <v>489</v>
      </c>
      <c r="Z17" s="3663" t="str">
        <f t="shared" si="7"/>
        <v>产业集聚程度</v>
      </c>
      <c r="AA17" s="3665">
        <f t="shared" si="3"/>
        <v>0.98039215686274506</v>
      </c>
      <c r="AB17" s="3665">
        <f t="shared" si="4"/>
        <v>0.98039215686274506</v>
      </c>
      <c r="AC17" s="3665">
        <f t="shared" si="5"/>
        <v>1</v>
      </c>
    </row>
    <row r="18" spans="1:29" ht="15">
      <c r="A18" s="502"/>
      <c r="B18" s="832"/>
      <c r="C18" s="546" t="s">
        <v>3302</v>
      </c>
      <c r="D18" s="525"/>
      <c r="E18" s="524" t="s">
        <v>3303</v>
      </c>
      <c r="F18" s="525"/>
      <c r="G18" s="524" t="s">
        <v>3303</v>
      </c>
      <c r="H18" s="529"/>
      <c r="I18" s="524" t="s">
        <v>3302</v>
      </c>
      <c r="J18" s="525"/>
      <c r="K18" s="501"/>
      <c r="L18" s="1865"/>
      <c r="M18" s="1857"/>
      <c r="N18" s="1857"/>
      <c r="O18" s="1864"/>
      <c r="P18" s="4092"/>
      <c r="Q18" s="3662"/>
      <c r="R18" s="1386"/>
      <c r="S18" s="1387"/>
      <c r="T18" s="1386"/>
      <c r="U18" s="1387"/>
      <c r="V18" s="1386"/>
      <c r="W18" s="1387"/>
      <c r="X18" s="3664"/>
      <c r="Y18" s="4092"/>
      <c r="Z18" s="3663"/>
      <c r="AA18" s="3665">
        <v>1</v>
      </c>
      <c r="AB18" s="3665">
        <v>1</v>
      </c>
      <c r="AC18" s="3665">
        <v>1</v>
      </c>
    </row>
    <row r="19" spans="1:29" ht="69">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4092"/>
      <c r="Q19" s="3662" t="str">
        <f>B19</f>
        <v>交通便捷度</v>
      </c>
      <c r="R19" s="1386" t="s">
        <v>5</v>
      </c>
      <c r="S19" s="1387">
        <f>F19</f>
        <v>100</v>
      </c>
      <c r="T19" s="1386" t="s">
        <v>5</v>
      </c>
      <c r="U19" s="1387">
        <f>H19</f>
        <v>100</v>
      </c>
      <c r="V19" s="1386" t="s">
        <v>5</v>
      </c>
      <c r="W19" s="1387">
        <f>J19</f>
        <v>100</v>
      </c>
      <c r="X19" s="3664"/>
      <c r="Y19" s="4092"/>
      <c r="Z19" s="3663" t="str">
        <f>Q19</f>
        <v>交通便捷度</v>
      </c>
      <c r="AA19" s="3665">
        <f t="shared" si="3"/>
        <v>1</v>
      </c>
      <c r="AB19" s="3665">
        <f t="shared" si="4"/>
        <v>1</v>
      </c>
      <c r="AC19" s="3665">
        <f t="shared" si="5"/>
        <v>1</v>
      </c>
    </row>
    <row r="20" spans="1:29" ht="15">
      <c r="A20" s="502"/>
      <c r="B20" s="885"/>
      <c r="C20" s="546" t="s">
        <v>3303</v>
      </c>
      <c r="D20" s="525"/>
      <c r="E20" s="526" t="s">
        <v>3303</v>
      </c>
      <c r="F20" s="525"/>
      <c r="G20" s="526" t="s">
        <v>3303</v>
      </c>
      <c r="H20" s="525"/>
      <c r="I20" s="528" t="s">
        <v>3303</v>
      </c>
      <c r="J20" s="525"/>
      <c r="K20" s="501"/>
      <c r="L20" s="1865"/>
      <c r="M20" s="1857"/>
      <c r="N20" s="1857"/>
      <c r="O20" s="1864"/>
      <c r="P20" s="4092"/>
      <c r="Q20" s="3662"/>
      <c r="R20" s="1386"/>
      <c r="S20" s="1387"/>
      <c r="T20" s="1386"/>
      <c r="U20" s="1387"/>
      <c r="V20" s="1386"/>
      <c r="W20" s="1387"/>
      <c r="X20" s="3664"/>
      <c r="Y20" s="4092"/>
      <c r="Z20" s="3663"/>
      <c r="AA20" s="3665">
        <v>1</v>
      </c>
      <c r="AB20" s="3665">
        <v>1</v>
      </c>
      <c r="AC20" s="3665">
        <v>1</v>
      </c>
    </row>
    <row r="21" spans="1:29" ht="28.8">
      <c r="A21" s="485"/>
      <c r="B21" s="834" t="s">
        <v>493</v>
      </c>
      <c r="C21" s="835">
        <f>估价对象房地状况!G17</f>
        <v>0</v>
      </c>
      <c r="D21" s="529">
        <v>100</v>
      </c>
      <c r="E21" s="532"/>
      <c r="F21" s="533">
        <f>SUMIF(88:88,E22,89:89)-SUMIF(88:88,C22,89:89)+100</f>
        <v>102</v>
      </c>
      <c r="G21" s="534"/>
      <c r="H21" s="533">
        <f>SUMIF(88:88,G22,89:89)-SUMIF(88:88,C22,89:89)+100</f>
        <v>102</v>
      </c>
      <c r="I21" s="534"/>
      <c r="J21" s="533">
        <f>SUMIF(88:88,I22,89:89)-SUMIF(88:88,C22,89:89)+100</f>
        <v>102</v>
      </c>
      <c r="K21" s="969">
        <v>1</v>
      </c>
      <c r="L21" s="1865"/>
      <c r="M21" s="1857"/>
      <c r="N21" s="1857"/>
      <c r="O21" s="1864"/>
      <c r="P21" s="4092"/>
      <c r="Q21" s="3662" t="str">
        <f t="shared" ref="Q21:Q35" si="8">B21</f>
        <v>区域土地利用方向</v>
      </c>
      <c r="R21" s="1386" t="s">
        <v>5</v>
      </c>
      <c r="S21" s="1387">
        <f>F21</f>
        <v>102</v>
      </c>
      <c r="T21" s="1386" t="s">
        <v>5</v>
      </c>
      <c r="U21" s="1387">
        <f>H21</f>
        <v>102</v>
      </c>
      <c r="V21" s="1386" t="s">
        <v>5</v>
      </c>
      <c r="W21" s="1387">
        <f>J21</f>
        <v>102</v>
      </c>
      <c r="X21" s="3664"/>
      <c r="Y21" s="4092"/>
      <c r="Z21" s="3663" t="str">
        <f>Q21</f>
        <v>区域土地利用方向</v>
      </c>
      <c r="AA21" s="3665">
        <f t="shared" si="3"/>
        <v>0.98039215686274506</v>
      </c>
      <c r="AB21" s="3665">
        <f t="shared" si="4"/>
        <v>0.98039215686274506</v>
      </c>
      <c r="AC21" s="3665">
        <f t="shared" si="5"/>
        <v>0.98039215686274506</v>
      </c>
    </row>
    <row r="22" spans="1:29" ht="15">
      <c r="A22" s="485"/>
      <c r="B22" s="565"/>
      <c r="C22" s="546" t="s">
        <v>3304</v>
      </c>
      <c r="D22" s="525"/>
      <c r="E22" s="526" t="s">
        <v>3303</v>
      </c>
      <c r="F22" s="527"/>
      <c r="G22" s="528" t="s">
        <v>3303</v>
      </c>
      <c r="H22" s="527"/>
      <c r="I22" s="528" t="s">
        <v>3303</v>
      </c>
      <c r="J22" s="527"/>
      <c r="K22" s="1208"/>
      <c r="L22" s="1865"/>
      <c r="M22" s="1857"/>
      <c r="N22" s="1857"/>
      <c r="O22" s="1864"/>
      <c r="P22" s="4092"/>
      <c r="Q22" s="3662"/>
      <c r="R22" s="1386"/>
      <c r="S22" s="1387"/>
      <c r="T22" s="1386"/>
      <c r="U22" s="1387"/>
      <c r="V22" s="1386"/>
      <c r="W22" s="1387"/>
      <c r="X22" s="3664"/>
      <c r="Y22" s="4092"/>
      <c r="Z22" s="3663"/>
      <c r="AA22" s="3665"/>
      <c r="AB22" s="3665"/>
      <c r="AC22" s="3665"/>
    </row>
    <row r="23" spans="1:29" ht="69">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4092"/>
      <c r="Q23" s="3662" t="str">
        <f t="shared" si="8"/>
        <v>环境状况</v>
      </c>
      <c r="R23" s="1386" t="s">
        <v>5</v>
      </c>
      <c r="S23" s="1387">
        <f>F23</f>
        <v>100</v>
      </c>
      <c r="T23" s="1386" t="s">
        <v>5</v>
      </c>
      <c r="U23" s="1387">
        <f>H23</f>
        <v>100</v>
      </c>
      <c r="V23" s="1386" t="s">
        <v>5</v>
      </c>
      <c r="W23" s="1387">
        <f>J23</f>
        <v>100</v>
      </c>
      <c r="X23" s="3664"/>
      <c r="Y23" s="4092"/>
      <c r="Z23" s="3663" t="str">
        <f>Q23</f>
        <v>环境状况</v>
      </c>
      <c r="AA23" s="3665">
        <f t="shared" si="3"/>
        <v>1</v>
      </c>
      <c r="AB23" s="3665">
        <f t="shared" si="4"/>
        <v>1</v>
      </c>
      <c r="AC23" s="3665">
        <f t="shared" si="5"/>
        <v>1</v>
      </c>
    </row>
    <row r="24" spans="1:29" ht="15">
      <c r="A24" s="485"/>
      <c r="B24" s="565"/>
      <c r="C24" s="546" t="s">
        <v>3303</v>
      </c>
      <c r="D24" s="525"/>
      <c r="E24" s="524" t="s">
        <v>3303</v>
      </c>
      <c r="F24" s="525"/>
      <c r="G24" s="524" t="s">
        <v>3303</v>
      </c>
      <c r="H24" s="525"/>
      <c r="I24" s="546" t="s">
        <v>3303</v>
      </c>
      <c r="J24" s="525"/>
      <c r="K24" s="501"/>
      <c r="L24" s="1865"/>
      <c r="M24" s="1857"/>
      <c r="N24" s="1857"/>
      <c r="O24" s="1864"/>
      <c r="P24" s="4092"/>
      <c r="Q24" s="3662"/>
      <c r="R24" s="1386"/>
      <c r="S24" s="1387"/>
      <c r="T24" s="1386"/>
      <c r="U24" s="1387"/>
      <c r="V24" s="1386"/>
      <c r="W24" s="1387"/>
      <c r="X24" s="3664"/>
      <c r="Y24" s="4092"/>
      <c r="Z24" s="3663"/>
      <c r="AA24" s="3665">
        <v>1</v>
      </c>
      <c r="AB24" s="3665">
        <v>1</v>
      </c>
      <c r="AC24" s="3665">
        <v>1</v>
      </c>
    </row>
    <row r="25" spans="1:29" s="1118" customFormat="1" ht="41.4">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4092"/>
      <c r="Q25" s="3661" t="str">
        <f t="shared" si="8"/>
        <v>公共配套设施</v>
      </c>
      <c r="R25" s="1381" t="s">
        <v>5</v>
      </c>
      <c r="S25" s="1382">
        <f>F25</f>
        <v>100</v>
      </c>
      <c r="T25" s="1381" t="s">
        <v>5</v>
      </c>
      <c r="U25" s="1382">
        <f>H25</f>
        <v>100</v>
      </c>
      <c r="V25" s="1381" t="s">
        <v>5</v>
      </c>
      <c r="W25" s="1382">
        <f>J25</f>
        <v>100</v>
      </c>
      <c r="X25" s="1383"/>
      <c r="Y25" s="4092"/>
      <c r="Z25" s="3660" t="str">
        <f>Q25</f>
        <v>公共配套设施</v>
      </c>
      <c r="AA25" s="3665">
        <f>D25/F25</f>
        <v>1</v>
      </c>
      <c r="AB25" s="3665">
        <f>D25/H25</f>
        <v>1</v>
      </c>
      <c r="AC25" s="3665">
        <f>D25/J25</f>
        <v>1</v>
      </c>
    </row>
    <row r="26" spans="1:29" s="1118" customFormat="1" ht="15">
      <c r="A26" s="547"/>
      <c r="B26" s="565"/>
      <c r="C26" s="2199" t="s">
        <v>3303</v>
      </c>
      <c r="D26" s="525"/>
      <c r="E26" s="524" t="s">
        <v>3303</v>
      </c>
      <c r="F26" s="525"/>
      <c r="G26" s="524" t="s">
        <v>3303</v>
      </c>
      <c r="H26" s="525"/>
      <c r="I26" s="546" t="s">
        <v>3303</v>
      </c>
      <c r="J26" s="525"/>
      <c r="K26" s="501"/>
      <c r="L26" s="1858"/>
      <c r="M26" s="1859"/>
      <c r="N26" s="1859"/>
      <c r="O26" s="1860"/>
      <c r="P26" s="4092"/>
      <c r="Q26" s="3661"/>
      <c r="R26" s="1381"/>
      <c r="S26" s="1382"/>
      <c r="T26" s="1381"/>
      <c r="U26" s="1382"/>
      <c r="V26" s="1381"/>
      <c r="W26" s="1382"/>
      <c r="X26" s="1383"/>
      <c r="Y26" s="4092"/>
      <c r="Z26" s="3660"/>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4092"/>
      <c r="Q27" s="3661" t="str">
        <f>B27</f>
        <v>基础设施水平</v>
      </c>
      <c r="R27" s="1381" t="s">
        <v>5</v>
      </c>
      <c r="S27" s="1382">
        <f>F27</f>
        <v>100</v>
      </c>
      <c r="T27" s="1381" t="s">
        <v>5</v>
      </c>
      <c r="U27" s="1382">
        <f>H27</f>
        <v>100</v>
      </c>
      <c r="V27" s="1381" t="s">
        <v>5</v>
      </c>
      <c r="W27" s="1382">
        <f>J27</f>
        <v>100</v>
      </c>
      <c r="X27" s="1383"/>
      <c r="Y27" s="4092"/>
      <c r="Z27" s="3660" t="str">
        <f>Q27</f>
        <v>基础设施水平</v>
      </c>
      <c r="AA27" s="3665">
        <f>D27/F27</f>
        <v>1</v>
      </c>
      <c r="AB27" s="3665">
        <f>D27/H27</f>
        <v>1</v>
      </c>
      <c r="AC27" s="3665">
        <f>D27/J27</f>
        <v>1</v>
      </c>
    </row>
    <row r="28" spans="1:29" s="1118" customFormat="1" ht="15">
      <c r="A28" s="547"/>
      <c r="B28" s="565"/>
      <c r="C28" s="2199" t="s">
        <v>3305</v>
      </c>
      <c r="D28" s="525"/>
      <c r="E28" s="549" t="s">
        <v>3305</v>
      </c>
      <c r="F28" s="525"/>
      <c r="G28" s="549" t="s">
        <v>3305</v>
      </c>
      <c r="H28" s="525"/>
      <c r="I28" s="549" t="s">
        <v>3305</v>
      </c>
      <c r="J28" s="525"/>
      <c r="K28" s="501"/>
      <c r="L28" s="1858"/>
      <c r="M28" s="1859"/>
      <c r="N28" s="1859"/>
      <c r="O28" s="1860"/>
      <c r="P28" s="4092"/>
      <c r="Q28" s="3661"/>
      <c r="R28" s="1381"/>
      <c r="S28" s="1382"/>
      <c r="T28" s="1381"/>
      <c r="U28" s="1382"/>
      <c r="V28" s="1381"/>
      <c r="W28" s="1382"/>
      <c r="X28" s="1383"/>
      <c r="Y28" s="4092"/>
      <c r="Z28" s="3660"/>
      <c r="AA28" s="1384">
        <v>1</v>
      </c>
      <c r="AB28" s="1384">
        <v>1</v>
      </c>
      <c r="AC28" s="1384">
        <v>1</v>
      </c>
    </row>
    <row r="29" spans="1:29" ht="15">
      <c r="A29" s="502"/>
      <c r="B29" s="565" t="s">
        <v>496</v>
      </c>
      <c r="C29" s="553" t="s">
        <v>3311</v>
      </c>
      <c r="D29" s="510">
        <v>100</v>
      </c>
      <c r="E29" s="550" t="s">
        <v>3310</v>
      </c>
      <c r="F29" s="510">
        <f>SUMIF(96:96,E29,97:97)-SUMIF(96:96,C29,97:97)+100</f>
        <v>102</v>
      </c>
      <c r="G29" s="550" t="s">
        <v>3310</v>
      </c>
      <c r="H29" s="510">
        <f>SUMIF(96:96,G29,97:97)-SUMIF(96:96,C29,97:97)+100</f>
        <v>102</v>
      </c>
      <c r="I29" s="550" t="s">
        <v>3310</v>
      </c>
      <c r="J29" s="510">
        <f>SUMIF(96:96,I29,97:97)-SUMIF(96:96,C29,97:97)+100</f>
        <v>102</v>
      </c>
      <c r="K29" s="505">
        <v>2</v>
      </c>
      <c r="L29" s="1865"/>
      <c r="M29" s="1857"/>
      <c r="N29" s="1857"/>
      <c r="O29" s="1864"/>
      <c r="P29" s="4092"/>
      <c r="Q29" s="3662" t="str">
        <f t="shared" si="8"/>
        <v>临街状况</v>
      </c>
      <c r="R29" s="1386" t="s">
        <v>5</v>
      </c>
      <c r="S29" s="1387">
        <f t="shared" ref="S29:S42" si="9">F29</f>
        <v>102</v>
      </c>
      <c r="T29" s="1386" t="s">
        <v>5</v>
      </c>
      <c r="U29" s="1387">
        <f t="shared" ref="U29:U42" si="10">H29</f>
        <v>102</v>
      </c>
      <c r="V29" s="1386" t="s">
        <v>5</v>
      </c>
      <c r="W29" s="1387">
        <f t="shared" ref="W29:W42" si="11">J29</f>
        <v>102</v>
      </c>
      <c r="X29" s="3664"/>
      <c r="Y29" s="4092"/>
      <c r="Z29" s="3663" t="str">
        <f t="shared" ref="Z29:Z42" si="12">Q29</f>
        <v>临街状况</v>
      </c>
      <c r="AA29" s="3665">
        <f t="shared" si="3"/>
        <v>0.98039215686274506</v>
      </c>
      <c r="AB29" s="3665">
        <f t="shared" si="4"/>
        <v>0.98039215686274506</v>
      </c>
      <c r="AC29" s="3665">
        <f t="shared" si="5"/>
        <v>0.98039215686274506</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4092"/>
      <c r="Q30" s="3662" t="str">
        <f t="shared" si="8"/>
        <v>毗邻道路的类型与等级</v>
      </c>
      <c r="R30" s="1386" t="s">
        <v>5</v>
      </c>
      <c r="S30" s="1387">
        <f t="shared" si="9"/>
        <v>100</v>
      </c>
      <c r="T30" s="1386" t="s">
        <v>5</v>
      </c>
      <c r="U30" s="1387">
        <f t="shared" si="10"/>
        <v>100</v>
      </c>
      <c r="V30" s="1386" t="s">
        <v>5</v>
      </c>
      <c r="W30" s="1387">
        <f t="shared" si="11"/>
        <v>100</v>
      </c>
      <c r="X30" s="3664"/>
      <c r="Y30" s="4092"/>
      <c r="Z30" s="3663" t="str">
        <f t="shared" si="12"/>
        <v>毗邻道路的类型与等级</v>
      </c>
      <c r="AA30" s="3665">
        <f t="shared" si="3"/>
        <v>1</v>
      </c>
      <c r="AB30" s="3665">
        <f t="shared" si="4"/>
        <v>1</v>
      </c>
      <c r="AC30" s="3665">
        <f t="shared" si="5"/>
        <v>1</v>
      </c>
    </row>
    <row r="31" spans="1:29" ht="15">
      <c r="A31" s="502"/>
      <c r="B31" s="565"/>
      <c r="C31" s="546"/>
      <c r="D31" s="525"/>
      <c r="E31" s="546"/>
      <c r="F31" s="525"/>
      <c r="G31" s="546"/>
      <c r="H31" s="525"/>
      <c r="I31" s="546"/>
      <c r="J31" s="525"/>
      <c r="K31" s="551"/>
      <c r="L31" s="1865"/>
      <c r="M31" s="1857"/>
      <c r="N31" s="1857"/>
      <c r="O31" s="1864"/>
      <c r="P31" s="4092"/>
      <c r="Q31" s="3662"/>
      <c r="R31" s="1386"/>
      <c r="S31" s="1387"/>
      <c r="T31" s="1386"/>
      <c r="U31" s="1387"/>
      <c r="V31" s="1386"/>
      <c r="W31" s="1387"/>
      <c r="X31" s="3664"/>
      <c r="Y31" s="4092"/>
      <c r="Z31" s="3663"/>
      <c r="AA31" s="3665">
        <v>1</v>
      </c>
      <c r="AB31" s="3665">
        <v>1</v>
      </c>
      <c r="AC31" s="3665">
        <v>1</v>
      </c>
    </row>
    <row r="32" spans="1:29" ht="15">
      <c r="A32" s="502"/>
      <c r="B32" s="497" t="s">
        <v>498</v>
      </c>
      <c r="C32" s="2203" t="str">
        <f>估价对象房地状况!G23</f>
        <v>六级</v>
      </c>
      <c r="D32" s="510">
        <v>100</v>
      </c>
      <c r="E32" s="550" t="s">
        <v>1153</v>
      </c>
      <c r="F32" s="510">
        <f>SUMIF(100:100,E32,101:101)-SUMIF(100:100,C32,101:101)+100</f>
        <v>100</v>
      </c>
      <c r="G32" s="550" t="s">
        <v>1153</v>
      </c>
      <c r="H32" s="510">
        <f>SUMIF(100:100,G32,101:101)-SUMIF(100:100,C32,101:101)+100</f>
        <v>100</v>
      </c>
      <c r="I32" s="550" t="s">
        <v>1154</v>
      </c>
      <c r="J32" s="510">
        <f>SUMIF(100:100,I32,101:101)-SUMIF(100:100,C32,101:101)+100</f>
        <v>100</v>
      </c>
      <c r="K32" s="554">
        <v>0</v>
      </c>
      <c r="L32" s="1865"/>
      <c r="M32" s="1857"/>
      <c r="N32" s="1857"/>
      <c r="O32" s="1864"/>
      <c r="P32" s="4092"/>
      <c r="Q32" s="3662" t="str">
        <f t="shared" si="8"/>
        <v>土地级别</v>
      </c>
      <c r="R32" s="1386" t="s">
        <v>5</v>
      </c>
      <c r="S32" s="1387">
        <f t="shared" si="9"/>
        <v>100</v>
      </c>
      <c r="T32" s="1386" t="s">
        <v>5</v>
      </c>
      <c r="U32" s="1387">
        <f t="shared" si="10"/>
        <v>100</v>
      </c>
      <c r="V32" s="1386" t="s">
        <v>5</v>
      </c>
      <c r="W32" s="1387">
        <f t="shared" si="11"/>
        <v>100</v>
      </c>
      <c r="X32" s="3664"/>
      <c r="Y32" s="4092"/>
      <c r="Z32" s="3663" t="str">
        <f t="shared" si="12"/>
        <v>土地级别</v>
      </c>
      <c r="AA32" s="3665">
        <f t="shared" si="3"/>
        <v>1</v>
      </c>
      <c r="AB32" s="3665">
        <f t="shared" si="4"/>
        <v>1</v>
      </c>
      <c r="AC32" s="3665">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4092"/>
      <c r="Q33" s="3662">
        <f t="shared" si="8"/>
        <v>111</v>
      </c>
      <c r="R33" s="1386" t="s">
        <v>5</v>
      </c>
      <c r="S33" s="1387">
        <f t="shared" si="9"/>
        <v>100</v>
      </c>
      <c r="T33" s="1386" t="s">
        <v>5</v>
      </c>
      <c r="U33" s="1387">
        <f t="shared" si="10"/>
        <v>100</v>
      </c>
      <c r="V33" s="1386" t="s">
        <v>5</v>
      </c>
      <c r="W33" s="1387">
        <f t="shared" si="11"/>
        <v>100</v>
      </c>
      <c r="X33" s="3664"/>
      <c r="Y33" s="4092"/>
      <c r="Z33" s="3663">
        <f t="shared" si="12"/>
        <v>111</v>
      </c>
      <c r="AA33" s="3665">
        <f t="shared" si="3"/>
        <v>1</v>
      </c>
      <c r="AB33" s="3665">
        <f t="shared" si="4"/>
        <v>1</v>
      </c>
      <c r="AC33" s="3665">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4093" t="s">
        <v>499</v>
      </c>
      <c r="Q34" s="3662">
        <f t="shared" si="8"/>
        <v>111</v>
      </c>
      <c r="R34" s="1386" t="s">
        <v>5</v>
      </c>
      <c r="S34" s="1387">
        <f t="shared" si="9"/>
        <v>100</v>
      </c>
      <c r="T34" s="1386" t="s">
        <v>5</v>
      </c>
      <c r="U34" s="1387">
        <f t="shared" si="10"/>
        <v>100</v>
      </c>
      <c r="V34" s="1386" t="s">
        <v>5</v>
      </c>
      <c r="W34" s="1387">
        <f t="shared" si="11"/>
        <v>100</v>
      </c>
      <c r="X34" s="3664"/>
      <c r="Y34" s="4094" t="s">
        <v>499</v>
      </c>
      <c r="Z34" s="3663">
        <f t="shared" si="12"/>
        <v>111</v>
      </c>
      <c r="AA34" s="3665">
        <f t="shared" si="3"/>
        <v>1</v>
      </c>
      <c r="AB34" s="3665">
        <f t="shared" si="4"/>
        <v>1</v>
      </c>
      <c r="AC34" s="3665">
        <f t="shared" si="5"/>
        <v>1</v>
      </c>
    </row>
    <row r="35" spans="1:29" s="1200"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4094"/>
      <c r="Q35" s="3662">
        <f t="shared" si="8"/>
        <v>111</v>
      </c>
      <c r="R35" s="1390" t="s">
        <v>5</v>
      </c>
      <c r="S35" s="1391">
        <f t="shared" si="9"/>
        <v>100</v>
      </c>
      <c r="T35" s="1390" t="s">
        <v>5</v>
      </c>
      <c r="U35" s="1391">
        <f t="shared" si="10"/>
        <v>100</v>
      </c>
      <c r="V35" s="1390" t="s">
        <v>5</v>
      </c>
      <c r="W35" s="1391">
        <f t="shared" si="11"/>
        <v>100</v>
      </c>
      <c r="X35" s="1392"/>
      <c r="Y35" s="4094"/>
      <c r="Z35" s="1393">
        <f t="shared" si="12"/>
        <v>111</v>
      </c>
      <c r="AA35" s="3665">
        <f t="shared" si="3"/>
        <v>1</v>
      </c>
      <c r="AB35" s="3665">
        <f t="shared" si="4"/>
        <v>1</v>
      </c>
      <c r="AC35" s="3665">
        <f t="shared" si="5"/>
        <v>1</v>
      </c>
    </row>
    <row r="36" spans="1:29" ht="15">
      <c r="A36" s="2386" t="s">
        <v>2037</v>
      </c>
      <c r="B36" s="565" t="s">
        <v>501</v>
      </c>
      <c r="C36" s="566">
        <f>'数据-基础表'!A3</f>
        <v>10738.85</v>
      </c>
      <c r="D36" s="567">
        <v>100</v>
      </c>
      <c r="E36" s="566">
        <f>'案例（海淀）'!$D$3</f>
        <v>180055.75</v>
      </c>
      <c r="F36" s="567">
        <f>LOOKUP(E36,109:109,110:110)-LOOKUP(C36,109:109,110:110)+100</f>
        <v>100</v>
      </c>
      <c r="G36" s="566">
        <f>'案例（海淀）'!$D$4</f>
        <v>187577</v>
      </c>
      <c r="H36" s="567">
        <f>LOOKUP(G36,109:109,110:110)-LOOKUP(C36,109:109,110:110)+100</f>
        <v>100</v>
      </c>
      <c r="I36" s="568">
        <f>'案例（海淀）'!$D$6</f>
        <v>156502.60800000001</v>
      </c>
      <c r="J36" s="567">
        <f>LOOKUP(I36,109:109,110:110)-LOOKUP(C36,109:109,110:110)+100</f>
        <v>100</v>
      </c>
      <c r="K36" s="551"/>
      <c r="L36" s="1865"/>
      <c r="M36" s="1857"/>
      <c r="N36" s="1857"/>
      <c r="O36" s="1864"/>
      <c r="P36" s="4094"/>
      <c r="Q36" s="3662" t="str">
        <f>B36</f>
        <v>宗地面积</v>
      </c>
      <c r="R36" s="1386" t="s">
        <v>5</v>
      </c>
      <c r="S36" s="1387">
        <f t="shared" si="9"/>
        <v>100</v>
      </c>
      <c r="T36" s="1386" t="s">
        <v>5</v>
      </c>
      <c r="U36" s="1387">
        <f t="shared" si="10"/>
        <v>100</v>
      </c>
      <c r="V36" s="1386" t="s">
        <v>5</v>
      </c>
      <c r="W36" s="1387">
        <f t="shared" si="11"/>
        <v>100</v>
      </c>
      <c r="X36" s="3664"/>
      <c r="Y36" s="4094"/>
      <c r="Z36" s="3663" t="str">
        <f t="shared" si="12"/>
        <v>宗地面积</v>
      </c>
      <c r="AA36" s="3665">
        <f t="shared" si="3"/>
        <v>1</v>
      </c>
      <c r="AB36" s="3665">
        <f t="shared" si="4"/>
        <v>1</v>
      </c>
      <c r="AC36" s="3665">
        <f t="shared" si="5"/>
        <v>1</v>
      </c>
    </row>
    <row r="37" spans="1:29" ht="41.4">
      <c r="A37" s="564"/>
      <c r="B37" s="497" t="s">
        <v>502</v>
      </c>
      <c r="C37" s="569" t="s">
        <v>2197</v>
      </c>
      <c r="D37" s="510">
        <v>100</v>
      </c>
      <c r="E37" s="569" t="s">
        <v>3316</v>
      </c>
      <c r="F37" s="510">
        <f>SUMIF(111:111,E37,112:112)-SUMIF(111:111,C37,112:112)+100</f>
        <v>102</v>
      </c>
      <c r="G37" s="569" t="s">
        <v>3316</v>
      </c>
      <c r="H37" s="510">
        <f>SUMIF(111:111,G37,112:112)-SUMIF(111:111,C37,112:112)+100</f>
        <v>102</v>
      </c>
      <c r="I37" s="569" t="s">
        <v>3316</v>
      </c>
      <c r="J37" s="510">
        <f>SUMIF(111:111,I37,112:112)-SUMIF(111:111,C37,112:112)+100</f>
        <v>102</v>
      </c>
      <c r="K37" s="554">
        <v>1</v>
      </c>
      <c r="L37" s="1865"/>
      <c r="M37" s="1857"/>
      <c r="N37" s="1857"/>
      <c r="O37" s="1864"/>
      <c r="P37" s="4094"/>
      <c r="Q37" s="3662" t="str">
        <f t="shared" ref="Q37:Q42" si="13">B37</f>
        <v>宗地形状</v>
      </c>
      <c r="R37" s="1386" t="s">
        <v>5</v>
      </c>
      <c r="S37" s="1387">
        <f t="shared" si="9"/>
        <v>102</v>
      </c>
      <c r="T37" s="1386" t="s">
        <v>5</v>
      </c>
      <c r="U37" s="1387">
        <f t="shared" si="10"/>
        <v>102</v>
      </c>
      <c r="V37" s="1386" t="s">
        <v>5</v>
      </c>
      <c r="W37" s="1387">
        <f t="shared" si="11"/>
        <v>102</v>
      </c>
      <c r="X37" s="3664"/>
      <c r="Y37" s="4094"/>
      <c r="Z37" s="3663" t="str">
        <f t="shared" si="12"/>
        <v>宗地形状</v>
      </c>
      <c r="AA37" s="3665">
        <f t="shared" si="3"/>
        <v>0.98039215686274506</v>
      </c>
      <c r="AB37" s="3665">
        <f t="shared" si="4"/>
        <v>0.98039215686274506</v>
      </c>
      <c r="AC37" s="3665">
        <f t="shared" si="5"/>
        <v>0.98039215686274506</v>
      </c>
    </row>
    <row r="38" spans="1:29" s="1118" customFormat="1" ht="15">
      <c r="A38" s="570"/>
      <c r="B38" s="1651" t="s">
        <v>1776</v>
      </c>
      <c r="C38" s="571" t="s">
        <v>3305</v>
      </c>
      <c r="D38" s="246">
        <v>100</v>
      </c>
      <c r="E38" s="571" t="s">
        <v>3305</v>
      </c>
      <c r="F38" s="510">
        <f>SUMIF(113:113,E38,114:114)-SUMIF(113:113,C38,114:114)+100</f>
        <v>100</v>
      </c>
      <c r="G38" s="571" t="s">
        <v>3305</v>
      </c>
      <c r="H38" s="510">
        <f>SUMIF(113:113,G38,114:114)-SUMIF(113:113,C38,114:114)+100</f>
        <v>100</v>
      </c>
      <c r="I38" s="571" t="s">
        <v>3305</v>
      </c>
      <c r="J38" s="510">
        <f>SUMIF(113:113,I38,114:114)-SUMIF(113:113,C38,114:114)+100</f>
        <v>100</v>
      </c>
      <c r="K38" s="554"/>
      <c r="L38" s="1858"/>
      <c r="M38" s="1859"/>
      <c r="N38" s="1859"/>
      <c r="O38" s="1860"/>
      <c r="P38" s="4094"/>
      <c r="Q38" s="3662" t="str">
        <f t="shared" si="13"/>
        <v>宗地开发程度</v>
      </c>
      <c r="R38" s="1381" t="s">
        <v>5</v>
      </c>
      <c r="S38" s="1382">
        <f t="shared" si="9"/>
        <v>100</v>
      </c>
      <c r="T38" s="1381" t="s">
        <v>5</v>
      </c>
      <c r="U38" s="1382">
        <f t="shared" si="10"/>
        <v>100</v>
      </c>
      <c r="V38" s="1381" t="s">
        <v>5</v>
      </c>
      <c r="W38" s="1382">
        <f t="shared" si="11"/>
        <v>100</v>
      </c>
      <c r="X38" s="1383"/>
      <c r="Y38" s="4094"/>
      <c r="Z38" s="3660"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4094" t="s">
        <v>499</v>
      </c>
      <c r="Q39" s="3662" t="str">
        <f t="shared" si="13"/>
        <v>工程地质条件</v>
      </c>
      <c r="R39" s="1386" t="s">
        <v>5</v>
      </c>
      <c r="S39" s="1387">
        <f t="shared" si="9"/>
        <v>100</v>
      </c>
      <c r="T39" s="1386" t="s">
        <v>5</v>
      </c>
      <c r="U39" s="1387">
        <f t="shared" si="10"/>
        <v>100</v>
      </c>
      <c r="V39" s="1386" t="s">
        <v>5</v>
      </c>
      <c r="W39" s="1387">
        <f t="shared" si="11"/>
        <v>100</v>
      </c>
      <c r="X39" s="3664"/>
      <c r="Y39" s="4094" t="s">
        <v>499</v>
      </c>
      <c r="Z39" s="3663" t="str">
        <f t="shared" si="12"/>
        <v>工程地质条件</v>
      </c>
      <c r="AA39" s="3665">
        <f t="shared" si="3"/>
        <v>1</v>
      </c>
      <c r="AB39" s="3665">
        <f t="shared" si="4"/>
        <v>1</v>
      </c>
      <c r="AC39" s="3665">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4094"/>
      <c r="Q40" s="3662">
        <f t="shared" si="13"/>
        <v>111</v>
      </c>
      <c r="R40" s="1386" t="s">
        <v>5</v>
      </c>
      <c r="S40" s="1387">
        <f t="shared" si="9"/>
        <v>100</v>
      </c>
      <c r="T40" s="1386" t="s">
        <v>5</v>
      </c>
      <c r="U40" s="1387">
        <f t="shared" si="10"/>
        <v>100</v>
      </c>
      <c r="V40" s="1386" t="s">
        <v>5</v>
      </c>
      <c r="W40" s="1387">
        <f t="shared" si="11"/>
        <v>100</v>
      </c>
      <c r="X40" s="3664"/>
      <c r="Y40" s="4094"/>
      <c r="Z40" s="3663">
        <f t="shared" si="12"/>
        <v>111</v>
      </c>
      <c r="AA40" s="3665">
        <f t="shared" si="3"/>
        <v>1</v>
      </c>
      <c r="AB40" s="3665">
        <f t="shared" si="4"/>
        <v>1</v>
      </c>
      <c r="AC40" s="3665">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4094"/>
      <c r="Q41" s="3662">
        <f t="shared" si="13"/>
        <v>111</v>
      </c>
      <c r="R41" s="1386" t="s">
        <v>5</v>
      </c>
      <c r="S41" s="1387">
        <f t="shared" si="9"/>
        <v>100</v>
      </c>
      <c r="T41" s="1386" t="s">
        <v>5</v>
      </c>
      <c r="U41" s="1387">
        <f t="shared" si="10"/>
        <v>100</v>
      </c>
      <c r="V41" s="1386" t="s">
        <v>5</v>
      </c>
      <c r="W41" s="1387">
        <f t="shared" si="11"/>
        <v>100</v>
      </c>
      <c r="X41" s="3664"/>
      <c r="Y41" s="4094"/>
      <c r="Z41" s="3663">
        <f t="shared" si="12"/>
        <v>111</v>
      </c>
      <c r="AA41" s="3665">
        <f t="shared" si="3"/>
        <v>1</v>
      </c>
      <c r="AB41" s="3665">
        <f t="shared" si="4"/>
        <v>1</v>
      </c>
      <c r="AC41" s="3665">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4094"/>
      <c r="Q42" s="3662">
        <f t="shared" si="13"/>
        <v>111</v>
      </c>
      <c r="R42" s="1390" t="s">
        <v>5</v>
      </c>
      <c r="S42" s="1391">
        <f t="shared" si="9"/>
        <v>100</v>
      </c>
      <c r="T42" s="1390" t="s">
        <v>5</v>
      </c>
      <c r="U42" s="1391">
        <f t="shared" si="10"/>
        <v>100</v>
      </c>
      <c r="V42" s="1390" t="s">
        <v>5</v>
      </c>
      <c r="W42" s="1391">
        <f t="shared" si="11"/>
        <v>100</v>
      </c>
      <c r="X42" s="1392"/>
      <c r="Y42" s="4094"/>
      <c r="Z42" s="1393">
        <f t="shared" si="12"/>
        <v>111</v>
      </c>
      <c r="AA42" s="3665">
        <f t="shared" si="3"/>
        <v>1</v>
      </c>
      <c r="AB42" s="3665">
        <f t="shared" si="4"/>
        <v>1</v>
      </c>
      <c r="AC42" s="3665">
        <f t="shared" si="5"/>
        <v>1</v>
      </c>
    </row>
    <row r="43" spans="1:29" ht="14.4">
      <c r="A43" s="577" t="s">
        <v>505</v>
      </c>
      <c r="B43" s="578" t="s">
        <v>2195</v>
      </c>
      <c r="C43" s="579" t="s">
        <v>0</v>
      </c>
      <c r="D43" s="580"/>
      <c r="E43" s="581">
        <f>'案例（海淀）'!$J$3</f>
        <v>10277</v>
      </c>
      <c r="F43" s="582"/>
      <c r="G43" s="583">
        <f>'案例（海淀）'!$J$4</f>
        <v>8875</v>
      </c>
      <c r="H43" s="584"/>
      <c r="I43" s="581">
        <f>'案例（海淀）'!$J$6</f>
        <v>8121</v>
      </c>
      <c r="J43" s="584"/>
      <c r="K43" s="1201"/>
      <c r="L43" s="1867"/>
      <c r="M43" s="1857"/>
      <c r="N43" s="1857"/>
      <c r="O43" s="1868"/>
      <c r="P43" s="4089" t="str">
        <f>A43</f>
        <v>成交单价</v>
      </c>
      <c r="Q43" s="4089"/>
      <c r="R43" s="4105">
        <f>E43</f>
        <v>10277</v>
      </c>
      <c r="S43" s="4105"/>
      <c r="T43" s="4105">
        <f>G43</f>
        <v>8875</v>
      </c>
      <c r="U43" s="4105"/>
      <c r="V43" s="4105">
        <f>I43</f>
        <v>8121</v>
      </c>
      <c r="W43" s="4105"/>
      <c r="X43" s="1375"/>
      <c r="Y43" s="1394"/>
      <c r="Z43" s="1375"/>
      <c r="AA43" s="1375"/>
      <c r="AB43" s="1375"/>
      <c r="AC43" s="1375"/>
    </row>
    <row r="44" spans="1:29" ht="15" thickBot="1">
      <c r="A44" s="585" t="s">
        <v>1975</v>
      </c>
      <c r="B44" s="586"/>
      <c r="C44" s="587">
        <f>R45</f>
        <v>8889</v>
      </c>
      <c r="D44" s="2756" t="s">
        <v>2259</v>
      </c>
      <c r="E44" s="587">
        <f>R44</f>
        <v>10176</v>
      </c>
      <c r="F44" s="2757"/>
      <c r="G44" s="588">
        <f>T44</f>
        <v>8642</v>
      </c>
      <c r="H44" s="2757"/>
      <c r="I44" s="587">
        <f>V44</f>
        <v>7850</v>
      </c>
      <c r="J44" s="2757"/>
      <c r="K44" s="2758">
        <f>F44+H44+J44</f>
        <v>0</v>
      </c>
      <c r="L44" s="1867"/>
      <c r="M44" s="1857"/>
      <c r="N44" s="1857"/>
      <c r="O44" s="1868"/>
      <c r="P44" s="4089" t="str">
        <f>A44</f>
        <v>比较价格（元/平方米）</v>
      </c>
      <c r="Q44" s="4089"/>
      <c r="R44" s="4113">
        <f>ROUND(PRODUCT(R43,AA9:AA42),0)</f>
        <v>10176</v>
      </c>
      <c r="S44" s="4113"/>
      <c r="T44" s="4113">
        <f>ROUND(PRODUCT(T43,AB9:AB42),0)</f>
        <v>8642</v>
      </c>
      <c r="U44" s="4113"/>
      <c r="V44" s="4113">
        <f>ROUND(PRODUCT(V43,AC9:AC42),0)</f>
        <v>7850</v>
      </c>
      <c r="W44" s="4113"/>
      <c r="X44" s="1375"/>
      <c r="Y44" s="1375"/>
      <c r="Z44" s="1375"/>
      <c r="AA44" s="1375"/>
      <c r="AB44" s="1375"/>
      <c r="AC44" s="1375"/>
    </row>
    <row r="45" spans="1:29" ht="15" thickBot="1">
      <c r="A45" s="589" t="s">
        <v>2196</v>
      </c>
      <c r="B45" s="590"/>
      <c r="C45" s="591">
        <f>R45</f>
        <v>8889</v>
      </c>
      <c r="D45" s="591"/>
      <c r="E45" s="591"/>
      <c r="F45" s="591"/>
      <c r="G45" s="591"/>
      <c r="H45" s="591"/>
      <c r="I45" s="591"/>
      <c r="J45" s="591"/>
      <c r="K45" s="1202"/>
      <c r="L45" s="1867"/>
      <c r="M45" s="1857"/>
      <c r="N45" s="1857"/>
      <c r="O45" s="1868"/>
      <c r="P45" s="4095" t="str">
        <f>A45</f>
        <v>估价对象XX用房的比较价格（楼面单价，元/平方米）</v>
      </c>
      <c r="Q45" s="4096"/>
      <c r="R45" s="4118">
        <f>ROUND(IF(D44="简单平均",AVERAGE(R44:W44),R44*F44+T44*H44+V44*J44),0)</f>
        <v>8889</v>
      </c>
      <c r="S45" s="4118"/>
      <c r="T45" s="4118"/>
      <c r="U45" s="4118"/>
      <c r="V45" s="4118"/>
      <c r="W45" s="4118"/>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9.9253144654087855E-3</v>
      </c>
      <c r="F48" s="595" t="str">
        <f>IF(OR(E48&gt;=0.3,E48&lt;=-0.3),"超过30%","")</f>
        <v/>
      </c>
      <c r="G48" s="594">
        <f>IF(G43&lt;G44,G44/G43-1,G43/G44-1)</f>
        <v>2.6961351538995704E-2</v>
      </c>
      <c r="H48" s="595" t="str">
        <f>IF(OR(G48&gt;=0.3,G48&lt;=-0.3),"超过30%","")</f>
        <v/>
      </c>
      <c r="I48" s="594">
        <f>IF(I43&lt;I44,I44/I43-1,I43/I44-1)</f>
        <v>3.4522292993630632E-2</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0.17750520712797968</v>
      </c>
      <c r="F49" s="595" t="str">
        <f>IF(OR(E49&gt;=0.2,E49&lt;=-0.2),"超过20%","")</f>
        <v/>
      </c>
      <c r="G49" s="594">
        <f>IF(G44&lt;I44,I44/G44-1,G44/I44-1)</f>
        <v>0.10089171974522304</v>
      </c>
      <c r="H49" s="595" t="str">
        <f>IF(OR(G49&gt;=0.2,G49&lt;=-0.2),"超过20%","")</f>
        <v/>
      </c>
      <c r="I49" s="594">
        <f>IF(I44&lt;E44,E44/I44-1,I44/E44-1)</f>
        <v>0.29630573248407632</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0.1579718309859155</v>
      </c>
      <c r="F50" s="595" t="str">
        <f>IF(OR(E50&gt;=0.3,E50&lt;=-0.3),"超过30%","")</f>
        <v/>
      </c>
      <c r="G50" s="594">
        <f>IF(G43&lt;I43,I43/G43-1,G43/I43-1)</f>
        <v>9.2845708656569492E-2</v>
      </c>
      <c r="H50" s="595" t="str">
        <f>IF(OR(G50&gt;=0.3,G50&lt;=-0.3),"超过30%","")</f>
        <v/>
      </c>
      <c r="I50" s="594">
        <f>IF(I43&lt;E43,E43/I43-1,I43/E43-1)</f>
        <v>0.2654845462381481</v>
      </c>
      <c r="J50" s="595" t="str">
        <f>IF(OR(I50&gt;=0.3,I50&lt;=-0.3),"超过30%","")</f>
        <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4114" t="s">
        <v>1642</v>
      </c>
      <c r="H52" s="4115"/>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8889</v>
      </c>
      <c r="C53" s="603">
        <v>1</v>
      </c>
      <c r="D53" s="1947">
        <v>1</v>
      </c>
      <c r="E53" s="603">
        <f>'数据-汇总表'!E8+'数据-汇总表'!E9</f>
        <v>10738.85</v>
      </c>
      <c r="F53" s="1706">
        <f t="shared" ref="F53:F61" si="14">ROUND(B53*E53/10000,0)</f>
        <v>9546</v>
      </c>
      <c r="G53" s="4116"/>
      <c r="H53" s="4117"/>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11</v>
      </c>
      <c r="D62" s="611" t="s">
        <v>1651</v>
      </c>
      <c r="E62" s="611">
        <f>IF(B43="楼面地价",SUM(E53:E61),'数据-汇总表'!D3)</f>
        <v>10738.85</v>
      </c>
      <c r="F62" s="612">
        <f>IF(B43="楼面地价",SUM(F53:F61),ROUND(C45*E62/10000,0))</f>
        <v>9546</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2025-3-1</v>
      </c>
      <c r="D64" s="2278">
        <f>EDATE(C64,-3)</f>
        <v>45627</v>
      </c>
      <c r="E64" s="2278">
        <f t="shared" ref="E64:N64" si="17">EDATE(D64,-3)</f>
        <v>45536</v>
      </c>
      <c r="F64" s="2278">
        <f t="shared" si="17"/>
        <v>45444</v>
      </c>
      <c r="G64" s="2278">
        <f t="shared" si="17"/>
        <v>45352</v>
      </c>
      <c r="H64" s="2278">
        <f t="shared" si="17"/>
        <v>45261</v>
      </c>
      <c r="I64" s="2278">
        <f t="shared" si="17"/>
        <v>45170</v>
      </c>
      <c r="J64" s="2278">
        <f t="shared" si="17"/>
        <v>45078</v>
      </c>
      <c r="K64" s="2278">
        <f t="shared" si="17"/>
        <v>44986</v>
      </c>
      <c r="L64" s="2278">
        <f t="shared" si="17"/>
        <v>44896</v>
      </c>
      <c r="M64" s="2278">
        <f t="shared" si="17"/>
        <v>44805</v>
      </c>
      <c r="N64" s="2278">
        <f t="shared" si="17"/>
        <v>44713</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80" t="str">
        <f>YEAR(C64)&amp;"-"&amp;ROUNDUP(MONTH(C64)/3,0)</f>
        <v>2025-1</v>
      </c>
      <c r="D66" s="2280" t="str">
        <f t="shared" ref="D66:N66" si="18">YEAR(D64)&amp;"-"&amp;ROUNDUP(MONTH(D64)/3,0)</f>
        <v>2024-4</v>
      </c>
      <c r="E66" s="2280" t="str">
        <f t="shared" si="18"/>
        <v>2024-3</v>
      </c>
      <c r="F66" s="2280" t="str">
        <f t="shared" si="18"/>
        <v>2024-2</v>
      </c>
      <c r="G66" s="2280" t="str">
        <f t="shared" si="18"/>
        <v>2024-1</v>
      </c>
      <c r="H66" s="2280" t="str">
        <f t="shared" si="18"/>
        <v>2023-4</v>
      </c>
      <c r="I66" s="2280" t="str">
        <f t="shared" si="18"/>
        <v>2023-3</v>
      </c>
      <c r="J66" s="2280" t="str">
        <f t="shared" si="18"/>
        <v>2023-2</v>
      </c>
      <c r="K66" s="2280" t="str">
        <f t="shared" si="18"/>
        <v>2023-1</v>
      </c>
      <c r="L66" s="2280" t="str">
        <f t="shared" si="18"/>
        <v>2022-4</v>
      </c>
      <c r="M66" s="2280" t="str">
        <f t="shared" si="18"/>
        <v>2022-3</v>
      </c>
      <c r="N66" s="2280" t="str">
        <f t="shared" si="18"/>
        <v>2022-2</v>
      </c>
      <c r="O66" s="1881" t="s">
        <v>3421</v>
      </c>
      <c r="P66" s="1882" t="s">
        <v>3286</v>
      </c>
      <c r="Q66" s="1883" t="s">
        <v>3287</v>
      </c>
      <c r="R66" s="1883" t="s">
        <v>3288</v>
      </c>
      <c r="S66" s="1883" t="s">
        <v>3289</v>
      </c>
      <c r="T66" s="1883" t="s">
        <v>3410</v>
      </c>
      <c r="U66" s="1883" t="s">
        <v>3422</v>
      </c>
      <c r="V66" s="1883" t="s">
        <v>3360</v>
      </c>
      <c r="W66" s="1883" t="s">
        <v>3361</v>
      </c>
      <c r="X66" s="1883" t="s">
        <v>3423</v>
      </c>
      <c r="Y66" s="1883" t="s">
        <v>3424</v>
      </c>
      <c r="Z66" s="1883" t="s">
        <v>3364</v>
      </c>
      <c r="AA66" s="1883" t="s">
        <v>3365</v>
      </c>
      <c r="AB66" s="1883" t="s">
        <v>3417</v>
      </c>
      <c r="AC66" s="1883" t="s">
        <v>3419</v>
      </c>
    </row>
    <row r="67" spans="1:29" s="1118" customFormat="1" ht="27.75" customHeight="1" thickBot="1">
      <c r="A67" s="2277" t="s">
        <v>1931</v>
      </c>
      <c r="B67" s="465" t="str">
        <f>"北京市平均增长率"&amp;TEXT(基准地价!P28,"0.00%")</f>
        <v>北京市平均增长率0.00%</v>
      </c>
      <c r="C67" s="857">
        <v>100</v>
      </c>
      <c r="D67" s="698">
        <f>ROUND(C67/(1+D68/100),2)</f>
        <v>99.92</v>
      </c>
      <c r="E67" s="698">
        <f t="shared" ref="E67:N67" si="19">ROUND(D67/(1+E68/100),2)</f>
        <v>100.13</v>
      </c>
      <c r="F67" s="698">
        <f t="shared" si="19"/>
        <v>99.79</v>
      </c>
      <c r="G67" s="698">
        <f t="shared" si="19"/>
        <v>99.2</v>
      </c>
      <c r="H67" s="698">
        <f t="shared" si="19"/>
        <v>98.6</v>
      </c>
      <c r="I67" s="698">
        <f t="shared" si="19"/>
        <v>98.18</v>
      </c>
      <c r="J67" s="698">
        <f t="shared" si="19"/>
        <v>97.49</v>
      </c>
      <c r="K67" s="698">
        <f t="shared" si="19"/>
        <v>97</v>
      </c>
      <c r="L67" s="698">
        <f t="shared" si="19"/>
        <v>96.49</v>
      </c>
      <c r="M67" s="698">
        <f t="shared" si="19"/>
        <v>95.89</v>
      </c>
      <c r="N67" s="698">
        <f t="shared" si="19"/>
        <v>94.87</v>
      </c>
      <c r="O67" s="698">
        <f t="shared" ref="O67" si="20">ROUND(N67/(1+O68/100),2)</f>
        <v>94.27</v>
      </c>
      <c r="P67" s="698">
        <f t="shared" ref="P67" si="21">ROUND(O67/(1+P68/100),2)</f>
        <v>93.75</v>
      </c>
      <c r="Q67" s="698">
        <f t="shared" ref="Q67" si="22">ROUND(P67/(1+Q68/100),2)</f>
        <v>93.3</v>
      </c>
      <c r="R67" s="698">
        <f t="shared" ref="R67" si="23">ROUND(Q67/(1+R68/100),2)</f>
        <v>92.37</v>
      </c>
      <c r="S67" s="698">
        <f t="shared" ref="S67" si="24">ROUND(R67/(1+S68/100),2)</f>
        <v>92.04</v>
      </c>
      <c r="T67" s="698">
        <f t="shared" ref="T67" si="25">ROUND(S67/(1+T68/100),2)</f>
        <v>89.63</v>
      </c>
      <c r="U67" s="698">
        <f t="shared" ref="U67" si="26">ROUND(T67/(1+U68/100),2)</f>
        <v>89.57</v>
      </c>
      <c r="V67" s="698">
        <f t="shared" ref="V67" si="27">ROUND(U67/(1+V68/100),2)</f>
        <v>89.15</v>
      </c>
      <c r="W67" s="698">
        <f t="shared" ref="W67" si="28">ROUND(V67/(1+W68/100),2)</f>
        <v>88.91</v>
      </c>
      <c r="X67" s="698">
        <f t="shared" ref="X67" si="29">ROUND(W67/(1+X68/100),2)</f>
        <v>88.49</v>
      </c>
      <c r="Y67" s="698">
        <f t="shared" ref="Y67" si="30">ROUND(X67/(1+Y68/100),2)</f>
        <v>87.59</v>
      </c>
      <c r="Z67" s="698">
        <f t="shared" ref="Z67" si="31">ROUND(Y67/(1+Z68/100),2)</f>
        <v>86.51</v>
      </c>
      <c r="AA67" s="1746"/>
      <c r="AB67" s="1746"/>
      <c r="AC67" s="1746"/>
    </row>
    <row r="68" spans="1:29" s="1118" customFormat="1" ht="15" thickBot="1">
      <c r="A68" s="621" t="s">
        <v>523</v>
      </c>
      <c r="B68" s="622"/>
      <c r="C68" s="3711">
        <v>0</v>
      </c>
      <c r="D68" s="3702">
        <v>0.08</v>
      </c>
      <c r="E68" s="3702">
        <v>-0.21</v>
      </c>
      <c r="F68" s="3702">
        <v>0.34</v>
      </c>
      <c r="G68" s="3702">
        <v>0.59</v>
      </c>
      <c r="H68" s="3702">
        <v>0.61</v>
      </c>
      <c r="I68" s="3702">
        <v>0.43</v>
      </c>
      <c r="J68" s="3702">
        <v>0.71</v>
      </c>
      <c r="K68" s="3702">
        <v>0.5</v>
      </c>
      <c r="L68" s="3702">
        <v>0.53</v>
      </c>
      <c r="M68" s="3702">
        <v>0.63</v>
      </c>
      <c r="N68" s="3702">
        <v>1.08</v>
      </c>
      <c r="O68" s="3688">
        <v>0.64</v>
      </c>
      <c r="P68" s="3688">
        <v>0.55000000000000004</v>
      </c>
      <c r="Q68" s="3688">
        <v>0.48</v>
      </c>
      <c r="R68" s="3688">
        <v>1.01</v>
      </c>
      <c r="S68" s="3688">
        <v>0.36</v>
      </c>
      <c r="T68" s="3688">
        <v>2.69</v>
      </c>
      <c r="U68" s="3701">
        <v>7.0000000000000007E-2</v>
      </c>
      <c r="V68" s="3688">
        <v>0.47</v>
      </c>
      <c r="W68" s="3701">
        <v>0.27</v>
      </c>
      <c r="X68" s="3688">
        <v>0.48</v>
      </c>
      <c r="Y68" s="1746">
        <v>1.03</v>
      </c>
      <c r="Z68" s="1746">
        <v>1.25</v>
      </c>
      <c r="AA68" s="1746">
        <v>1.1299999999999999</v>
      </c>
      <c r="AB68" s="1746">
        <v>1.29</v>
      </c>
      <c r="AC68" s="1746">
        <v>1.74</v>
      </c>
    </row>
    <row r="69" spans="1:29" s="1118" customFormat="1" ht="14.4">
      <c r="A69" s="627" t="s">
        <v>480</v>
      </c>
      <c r="B69" s="616"/>
      <c r="C69" s="628" t="s">
        <v>524</v>
      </c>
      <c r="D69" s="629"/>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0（含）-1</v>
      </c>
      <c r="D75" s="650" t="str">
        <f t="shared" ref="D75:L75" si="32">D76&amp;"（含）"&amp;"-"&amp;E76</f>
        <v>1（含）-</v>
      </c>
      <c r="E75" s="650" t="str">
        <f t="shared" si="32"/>
        <v>（含）-</v>
      </c>
      <c r="F75" s="650" t="str">
        <f t="shared" si="32"/>
        <v>（含）-</v>
      </c>
      <c r="G75" s="650" t="str">
        <f t="shared" si="32"/>
        <v>（含）-</v>
      </c>
      <c r="H75" s="650" t="str">
        <f t="shared" si="32"/>
        <v>（含）-</v>
      </c>
      <c r="I75" s="650" t="str">
        <f t="shared" si="32"/>
        <v>（含）-</v>
      </c>
      <c r="J75" s="650" t="str">
        <f t="shared" si="32"/>
        <v>（含）-</v>
      </c>
      <c r="K75" s="650" t="str">
        <f t="shared" si="32"/>
        <v>（含）-</v>
      </c>
      <c r="L75" s="650" t="str">
        <f t="shared" si="32"/>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33">IF($B$43="单位面积地价",C77+$K13,C77-$K13)</f>
        <v>100</v>
      </c>
      <c r="E77" s="647">
        <f t="shared" si="33"/>
        <v>100</v>
      </c>
      <c r="F77" s="647">
        <f t="shared" si="33"/>
        <v>100</v>
      </c>
      <c r="G77" s="647">
        <f t="shared" si="33"/>
        <v>100</v>
      </c>
      <c r="H77" s="647">
        <f t="shared" si="33"/>
        <v>100</v>
      </c>
      <c r="I77" s="647">
        <f t="shared" si="33"/>
        <v>100</v>
      </c>
      <c r="J77" s="647">
        <f t="shared" si="33"/>
        <v>100</v>
      </c>
      <c r="K77" s="647">
        <f t="shared" si="33"/>
        <v>100</v>
      </c>
      <c r="L77" s="647">
        <f t="shared" si="33"/>
        <v>100</v>
      </c>
      <c r="M77" s="647">
        <f t="shared" si="33"/>
        <v>100</v>
      </c>
      <c r="N77" s="2969"/>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98</v>
      </c>
      <c r="E85" s="647">
        <f>D85-$K17</f>
        <v>96</v>
      </c>
      <c r="F85" s="647">
        <f>E85-$K17</f>
        <v>94</v>
      </c>
      <c r="G85" s="647">
        <f>F85-$K17</f>
        <v>92</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99</v>
      </c>
      <c r="E89" s="647">
        <f>D89-$K21</f>
        <v>98</v>
      </c>
      <c r="F89" s="647">
        <f>E89-$K21</f>
        <v>97</v>
      </c>
      <c r="G89" s="647">
        <f>F89-$K21</f>
        <v>96</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 thickTop="1">
      <c r="A94" s="655"/>
      <c r="B94" s="2204" t="s">
        <v>1832</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34">C97-$K29</f>
        <v>98</v>
      </c>
      <c r="E97" s="647">
        <f t="shared" si="34"/>
        <v>96</v>
      </c>
      <c r="F97" s="647">
        <f t="shared" si="34"/>
        <v>94</v>
      </c>
      <c r="G97" s="647">
        <f t="shared" si="34"/>
        <v>92</v>
      </c>
      <c r="H97" s="647">
        <f t="shared" si="34"/>
        <v>90</v>
      </c>
      <c r="I97" s="647">
        <f t="shared" si="34"/>
        <v>88</v>
      </c>
      <c r="J97" s="647">
        <f t="shared" si="34"/>
        <v>86</v>
      </c>
      <c r="K97" s="647">
        <f t="shared" si="34"/>
        <v>84</v>
      </c>
      <c r="L97" s="647">
        <f t="shared" si="34"/>
        <v>82</v>
      </c>
      <c r="M97" s="647">
        <f t="shared" si="34"/>
        <v>80</v>
      </c>
      <c r="N97" s="2969"/>
      <c r="O97" s="1888"/>
      <c r="P97" s="1887"/>
      <c r="Q97" s="1880"/>
      <c r="R97" s="1868"/>
      <c r="S97" s="1868"/>
      <c r="T97" s="1868"/>
      <c r="U97" s="1868"/>
      <c r="V97" s="1868"/>
      <c r="W97" s="1868"/>
      <c r="X97" s="1868"/>
      <c r="Y97" s="1868"/>
      <c r="Z97" s="1868"/>
      <c r="AA97" s="1868"/>
      <c r="AB97" s="1868"/>
      <c r="AC97" s="1868"/>
    </row>
    <row r="98" spans="1:29" ht="29.4" thickTop="1">
      <c r="A98" s="637"/>
      <c r="B98" s="641" t="s">
        <v>497</v>
      </c>
      <c r="C98" s="3681" t="s">
        <v>3309</v>
      </c>
      <c r="D98" s="3681" t="s">
        <v>3308</v>
      </c>
      <c r="E98" s="3681" t="s">
        <v>3307</v>
      </c>
      <c r="F98" s="3681" t="s">
        <v>3306</v>
      </c>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35">C99-$K30</f>
        <v>100</v>
      </c>
      <c r="E99" s="647">
        <f t="shared" si="35"/>
        <v>100</v>
      </c>
      <c r="F99" s="647">
        <f t="shared" si="35"/>
        <v>100</v>
      </c>
      <c r="G99" s="647">
        <f t="shared" si="35"/>
        <v>100</v>
      </c>
      <c r="H99" s="647">
        <f t="shared" si="35"/>
        <v>100</v>
      </c>
      <c r="I99" s="647">
        <f t="shared" si="35"/>
        <v>100</v>
      </c>
      <c r="J99" s="647">
        <f t="shared" si="35"/>
        <v>100</v>
      </c>
      <c r="K99" s="647">
        <f t="shared" si="35"/>
        <v>100</v>
      </c>
      <c r="L99" s="647">
        <f t="shared" si="35"/>
        <v>100</v>
      </c>
      <c r="M99" s="647">
        <f t="shared" si="35"/>
        <v>100</v>
      </c>
      <c r="N99" s="2969"/>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687" t="s">
        <v>3320</v>
      </c>
      <c r="D100" s="3687" t="s">
        <v>3321</v>
      </c>
      <c r="E100" s="3687" t="s">
        <v>3322</v>
      </c>
      <c r="F100" s="3687" t="s">
        <v>3323</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36">C101-$K32</f>
        <v>100</v>
      </c>
      <c r="E101" s="647">
        <f t="shared" si="36"/>
        <v>100</v>
      </c>
      <c r="F101" s="647">
        <f t="shared" si="36"/>
        <v>100</v>
      </c>
      <c r="G101" s="647">
        <f t="shared" si="36"/>
        <v>100</v>
      </c>
      <c r="H101" s="647">
        <f t="shared" si="36"/>
        <v>100</v>
      </c>
      <c r="I101" s="647">
        <f t="shared" si="36"/>
        <v>100</v>
      </c>
      <c r="J101" s="647">
        <f t="shared" si="36"/>
        <v>100</v>
      </c>
      <c r="K101" s="647">
        <f t="shared" si="36"/>
        <v>100</v>
      </c>
      <c r="L101" s="647">
        <f t="shared" si="36"/>
        <v>100</v>
      </c>
      <c r="M101" s="647">
        <f t="shared" si="36"/>
        <v>100</v>
      </c>
      <c r="N101" s="2969"/>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37">C109&amp;"(含)"&amp;"-"&amp;D109</f>
        <v>0(含)-50000</v>
      </c>
      <c r="D108" s="672" t="str">
        <f t="shared" si="37"/>
        <v>50000(含)-100000</v>
      </c>
      <c r="E108" s="672" t="str">
        <f t="shared" si="37"/>
        <v>100000(含)-150000</v>
      </c>
      <c r="F108" s="672" t="str">
        <f t="shared" si="37"/>
        <v>150000(含)-200000</v>
      </c>
      <c r="G108" s="672" t="str">
        <f t="shared" si="37"/>
        <v>200000(含)-</v>
      </c>
      <c r="H108" s="672" t="str">
        <f t="shared" si="37"/>
        <v>(含)-</v>
      </c>
      <c r="I108" s="672" t="str">
        <f t="shared" si="37"/>
        <v>(含)-</v>
      </c>
      <c r="J108" s="672" t="str">
        <f t="shared" si="37"/>
        <v>(含)-</v>
      </c>
      <c r="K108" s="2536" t="str">
        <f t="shared" si="37"/>
        <v>(含)-</v>
      </c>
      <c r="L108" s="2537" t="str">
        <f t="shared" si="37"/>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50000</v>
      </c>
      <c r="E109" s="698">
        <v>100000</v>
      </c>
      <c r="F109" s="698">
        <v>150000</v>
      </c>
      <c r="G109" s="698">
        <v>200000</v>
      </c>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100</v>
      </c>
      <c r="E110" s="694">
        <v>100</v>
      </c>
      <c r="F110" s="694">
        <v>100</v>
      </c>
      <c r="G110" s="694">
        <f t="shared" ref="G110" si="38">F110-(E110-F110)</f>
        <v>100</v>
      </c>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43.8" thickTop="1">
      <c r="A111" s="703"/>
      <c r="B111" s="641" t="s">
        <v>542</v>
      </c>
      <c r="C111" s="3687" t="s">
        <v>3317</v>
      </c>
      <c r="D111" s="3687" t="s">
        <v>3319</v>
      </c>
      <c r="E111" s="3687" t="s">
        <v>3318</v>
      </c>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39">C112-$K37</f>
        <v>99</v>
      </c>
      <c r="E112" s="647">
        <f t="shared" si="39"/>
        <v>98</v>
      </c>
      <c r="F112" s="647">
        <f t="shared" si="39"/>
        <v>97</v>
      </c>
      <c r="G112" s="647">
        <f t="shared" si="39"/>
        <v>96</v>
      </c>
      <c r="H112" s="647">
        <f t="shared" si="39"/>
        <v>95</v>
      </c>
      <c r="I112" s="647">
        <f t="shared" si="39"/>
        <v>94</v>
      </c>
      <c r="J112" s="647">
        <f t="shared" si="39"/>
        <v>93</v>
      </c>
      <c r="K112" s="647">
        <f t="shared" si="39"/>
        <v>92</v>
      </c>
      <c r="L112" s="647">
        <f t="shared" si="39"/>
        <v>91</v>
      </c>
      <c r="M112" s="648">
        <f t="shared" si="39"/>
        <v>90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3324</v>
      </c>
      <c r="D113" s="1233" t="s">
        <v>3325</v>
      </c>
      <c r="E113" s="1233" t="s">
        <v>3326</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40">C114-$K38</f>
        <v>100</v>
      </c>
      <c r="E114" s="647">
        <f t="shared" si="40"/>
        <v>100</v>
      </c>
      <c r="F114" s="647">
        <f t="shared" si="40"/>
        <v>100</v>
      </c>
      <c r="G114" s="647">
        <f t="shared" si="40"/>
        <v>100</v>
      </c>
      <c r="H114" s="647">
        <f t="shared" si="40"/>
        <v>100</v>
      </c>
      <c r="I114" s="647">
        <f t="shared" si="40"/>
        <v>100</v>
      </c>
      <c r="J114" s="647">
        <f t="shared" si="40"/>
        <v>100</v>
      </c>
      <c r="K114" s="647">
        <f t="shared" si="40"/>
        <v>100</v>
      </c>
      <c r="L114" s="647">
        <f t="shared" si="40"/>
        <v>100</v>
      </c>
      <c r="M114" s="648">
        <f t="shared" si="40"/>
        <v>100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41">C116-$K39</f>
        <v>100</v>
      </c>
      <c r="E116" s="647">
        <f t="shared" si="41"/>
        <v>100</v>
      </c>
      <c r="F116" s="647">
        <f t="shared" si="41"/>
        <v>100</v>
      </c>
      <c r="G116" s="647">
        <f t="shared" si="41"/>
        <v>100</v>
      </c>
      <c r="H116" s="647">
        <f t="shared" si="41"/>
        <v>100</v>
      </c>
      <c r="I116" s="647">
        <f t="shared" si="41"/>
        <v>100</v>
      </c>
      <c r="J116" s="647">
        <f t="shared" si="41"/>
        <v>100</v>
      </c>
      <c r="K116" s="647">
        <f t="shared" si="41"/>
        <v>100</v>
      </c>
      <c r="L116" s="647">
        <f t="shared" si="41"/>
        <v>100</v>
      </c>
      <c r="M116" s="648">
        <f t="shared" si="41"/>
        <v>100</v>
      </c>
      <c r="N116" s="2969"/>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6"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D8" sqref="D8"/>
    </sheetView>
  </sheetViews>
  <sheetFormatPr defaultColWidth="8.33203125" defaultRowHeight="13.2"/>
  <cols>
    <col min="1" max="1" width="9.33203125" style="1907" customWidth="1"/>
    <col min="2" max="2" width="26.6640625" style="1908" customWidth="1"/>
    <col min="3" max="3" width="12.886718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C23</f>
        <v>11789.241400000001</v>
      </c>
      <c r="C2" s="3006"/>
      <c r="D2" s="3006"/>
      <c r="E2" s="3006"/>
      <c r="F2" s="3006"/>
      <c r="G2" s="3006"/>
    </row>
    <row r="3" spans="1:25" s="1783" customFormat="1" ht="18" customHeight="1">
      <c r="A3" s="1237" t="s">
        <v>1218</v>
      </c>
      <c r="B3" s="412">
        <f>ROUND(B2*10000/'数据-汇总表'!E3,0)</f>
        <v>10978</v>
      </c>
      <c r="C3" s="3006"/>
      <c r="D3" s="3006"/>
      <c r="E3" s="3006"/>
      <c r="F3" s="3006"/>
      <c r="G3" s="3006"/>
    </row>
    <row r="4" spans="1:25" s="1783" customFormat="1" ht="18" customHeight="1">
      <c r="A4" s="413" t="s">
        <v>428</v>
      </c>
      <c r="B4" s="414">
        <f>ROUND(B2*10000/'数据-汇总表'!D3,0)</f>
        <v>10978</v>
      </c>
      <c r="C4" s="2960"/>
      <c r="D4" s="3006"/>
      <c r="E4" s="3006"/>
      <c r="F4" s="3006"/>
      <c r="G4" s="3006"/>
    </row>
    <row r="5" spans="1:25" s="1783" customFormat="1" ht="18" customHeight="1" thickBot="1">
      <c r="A5" s="416"/>
      <c r="B5" s="417">
        <f>ROUND(B2/('数据-汇总表'!D3/666.67),0)</f>
        <v>732</v>
      </c>
      <c r="C5" s="418" t="s">
        <v>429</v>
      </c>
      <c r="D5" s="3006"/>
      <c r="E5" s="3006"/>
      <c r="F5" s="3006"/>
      <c r="G5" s="3006"/>
    </row>
    <row r="6" spans="1:25" s="1905" customFormat="1" ht="13.5" customHeight="1">
      <c r="A6" s="711"/>
      <c r="B6" s="712" t="s">
        <v>552</v>
      </c>
      <c r="C6" s="713" t="s">
        <v>553</v>
      </c>
      <c r="D6" s="713" t="s">
        <v>554</v>
      </c>
      <c r="E6" s="714" t="s">
        <v>555</v>
      </c>
      <c r="F6" s="714" t="s">
        <v>556</v>
      </c>
      <c r="G6" s="3005" t="s">
        <v>2283</v>
      </c>
    </row>
    <row r="7" spans="1:25" s="1905" customFormat="1" ht="13.5" customHeight="1">
      <c r="A7" s="2119">
        <v>1</v>
      </c>
      <c r="B7" s="715" t="s">
        <v>557</v>
      </c>
      <c r="C7" s="716">
        <f>C8+C9</f>
        <v>9545.7638000000006</v>
      </c>
      <c r="D7" s="716"/>
      <c r="E7" s="717"/>
      <c r="F7" s="717"/>
      <c r="G7" s="2128"/>
    </row>
    <row r="8" spans="1:25" s="1905" customFormat="1" ht="13.5" customHeight="1">
      <c r="A8" s="2119" t="s">
        <v>1786</v>
      </c>
      <c r="B8" s="2122" t="s">
        <v>1788</v>
      </c>
      <c r="C8" s="3690">
        <f>ROUND(D8*E8/10000,4)</f>
        <v>9545.7638000000006</v>
      </c>
      <c r="D8" s="3689">
        <f>'数据-基础表'!A3</f>
        <v>10738.85</v>
      </c>
      <c r="E8" s="3010">
        <f>'比较法-成本'!C44</f>
        <v>8889</v>
      </c>
      <c r="F8" s="717"/>
      <c r="G8" s="718"/>
    </row>
    <row r="9" spans="1:25" s="1905" customFormat="1" ht="13.5" customHeight="1">
      <c r="A9" s="2119" t="s">
        <v>1787</v>
      </c>
      <c r="B9" s="2122" t="s">
        <v>1789</v>
      </c>
      <c r="C9" s="3009">
        <f>ROUND(D9*E9/10000,0)</f>
        <v>0</v>
      </c>
      <c r="D9" s="3009">
        <v>0</v>
      </c>
      <c r="E9" s="3010">
        <v>0</v>
      </c>
      <c r="F9" s="717"/>
      <c r="G9" s="718"/>
    </row>
    <row r="10" spans="1:25" s="1905" customFormat="1" ht="36">
      <c r="A10" s="2119">
        <v>2</v>
      </c>
      <c r="B10" s="715" t="s">
        <v>561</v>
      </c>
      <c r="C10" s="3694">
        <f>C11+C14+C15</f>
        <v>338.27379999999999</v>
      </c>
      <c r="D10" s="726"/>
      <c r="E10" s="716"/>
      <c r="F10" s="727"/>
      <c r="G10" s="725" t="s">
        <v>562</v>
      </c>
    </row>
    <row r="11" spans="1:25" s="1905" customFormat="1" ht="13.5" customHeight="1">
      <c r="A11" s="2119" t="s">
        <v>1786</v>
      </c>
      <c r="B11" s="719" t="s">
        <v>558</v>
      </c>
      <c r="C11" s="3692">
        <f>'数据-取费表'!B29</f>
        <v>338.27379999999999</v>
      </c>
      <c r="D11" s="721"/>
      <c r="E11" s="720"/>
      <c r="F11" s="722"/>
      <c r="G11" s="2127" t="s">
        <v>1797</v>
      </c>
    </row>
    <row r="12" spans="1:25" s="1905" customFormat="1" ht="13.5" customHeight="1">
      <c r="A12" s="2125" t="s">
        <v>1794</v>
      </c>
      <c r="B12" s="723" t="s">
        <v>559</v>
      </c>
      <c r="C12" s="724">
        <f>ROUND(D12*E12/10000,0)</f>
        <v>0</v>
      </c>
      <c r="D12" s="3009">
        <f>'数据-汇总表'!E5</f>
        <v>0</v>
      </c>
      <c r="E12" s="3009">
        <f>'数据-取费表'!B27</f>
        <v>160</v>
      </c>
      <c r="F12" s="722"/>
      <c r="G12" s="725"/>
    </row>
    <row r="13" spans="1:25" s="1905" customFormat="1" ht="13.5" customHeight="1">
      <c r="A13" s="2125" t="s">
        <v>1793</v>
      </c>
      <c r="B13" s="723" t="s">
        <v>560</v>
      </c>
      <c r="C13" s="3691">
        <f>ROUND(D13*E13/10000,4)</f>
        <v>338.27379999999999</v>
      </c>
      <c r="D13" s="3009">
        <f>'数据-汇总表'!E6</f>
        <v>10738.85</v>
      </c>
      <c r="E13" s="3009">
        <v>315</v>
      </c>
      <c r="F13" s="722"/>
      <c r="G13" s="725"/>
    </row>
    <row r="14" spans="1:25" s="1905" customFormat="1" ht="13.5" customHeight="1">
      <c r="A14" s="2119" t="s">
        <v>1787</v>
      </c>
      <c r="B14" s="2124" t="s">
        <v>1790</v>
      </c>
      <c r="C14" s="3011">
        <f>ROUND(D14*E14/10000,0)</f>
        <v>0</v>
      </c>
      <c r="D14" s="3009">
        <v>0</v>
      </c>
      <c r="E14" s="3010">
        <v>0</v>
      </c>
      <c r="F14" s="2123"/>
      <c r="G14" s="2126" t="s">
        <v>1795</v>
      </c>
    </row>
    <row r="15" spans="1:25" s="1905" customFormat="1" ht="13.5" customHeight="1">
      <c r="A15" s="2119" t="s">
        <v>1792</v>
      </c>
      <c r="B15" s="2124" t="s">
        <v>1791</v>
      </c>
      <c r="C15" s="3011">
        <f>ROUND(D15*E15/10000,0)</f>
        <v>0</v>
      </c>
      <c r="D15" s="3009">
        <v>0</v>
      </c>
      <c r="E15" s="3010">
        <v>0</v>
      </c>
      <c r="F15" s="2123"/>
      <c r="G15" s="2126" t="s">
        <v>1796</v>
      </c>
    </row>
    <row r="16" spans="1:25" s="1906" customFormat="1" ht="48">
      <c r="A16" s="2119">
        <v>3</v>
      </c>
      <c r="B16" s="715" t="s">
        <v>563</v>
      </c>
      <c r="C16" s="3011">
        <f>ROUND(D16*E16/10000,0)</f>
        <v>0</v>
      </c>
      <c r="D16" s="3009">
        <v>0</v>
      </c>
      <c r="E16" s="3010">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3693">
        <f>ROUND(IF('数据-取费表'!B19&lt;=1,((C7+C16)*'数据-取费表'!B19+C10*'数据-取费表'!B19/2)*F17,((C7+C16)*(POWER((1+F17),'数据-取费表'!B19)-1)+C10*(POWER((1+F17),'数据-取费表'!B19/2)-1))),4)</f>
        <v>422.59820000000002</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3694">
        <f>ROUND((C7+C10+C16)*F18,4)</f>
        <v>1482.6056000000001</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3694">
        <f>C7+C10+C16+C17+C18</f>
        <v>11789.241400000003</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3694">
        <f>C19+C20</f>
        <v>11789.241400000003</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3694">
        <f>ROUND(C21*F22,4)</f>
        <v>11789.241400000001</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3695">
        <f>C22</f>
        <v>11789.241400000001</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08" customFormat="1">
      <c r="A24" s="3007"/>
      <c r="D24" s="1725"/>
      <c r="E24" s="1725"/>
    </row>
    <row r="25" spans="1:25" s="3008" customFormat="1">
      <c r="A25" s="3007"/>
      <c r="D25" s="1725"/>
      <c r="E25" s="1725"/>
    </row>
    <row r="26" spans="1:25" s="3008" customFormat="1">
      <c r="A26" s="3007"/>
      <c r="D26" s="1725"/>
      <c r="E26" s="1725"/>
    </row>
    <row r="27" spans="1:25" s="3008" customFormat="1">
      <c r="A27" s="3007"/>
      <c r="D27" s="1725"/>
      <c r="E27" s="1725"/>
    </row>
    <row r="28" spans="1:25" s="3008" customFormat="1">
      <c r="A28" s="3007"/>
      <c r="D28" s="1725"/>
      <c r="E28" s="1725"/>
    </row>
    <row r="29" spans="1:25" s="3008" customFormat="1">
      <c r="A29" s="3007"/>
      <c r="D29" s="1725"/>
      <c r="E29" s="1725"/>
    </row>
    <row r="30" spans="1:25" s="3008" customFormat="1">
      <c r="A30" s="3007"/>
      <c r="D30" s="1725"/>
      <c r="E30" s="1725"/>
    </row>
    <row r="31" spans="1:25" s="3008" customFormat="1">
      <c r="A31" s="3007"/>
      <c r="D31" s="1725"/>
      <c r="E31" s="1725"/>
    </row>
    <row r="32" spans="1:25" s="3008" customFormat="1">
      <c r="A32" s="3007"/>
      <c r="D32" s="1725"/>
      <c r="E32" s="1725"/>
    </row>
    <row r="33" spans="1:5" s="3008" customFormat="1">
      <c r="A33" s="3007"/>
      <c r="D33" s="1725"/>
      <c r="E33" s="1725"/>
    </row>
    <row r="34" spans="1:5" s="3008" customFormat="1">
      <c r="A34" s="3007"/>
      <c r="D34" s="1725"/>
      <c r="E34" s="1725"/>
    </row>
    <row r="35" spans="1:5" s="3008" customFormat="1">
      <c r="A35" s="3007"/>
      <c r="D35" s="1725"/>
      <c r="E35" s="1725"/>
    </row>
    <row r="36" spans="1:5" s="3008" customFormat="1">
      <c r="A36" s="3007"/>
      <c r="D36" s="1725"/>
      <c r="E36" s="1725"/>
    </row>
    <row r="37" spans="1:5" s="3008" customFormat="1">
      <c r="A37" s="3007"/>
      <c r="D37" s="1725"/>
      <c r="E37" s="1725"/>
    </row>
    <row r="38" spans="1:5" s="3008" customFormat="1">
      <c r="A38" s="3007"/>
      <c r="D38" s="1725"/>
      <c r="E38" s="1725"/>
    </row>
    <row r="39" spans="1:5" s="3008" customFormat="1">
      <c r="A39" s="3007"/>
      <c r="D39" s="1725"/>
      <c r="E39" s="1725"/>
    </row>
    <row r="40" spans="1:5" s="3008" customFormat="1">
      <c r="A40" s="3007"/>
      <c r="D40" s="1725"/>
      <c r="E40" s="1725"/>
    </row>
    <row r="41" spans="1:5" s="3008" customFormat="1">
      <c r="A41" s="3007"/>
      <c r="D41" s="1725"/>
      <c r="E41" s="1725"/>
    </row>
    <row r="42" spans="1:5" s="3008" customFormat="1">
      <c r="A42" s="3007"/>
      <c r="D42" s="1725"/>
      <c r="E42" s="1725"/>
    </row>
    <row r="43" spans="1:5" s="3008" customFormat="1">
      <c r="A43" s="3007"/>
      <c r="D43" s="1725"/>
      <c r="E43" s="1725"/>
    </row>
    <row r="44" spans="1:5" s="3008" customFormat="1">
      <c r="A44" s="3007"/>
      <c r="D44" s="1725"/>
      <c r="E44" s="1725"/>
    </row>
    <row r="45" spans="1:5" s="3008" customFormat="1">
      <c r="A45" s="3007"/>
      <c r="D45" s="1725"/>
      <c r="E45" s="1725"/>
    </row>
    <row r="46" spans="1:5" s="3008" customFormat="1">
      <c r="A46" s="3007"/>
      <c r="D46" s="1725"/>
      <c r="E46" s="1725"/>
    </row>
    <row r="47" spans="1:5" s="3008" customFormat="1">
      <c r="A47" s="3007"/>
      <c r="D47" s="1725"/>
      <c r="E47" s="1725"/>
    </row>
    <row r="48" spans="1:5" s="3008" customFormat="1">
      <c r="A48" s="3007"/>
      <c r="D48" s="1725"/>
      <c r="E48" s="1725"/>
    </row>
    <row r="49" spans="1:5" s="3008" customFormat="1">
      <c r="A49" s="3007"/>
      <c r="D49" s="1725"/>
      <c r="E49" s="1725"/>
    </row>
    <row r="50" spans="1:5" s="3008" customFormat="1">
      <c r="A50" s="3007"/>
      <c r="D50" s="1725"/>
      <c r="E50" s="1725"/>
    </row>
    <row r="51" spans="1:5" s="3008" customFormat="1">
      <c r="A51" s="3007"/>
      <c r="D51" s="1725"/>
      <c r="E51" s="1725"/>
    </row>
    <row r="52" spans="1:5" s="3008" customFormat="1">
      <c r="A52" s="3007"/>
      <c r="D52" s="1725"/>
      <c r="E52" s="1725"/>
    </row>
    <row r="53" spans="1:5" s="3008" customFormat="1">
      <c r="A53" s="3007"/>
      <c r="D53" s="1725"/>
      <c r="E53" s="1725"/>
    </row>
    <row r="54" spans="1:5" s="3008" customFormat="1">
      <c r="A54" s="3007"/>
      <c r="D54" s="1725"/>
      <c r="E54" s="1725"/>
    </row>
    <row r="55" spans="1:5" s="3008" customFormat="1">
      <c r="A55" s="3007"/>
      <c r="D55" s="1725"/>
      <c r="E55" s="1725"/>
    </row>
    <row r="56" spans="1:5" s="3008" customFormat="1">
      <c r="A56" s="3007"/>
      <c r="D56" s="1725"/>
      <c r="E56" s="1725"/>
    </row>
    <row r="57" spans="1:5" s="3008" customFormat="1">
      <c r="A57" s="3007"/>
      <c r="D57" s="1725"/>
      <c r="E57" s="1725"/>
    </row>
    <row r="58" spans="1:5" s="3008" customFormat="1">
      <c r="A58" s="3007"/>
      <c r="D58" s="1725"/>
      <c r="E58" s="1725"/>
    </row>
    <row r="59" spans="1:5" s="3008" customFormat="1">
      <c r="A59" s="3007"/>
      <c r="D59" s="1725"/>
      <c r="E59" s="1725"/>
    </row>
    <row r="60" spans="1:5" s="3008" customFormat="1">
      <c r="A60" s="3007"/>
      <c r="D60" s="1725"/>
      <c r="E60" s="1725"/>
    </row>
    <row r="61" spans="1:5" s="3008" customFormat="1">
      <c r="A61" s="3007"/>
      <c r="D61" s="1725"/>
      <c r="E61" s="1725"/>
    </row>
    <row r="62" spans="1:5" s="3008" customFormat="1">
      <c r="A62" s="3007"/>
      <c r="D62" s="1725"/>
      <c r="E62" s="1725"/>
    </row>
    <row r="63" spans="1:5" s="3008" customFormat="1">
      <c r="A63" s="3007"/>
      <c r="D63" s="1725"/>
      <c r="E63" s="1725"/>
    </row>
  </sheetData>
  <sheetProtection algorithmName="SHA-512" hashValue="3gIwGBMnbmfjNIc4sGT4+eyI1A10vdXzGhlTEdmWdyT8RMnQo6rAQFq/eVlWtdIMEwQPzJqfZ/3ugXLx4w8uKw==" saltValue="EMcRGRSXDgLZGa43dtVZcA==" spinCount="100000"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0" t="s">
        <v>666</v>
      </c>
      <c r="C1" s="2231" t="s">
        <v>667</v>
      </c>
      <c r="D1" s="2232"/>
      <c r="E1" s="1850"/>
      <c r="F1" s="2286"/>
      <c r="G1" s="1410" t="s">
        <v>668</v>
      </c>
      <c r="H1" s="476"/>
      <c r="I1" s="476"/>
      <c r="J1" s="476"/>
      <c r="K1" s="477"/>
      <c r="L1" s="2949"/>
      <c r="M1" s="2950"/>
      <c r="N1" s="2950"/>
      <c r="O1" s="2950"/>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4097" t="s">
        <v>471</v>
      </c>
      <c r="D4" s="4098"/>
      <c r="E4" s="4119" t="s">
        <v>472</v>
      </c>
      <c r="F4" s="4120"/>
      <c r="G4" s="4097" t="s">
        <v>473</v>
      </c>
      <c r="H4" s="4098"/>
      <c r="I4" s="4097" t="s">
        <v>474</v>
      </c>
      <c r="J4" s="4098"/>
      <c r="K4" s="818" t="s">
        <v>475</v>
      </c>
      <c r="L4" s="1856"/>
      <c r="M4" s="1857"/>
      <c r="N4" s="1857"/>
      <c r="O4" s="1857"/>
      <c r="P4" s="4099" t="s">
        <v>476</v>
      </c>
      <c r="Q4" s="4100"/>
      <c r="R4" s="4083" t="s">
        <v>472</v>
      </c>
      <c r="S4" s="4084"/>
      <c r="T4" s="4083" t="s">
        <v>473</v>
      </c>
      <c r="U4" s="4084"/>
      <c r="V4" s="4105" t="s">
        <v>474</v>
      </c>
      <c r="W4" s="4105"/>
      <c r="X4" s="1380"/>
      <c r="Y4" s="4083" t="s">
        <v>476</v>
      </c>
      <c r="Z4" s="4084"/>
      <c r="AA4" s="4078" t="s">
        <v>472</v>
      </c>
      <c r="AB4" s="4078" t="s">
        <v>473</v>
      </c>
      <c r="AC4" s="4078" t="s">
        <v>474</v>
      </c>
    </row>
    <row r="5" spans="1:29">
      <c r="A5" s="485"/>
      <c r="B5" s="486"/>
      <c r="C5" s="4108" t="s">
        <v>2190</v>
      </c>
      <c r="D5" s="4109"/>
      <c r="E5" s="4121" t="s">
        <v>2191</v>
      </c>
      <c r="F5" s="4122"/>
      <c r="G5" s="4108" t="s">
        <v>2192</v>
      </c>
      <c r="H5" s="4109"/>
      <c r="I5" s="4108" t="s">
        <v>2193</v>
      </c>
      <c r="J5" s="4109"/>
      <c r="K5" s="819"/>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819"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SUMIF(58:58,YEAR(E7)&amp;"-"&amp;MONTH(E7),59:59)</f>
        <v>0</v>
      </c>
      <c r="G7" s="493"/>
      <c r="H7" s="490">
        <f>SUMIF(58:58,YEAR(G7)&amp;"-"&amp;MONTH(G7),59:59)</f>
        <v>0</v>
      </c>
      <c r="I7" s="493"/>
      <c r="J7" s="490">
        <f>SUMIF(58:58,YEAR(I7)&amp;"-"&amp;MONTH(I7),59:59)</f>
        <v>0</v>
      </c>
      <c r="K7" s="820"/>
      <c r="L7" s="1858"/>
      <c r="M7" s="1859"/>
      <c r="N7" s="1859"/>
      <c r="O7" s="1859"/>
      <c r="P7" s="4081" t="s">
        <v>479</v>
      </c>
      <c r="Q7" s="4090"/>
      <c r="R7" s="1381" t="s">
        <v>10</v>
      </c>
      <c r="S7" s="1382">
        <f t="shared" ref="S7:S15" si="0">F7</f>
        <v>0</v>
      </c>
      <c r="T7" s="1381" t="s">
        <v>10</v>
      </c>
      <c r="U7" s="1382">
        <f t="shared" ref="U7:U15" si="1">H7</f>
        <v>0</v>
      </c>
      <c r="V7" s="1381" t="s">
        <v>10</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4081" t="s">
        <v>482</v>
      </c>
      <c r="Q8" s="4082"/>
      <c r="R8" s="1381" t="s">
        <v>10</v>
      </c>
      <c r="S8" s="1382">
        <f t="shared" si="0"/>
        <v>0</v>
      </c>
      <c r="T8" s="1381" t="s">
        <v>10</v>
      </c>
      <c r="U8" s="1382">
        <f t="shared" si="1"/>
        <v>0</v>
      </c>
      <c r="V8" s="1381" t="s">
        <v>10</v>
      </c>
      <c r="W8" s="1382">
        <f t="shared" si="2"/>
        <v>0</v>
      </c>
      <c r="X8" s="1383"/>
      <c r="Y8" s="4081" t="s">
        <v>482</v>
      </c>
      <c r="Z8" s="4082"/>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7"/>
      <c r="F10" s="826">
        <f>SUMIF(65:65,E10,66:66)-SUMIF(65:65,C10,66:66)+100</f>
        <v>100</v>
      </c>
      <c r="G10" s="3656"/>
      <c r="H10" s="246">
        <f>SUMIF(65:65,G10,66:66)-SUMIF(65:65,C10,66:66)+100</f>
        <v>100</v>
      </c>
      <c r="I10" s="3656"/>
      <c r="J10" s="246">
        <f>SUMIF(65:65,I10,66:66)-SUMIF(65:65,C10,66:66)+100</f>
        <v>100</v>
      </c>
      <c r="K10" s="820"/>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4089"/>
      <c r="Q11" s="1050" t="str">
        <f t="shared" si="6"/>
        <v>容积率</v>
      </c>
      <c r="R11" s="1381" t="s">
        <v>8</v>
      </c>
      <c r="S11" s="1382" t="e">
        <f t="shared" si="0"/>
        <v>#N/A</v>
      </c>
      <c r="T11" s="1381" t="s">
        <v>8</v>
      </c>
      <c r="U11" s="1382" t="e">
        <f t="shared" si="1"/>
        <v>#N/A</v>
      </c>
      <c r="V11" s="1381" t="s">
        <v>8</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4089"/>
      <c r="Q12" s="1050">
        <f t="shared" si="6"/>
        <v>111</v>
      </c>
      <c r="R12" s="1381" t="s">
        <v>8</v>
      </c>
      <c r="S12" s="1382">
        <f t="shared" si="0"/>
        <v>100</v>
      </c>
      <c r="T12" s="1381" t="s">
        <v>8</v>
      </c>
      <c r="U12" s="1382">
        <f t="shared" si="1"/>
        <v>100</v>
      </c>
      <c r="V12" s="1381" t="s">
        <v>8</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4089"/>
      <c r="Q13" s="1050">
        <f t="shared" si="6"/>
        <v>111</v>
      </c>
      <c r="R13" s="1381" t="s">
        <v>8</v>
      </c>
      <c r="S13" s="1382">
        <f t="shared" si="0"/>
        <v>100</v>
      </c>
      <c r="T13" s="1381" t="s">
        <v>8</v>
      </c>
      <c r="U13" s="1382">
        <f t="shared" si="1"/>
        <v>100</v>
      </c>
      <c r="V13" s="1381" t="s">
        <v>8</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4089"/>
      <c r="Q14" s="1050">
        <f t="shared" si="6"/>
        <v>111</v>
      </c>
      <c r="R14" s="1381" t="s">
        <v>8</v>
      </c>
      <c r="S14" s="1382">
        <f t="shared" si="0"/>
        <v>100</v>
      </c>
      <c r="T14" s="1381" t="s">
        <v>8</v>
      </c>
      <c r="U14" s="1382">
        <f t="shared" si="1"/>
        <v>100</v>
      </c>
      <c r="V14" s="1381" t="s">
        <v>8</v>
      </c>
      <c r="W14" s="1382">
        <f t="shared" si="2"/>
        <v>100</v>
      </c>
      <c r="X14" s="1383"/>
      <c r="Y14" s="4035"/>
      <c r="Z14" s="1049">
        <f t="shared" si="7"/>
        <v>111</v>
      </c>
      <c r="AA14" s="1384">
        <f t="shared" si="3"/>
        <v>1</v>
      </c>
      <c r="AB14" s="1384">
        <f t="shared" si="4"/>
        <v>1</v>
      </c>
      <c r="AC14" s="1384">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4091" t="s">
        <v>489</v>
      </c>
      <c r="Q15" s="1385" t="str">
        <f t="shared" si="6"/>
        <v>居住社区成熟度</v>
      </c>
      <c r="R15" s="1386" t="s">
        <v>8</v>
      </c>
      <c r="S15" s="1387">
        <f t="shared" si="0"/>
        <v>100</v>
      </c>
      <c r="T15" s="1386" t="s">
        <v>8</v>
      </c>
      <c r="U15" s="1387">
        <f t="shared" si="1"/>
        <v>100</v>
      </c>
      <c r="V15" s="1386" t="s">
        <v>8</v>
      </c>
      <c r="W15" s="1387">
        <f t="shared" si="2"/>
        <v>100</v>
      </c>
      <c r="X15" s="1380"/>
      <c r="Y15" s="4091"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4092"/>
      <c r="Q16" s="1385"/>
      <c r="R16" s="1386"/>
      <c r="S16" s="1387"/>
      <c r="T16" s="1386"/>
      <c r="U16" s="1387"/>
      <c r="V16" s="1386"/>
      <c r="W16" s="1387"/>
      <c r="X16" s="1380"/>
      <c r="Y16" s="4092"/>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4092"/>
      <c r="Q17" s="1385" t="str">
        <f>B17</f>
        <v>交通便捷度</v>
      </c>
      <c r="R17" s="1386" t="s">
        <v>8</v>
      </c>
      <c r="S17" s="1387">
        <f>F17</f>
        <v>100</v>
      </c>
      <c r="T17" s="1386" t="s">
        <v>8</v>
      </c>
      <c r="U17" s="1387">
        <f>H17</f>
        <v>100</v>
      </c>
      <c r="V17" s="1386" t="s">
        <v>8</v>
      </c>
      <c r="W17" s="1387">
        <f>J17</f>
        <v>100</v>
      </c>
      <c r="X17" s="1380"/>
      <c r="Y17" s="40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4092"/>
      <c r="Q18" s="1385"/>
      <c r="R18" s="1386"/>
      <c r="S18" s="1387"/>
      <c r="T18" s="1386"/>
      <c r="U18" s="1387"/>
      <c r="V18" s="1386"/>
      <c r="W18" s="1387"/>
      <c r="X18" s="1380"/>
      <c r="Y18" s="4092"/>
      <c r="Z18" s="1388"/>
      <c r="AA18" s="1389">
        <v>1</v>
      </c>
      <c r="AB18" s="1389">
        <v>1</v>
      </c>
      <c r="AC18" s="1389">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4092"/>
      <c r="Q19" s="1385" t="str">
        <f>B19</f>
        <v>公共配套设施</v>
      </c>
      <c r="R19" s="1386" t="s">
        <v>8</v>
      </c>
      <c r="S19" s="1387">
        <f>F19</f>
        <v>100</v>
      </c>
      <c r="T19" s="1386" t="s">
        <v>8</v>
      </c>
      <c r="U19" s="1387">
        <f>H19</f>
        <v>100</v>
      </c>
      <c r="V19" s="1386" t="s">
        <v>8</v>
      </c>
      <c r="W19" s="1387">
        <f>J19</f>
        <v>100</v>
      </c>
      <c r="X19" s="1380"/>
      <c r="Y19" s="409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4092"/>
      <c r="Q20" s="1385"/>
      <c r="R20" s="1386"/>
      <c r="S20" s="1387"/>
      <c r="T20" s="1386"/>
      <c r="U20" s="1387"/>
      <c r="V20" s="1386"/>
      <c r="W20" s="1387"/>
      <c r="X20" s="1380"/>
      <c r="Y20" s="4092"/>
      <c r="Z20" s="1388"/>
      <c r="AA20" s="1389">
        <v>1</v>
      </c>
      <c r="AB20" s="1389">
        <v>1</v>
      </c>
      <c r="AC20" s="1389">
        <v>1</v>
      </c>
    </row>
    <row r="21" spans="1:29" ht="27.6">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4092"/>
      <c r="Q21" s="2192" t="str">
        <f>B21</f>
        <v>基础设施水平</v>
      </c>
      <c r="R21" s="1386" t="s">
        <v>8</v>
      </c>
      <c r="S21" s="1387">
        <f>F21</f>
        <v>100</v>
      </c>
      <c r="T21" s="1386" t="s">
        <v>8</v>
      </c>
      <c r="U21" s="1387">
        <f>H21</f>
        <v>100</v>
      </c>
      <c r="V21" s="1386" t="s">
        <v>8</v>
      </c>
      <c r="W21" s="1387">
        <f>J21</f>
        <v>100</v>
      </c>
      <c r="X21" s="2194"/>
      <c r="Y21" s="4092"/>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5"/>
      <c r="M22" s="1857"/>
      <c r="N22" s="1857"/>
      <c r="O22" s="1864"/>
      <c r="P22" s="4092"/>
      <c r="Q22" s="2192"/>
      <c r="R22" s="1386"/>
      <c r="S22" s="1387"/>
      <c r="T22" s="1386"/>
      <c r="U22" s="1387"/>
      <c r="V22" s="1386"/>
      <c r="W22" s="1387"/>
      <c r="X22" s="2194"/>
      <c r="Y22" s="4092"/>
      <c r="Z22" s="2193"/>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4092"/>
      <c r="Q23" s="1385" t="str">
        <f>B23</f>
        <v>自然及人文环境</v>
      </c>
      <c r="R23" s="1386" t="s">
        <v>8</v>
      </c>
      <c r="S23" s="1387">
        <f>F23</f>
        <v>100</v>
      </c>
      <c r="T23" s="1386" t="s">
        <v>8</v>
      </c>
      <c r="U23" s="1387">
        <f>H23</f>
        <v>100</v>
      </c>
      <c r="V23" s="1386" t="s">
        <v>8</v>
      </c>
      <c r="W23" s="1387">
        <f>J23</f>
        <v>100</v>
      </c>
      <c r="X23" s="1380"/>
      <c r="Y23" s="409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4092"/>
      <c r="Q24" s="1385"/>
      <c r="R24" s="1386"/>
      <c r="S24" s="1387"/>
      <c r="T24" s="1386"/>
      <c r="U24" s="1387"/>
      <c r="V24" s="1386"/>
      <c r="W24" s="1387"/>
      <c r="X24" s="1380"/>
      <c r="Y24" s="4092"/>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4092"/>
      <c r="Q25" s="1385" t="str">
        <f t="shared" ref="Q25:Q46" si="8">B25</f>
        <v>楼层-1</v>
      </c>
      <c r="R25" s="1386" t="s">
        <v>8</v>
      </c>
      <c r="S25" s="1387">
        <f>F25</f>
        <v>100</v>
      </c>
      <c r="T25" s="1386" t="s">
        <v>8</v>
      </c>
      <c r="U25" s="1387">
        <f>H25</f>
        <v>100</v>
      </c>
      <c r="V25" s="1386" t="s">
        <v>8</v>
      </c>
      <c r="W25" s="1387">
        <f>J25</f>
        <v>100</v>
      </c>
      <c r="X25" s="1380"/>
      <c r="Y25" s="4092"/>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4092"/>
      <c r="Q26" s="1385" t="str">
        <f t="shared" si="8"/>
        <v>朝向</v>
      </c>
      <c r="R26" s="1386" t="s">
        <v>8</v>
      </c>
      <c r="S26" s="1387">
        <f>F26</f>
        <v>100</v>
      </c>
      <c r="T26" s="1386" t="s">
        <v>8</v>
      </c>
      <c r="U26" s="1387">
        <f>H26</f>
        <v>100</v>
      </c>
      <c r="V26" s="1386" t="s">
        <v>8</v>
      </c>
      <c r="W26" s="1387">
        <f>J26</f>
        <v>100</v>
      </c>
      <c r="X26" s="1380"/>
      <c r="Y26" s="4092"/>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4092"/>
      <c r="Q27" s="1050" t="str">
        <f t="shared" si="8"/>
        <v>道路级别</v>
      </c>
      <c r="R27" s="1381" t="s">
        <v>8</v>
      </c>
      <c r="S27" s="1382">
        <f>F27</f>
        <v>100</v>
      </c>
      <c r="T27" s="1381" t="s">
        <v>8</v>
      </c>
      <c r="U27" s="1382">
        <f>H27</f>
        <v>100</v>
      </c>
      <c r="V27" s="1381" t="s">
        <v>8</v>
      </c>
      <c r="W27" s="1382">
        <f>J27</f>
        <v>100</v>
      </c>
      <c r="X27" s="1383"/>
      <c r="Y27" s="4092"/>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4092"/>
      <c r="Q28" s="1385">
        <f t="shared" si="8"/>
        <v>111</v>
      </c>
      <c r="R28" s="1386" t="s">
        <v>8</v>
      </c>
      <c r="S28" s="1387">
        <f t="shared" ref="S28:S46" si="9">F28</f>
        <v>100</v>
      </c>
      <c r="T28" s="1386" t="s">
        <v>8</v>
      </c>
      <c r="U28" s="1387">
        <f t="shared" ref="U28:U46" si="10">H28</f>
        <v>100</v>
      </c>
      <c r="V28" s="1386" t="s">
        <v>8</v>
      </c>
      <c r="W28" s="1387">
        <f t="shared" ref="W28:W46" si="11">J28</f>
        <v>100</v>
      </c>
      <c r="X28" s="1380"/>
      <c r="Y28" s="4092"/>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4092"/>
      <c r="Q29" s="1385">
        <f t="shared" si="8"/>
        <v>111</v>
      </c>
      <c r="R29" s="1386" t="s">
        <v>8</v>
      </c>
      <c r="S29" s="1387">
        <f t="shared" si="9"/>
        <v>100</v>
      </c>
      <c r="T29" s="1386" t="s">
        <v>8</v>
      </c>
      <c r="U29" s="1387">
        <f t="shared" si="10"/>
        <v>100</v>
      </c>
      <c r="V29" s="1386" t="s">
        <v>8</v>
      </c>
      <c r="W29" s="1387">
        <f t="shared" si="11"/>
        <v>100</v>
      </c>
      <c r="X29" s="1380"/>
      <c r="Y29" s="409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4092"/>
      <c r="Q30" s="1385">
        <f t="shared" si="8"/>
        <v>111</v>
      </c>
      <c r="R30" s="1386" t="s">
        <v>8</v>
      </c>
      <c r="S30" s="1387">
        <f t="shared" si="9"/>
        <v>100</v>
      </c>
      <c r="T30" s="1386" t="s">
        <v>8</v>
      </c>
      <c r="U30" s="1387">
        <f t="shared" si="10"/>
        <v>100</v>
      </c>
      <c r="V30" s="1386" t="s">
        <v>8</v>
      </c>
      <c r="W30" s="1387">
        <f t="shared" si="11"/>
        <v>100</v>
      </c>
      <c r="X30" s="1380"/>
      <c r="Y30" s="4092"/>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4092"/>
      <c r="Q31" s="1385">
        <f t="shared" si="8"/>
        <v>111</v>
      </c>
      <c r="R31" s="1386" t="s">
        <v>8</v>
      </c>
      <c r="S31" s="1387">
        <f t="shared" si="9"/>
        <v>100</v>
      </c>
      <c r="T31" s="1386" t="s">
        <v>8</v>
      </c>
      <c r="U31" s="1387">
        <f t="shared" si="10"/>
        <v>100</v>
      </c>
      <c r="V31" s="1386" t="s">
        <v>8</v>
      </c>
      <c r="W31" s="1387">
        <f t="shared" si="11"/>
        <v>100</v>
      </c>
      <c r="X31" s="1380"/>
      <c r="Y31" s="4092"/>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4093" t="s">
        <v>499</v>
      </c>
      <c r="Q32" s="1385" t="str">
        <f t="shared" si="8"/>
        <v>建筑类型</v>
      </c>
      <c r="R32" s="1386" t="s">
        <v>8</v>
      </c>
      <c r="S32" s="1387">
        <f t="shared" si="9"/>
        <v>100</v>
      </c>
      <c r="T32" s="1386" t="s">
        <v>8</v>
      </c>
      <c r="U32" s="1387">
        <f t="shared" si="10"/>
        <v>100</v>
      </c>
      <c r="V32" s="1386" t="s">
        <v>8</v>
      </c>
      <c r="W32" s="1387">
        <f t="shared" si="11"/>
        <v>100</v>
      </c>
      <c r="X32" s="1380"/>
      <c r="Y32" s="4094"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4094"/>
      <c r="Q33" s="1414" t="str">
        <f t="shared" si="8"/>
        <v>项目建筑规模</v>
      </c>
      <c r="R33" s="1390" t="s">
        <v>8</v>
      </c>
      <c r="S33" s="1391" t="e">
        <f t="shared" si="9"/>
        <v>#N/A</v>
      </c>
      <c r="T33" s="1390" t="s">
        <v>8</v>
      </c>
      <c r="U33" s="1391" t="e">
        <f t="shared" si="10"/>
        <v>#N/A</v>
      </c>
      <c r="V33" s="1390" t="s">
        <v>8</v>
      </c>
      <c r="W33" s="1391" t="e">
        <f t="shared" si="11"/>
        <v>#N/A</v>
      </c>
      <c r="X33" s="1392"/>
      <c r="Y33" s="409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4094"/>
      <c r="Q34" s="1385" t="str">
        <f t="shared" si="8"/>
        <v>建筑结构</v>
      </c>
      <c r="R34" s="1386" t="s">
        <v>8</v>
      </c>
      <c r="S34" s="1387">
        <f t="shared" si="9"/>
        <v>100</v>
      </c>
      <c r="T34" s="1386" t="s">
        <v>8</v>
      </c>
      <c r="U34" s="1387">
        <f t="shared" si="10"/>
        <v>100</v>
      </c>
      <c r="V34" s="1386" t="s">
        <v>8</v>
      </c>
      <c r="W34" s="1387">
        <f t="shared" si="11"/>
        <v>100</v>
      </c>
      <c r="X34" s="1380"/>
      <c r="Y34" s="4094"/>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4094"/>
      <c r="Q35" s="1385" t="str">
        <f t="shared" si="8"/>
        <v>建筑品质</v>
      </c>
      <c r="R35" s="1386" t="s">
        <v>8</v>
      </c>
      <c r="S35" s="1387">
        <f t="shared" si="9"/>
        <v>100</v>
      </c>
      <c r="T35" s="1386" t="s">
        <v>8</v>
      </c>
      <c r="U35" s="1387">
        <f t="shared" si="10"/>
        <v>100</v>
      </c>
      <c r="V35" s="1386" t="s">
        <v>8</v>
      </c>
      <c r="W35" s="1387">
        <f t="shared" si="11"/>
        <v>100</v>
      </c>
      <c r="X35" s="1380"/>
      <c r="Y35" s="4094"/>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4094"/>
      <c r="Q36" s="1385" t="str">
        <f t="shared" si="8"/>
        <v>公共部分装修</v>
      </c>
      <c r="R36" s="1386" t="s">
        <v>8</v>
      </c>
      <c r="S36" s="1387">
        <f t="shared" si="9"/>
        <v>100</v>
      </c>
      <c r="T36" s="1386" t="s">
        <v>8</v>
      </c>
      <c r="U36" s="1387">
        <f t="shared" si="10"/>
        <v>100</v>
      </c>
      <c r="V36" s="1386" t="s">
        <v>8</v>
      </c>
      <c r="W36" s="1387">
        <f t="shared" si="11"/>
        <v>100</v>
      </c>
      <c r="X36" s="1380"/>
      <c r="Y36" s="4094"/>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4094"/>
      <c r="Q37" s="1050" t="str">
        <f t="shared" si="8"/>
        <v>成新度</v>
      </c>
      <c r="R37" s="1381" t="s">
        <v>8</v>
      </c>
      <c r="S37" s="1382" t="e">
        <f t="shared" si="9"/>
        <v>#N/A</v>
      </c>
      <c r="T37" s="1381" t="s">
        <v>8</v>
      </c>
      <c r="U37" s="1382" t="e">
        <f t="shared" si="10"/>
        <v>#N/A</v>
      </c>
      <c r="V37" s="1381" t="s">
        <v>8</v>
      </c>
      <c r="W37" s="1382" t="e">
        <f t="shared" si="11"/>
        <v>#N/A</v>
      </c>
      <c r="X37" s="1383"/>
      <c r="Y37" s="4094"/>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4094" t="s">
        <v>499</v>
      </c>
      <c r="Q38" s="1385" t="str">
        <f t="shared" si="8"/>
        <v>物业管理</v>
      </c>
      <c r="R38" s="1386" t="s">
        <v>8</v>
      </c>
      <c r="S38" s="1387">
        <f t="shared" si="9"/>
        <v>100</v>
      </c>
      <c r="T38" s="1386" t="s">
        <v>8</v>
      </c>
      <c r="U38" s="1387">
        <f t="shared" si="10"/>
        <v>100</v>
      </c>
      <c r="V38" s="1386" t="s">
        <v>8</v>
      </c>
      <c r="W38" s="1387">
        <f t="shared" si="11"/>
        <v>100</v>
      </c>
      <c r="X38" s="1380"/>
      <c r="Y38" s="4094"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4094"/>
      <c r="Q39" s="1385" t="str">
        <f t="shared" si="8"/>
        <v>市政基础设施</v>
      </c>
      <c r="R39" s="1386" t="s">
        <v>8</v>
      </c>
      <c r="S39" s="1387">
        <f t="shared" si="9"/>
        <v>100</v>
      </c>
      <c r="T39" s="1386" t="s">
        <v>8</v>
      </c>
      <c r="U39" s="1387">
        <f t="shared" si="10"/>
        <v>100</v>
      </c>
      <c r="V39" s="1386" t="s">
        <v>8</v>
      </c>
      <c r="W39" s="1387">
        <f t="shared" si="11"/>
        <v>100</v>
      </c>
      <c r="X39" s="1380"/>
      <c r="Y39" s="4094"/>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4094"/>
      <c r="Q40" s="1385" t="str">
        <f t="shared" si="8"/>
        <v>房型</v>
      </c>
      <c r="R40" s="1386" t="s">
        <v>8</v>
      </c>
      <c r="S40" s="1387">
        <f t="shared" si="9"/>
        <v>100</v>
      </c>
      <c r="T40" s="1386" t="s">
        <v>8</v>
      </c>
      <c r="U40" s="1387">
        <f t="shared" si="10"/>
        <v>100</v>
      </c>
      <c r="V40" s="1386" t="s">
        <v>8</v>
      </c>
      <c r="W40" s="1387">
        <f t="shared" si="11"/>
        <v>100</v>
      </c>
      <c r="X40" s="1380"/>
      <c r="Y40" s="4094"/>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4094"/>
      <c r="Q41" s="1414" t="str">
        <f t="shared" si="8"/>
        <v>单套/主力户型建筑面积</v>
      </c>
      <c r="R41" s="1390" t="s">
        <v>8</v>
      </c>
      <c r="S41" s="1391">
        <f t="shared" si="9"/>
        <v>100</v>
      </c>
      <c r="T41" s="1390" t="s">
        <v>8</v>
      </c>
      <c r="U41" s="1391">
        <f t="shared" si="10"/>
        <v>100</v>
      </c>
      <c r="V41" s="1390" t="s">
        <v>8</v>
      </c>
      <c r="W41" s="1391">
        <f t="shared" si="11"/>
        <v>100</v>
      </c>
      <c r="X41" s="1392"/>
      <c r="Y41" s="4094"/>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4094"/>
      <c r="Q42" s="1385" t="str">
        <f t="shared" si="8"/>
        <v>内部装修</v>
      </c>
      <c r="R42" s="1386" t="s">
        <v>8</v>
      </c>
      <c r="S42" s="1387">
        <f t="shared" si="9"/>
        <v>100</v>
      </c>
      <c r="T42" s="1386" t="s">
        <v>8</v>
      </c>
      <c r="U42" s="1387">
        <f t="shared" si="10"/>
        <v>100</v>
      </c>
      <c r="V42" s="1386" t="s">
        <v>8</v>
      </c>
      <c r="W42" s="1387">
        <f t="shared" si="11"/>
        <v>100</v>
      </c>
      <c r="X42" s="1380"/>
      <c r="Y42" s="4094"/>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4094"/>
      <c r="Q43" s="1385" t="str">
        <f t="shared" si="8"/>
        <v>内部装修维护情况</v>
      </c>
      <c r="R43" s="1386" t="s">
        <v>8</v>
      </c>
      <c r="S43" s="1387">
        <f t="shared" si="9"/>
        <v>100</v>
      </c>
      <c r="T43" s="1386" t="s">
        <v>8</v>
      </c>
      <c r="U43" s="1387">
        <f t="shared" si="10"/>
        <v>100</v>
      </c>
      <c r="V43" s="1386" t="s">
        <v>8</v>
      </c>
      <c r="W43" s="1387">
        <f t="shared" si="11"/>
        <v>100</v>
      </c>
      <c r="X43" s="1380"/>
      <c r="Y43" s="409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4094"/>
      <c r="Q44" s="1050">
        <f t="shared" si="8"/>
        <v>111</v>
      </c>
      <c r="R44" s="1381" t="s">
        <v>8</v>
      </c>
      <c r="S44" s="1382">
        <f t="shared" si="9"/>
        <v>100</v>
      </c>
      <c r="T44" s="1381" t="s">
        <v>8</v>
      </c>
      <c r="U44" s="1382">
        <f t="shared" si="10"/>
        <v>100</v>
      </c>
      <c r="V44" s="1381" t="s">
        <v>8</v>
      </c>
      <c r="W44" s="1382">
        <f t="shared" si="11"/>
        <v>100</v>
      </c>
      <c r="X44" s="1383"/>
      <c r="Y44" s="409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4094"/>
      <c r="Q45" s="1385">
        <f t="shared" si="8"/>
        <v>111</v>
      </c>
      <c r="R45" s="1386" t="s">
        <v>8</v>
      </c>
      <c r="S45" s="1387">
        <f t="shared" si="9"/>
        <v>100</v>
      </c>
      <c r="T45" s="1386" t="s">
        <v>8</v>
      </c>
      <c r="U45" s="1387">
        <f t="shared" si="10"/>
        <v>100</v>
      </c>
      <c r="V45" s="1386" t="s">
        <v>8</v>
      </c>
      <c r="W45" s="1387">
        <f t="shared" si="11"/>
        <v>100</v>
      </c>
      <c r="X45" s="1380"/>
      <c r="Y45" s="4094"/>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200"/>
      <c r="Q46" s="1385">
        <f t="shared" si="8"/>
        <v>111</v>
      </c>
      <c r="R46" s="1386" t="s">
        <v>7</v>
      </c>
      <c r="S46" s="1387">
        <f t="shared" si="9"/>
        <v>100</v>
      </c>
      <c r="T46" s="1386" t="s">
        <v>7</v>
      </c>
      <c r="U46" s="1387">
        <f t="shared" si="10"/>
        <v>100</v>
      </c>
      <c r="V46" s="1386" t="s">
        <v>7</v>
      </c>
      <c r="W46" s="1387">
        <f t="shared" si="11"/>
        <v>100</v>
      </c>
      <c r="X46" s="1380"/>
      <c r="Y46" s="4200"/>
      <c r="Z46" s="1388">
        <f t="shared" si="12"/>
        <v>111</v>
      </c>
      <c r="AA46" s="1389">
        <f t="shared" si="3"/>
        <v>1</v>
      </c>
      <c r="AB46" s="1389">
        <f t="shared" si="4"/>
        <v>1</v>
      </c>
      <c r="AC46" s="1389">
        <f t="shared" si="5"/>
        <v>1</v>
      </c>
    </row>
    <row r="47" spans="1:29" ht="14.4">
      <c r="A47" s="577" t="s">
        <v>683</v>
      </c>
      <c r="B47" s="850"/>
      <c r="C47" s="2233" t="s">
        <v>6</v>
      </c>
      <c r="D47" s="2234"/>
      <c r="E47" s="2235"/>
      <c r="F47" s="2236"/>
      <c r="G47" s="2237"/>
      <c r="H47" s="2238"/>
      <c r="I47" s="2235"/>
      <c r="J47" s="2238"/>
      <c r="K47" s="1415"/>
      <c r="L47" s="1867"/>
      <c r="M47" s="1868"/>
      <c r="N47" s="1857"/>
      <c r="O47" s="1868"/>
      <c r="P47" s="4089" t="str">
        <f>A47</f>
        <v>成交单价（元/平方米）</v>
      </c>
      <c r="Q47" s="4089"/>
      <c r="R47" s="4199">
        <f>E47</f>
        <v>0</v>
      </c>
      <c r="S47" s="4199"/>
      <c r="T47" s="4199">
        <f>G47</f>
        <v>0</v>
      </c>
      <c r="U47" s="4199"/>
      <c r="V47" s="4199">
        <f>I47</f>
        <v>0</v>
      </c>
      <c r="W47" s="4199"/>
      <c r="X47" s="1375"/>
      <c r="Y47" s="1394"/>
      <c r="Z47" s="1375"/>
      <c r="AA47" s="1375"/>
      <c r="AB47" s="1375"/>
      <c r="AC47" s="1375"/>
    </row>
    <row r="48" spans="1:29" ht="1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68"/>
      <c r="O48" s="1868"/>
      <c r="P48" s="4089" t="str">
        <f>A48</f>
        <v>比较价格（元/平方米）</v>
      </c>
      <c r="Q48" s="4089"/>
      <c r="R48" s="4199" t="e">
        <f>IF(F1="售价",ROUND(PRODUCT(R47,AA7:AA46),0),ROUND(PRODUCT(R47,AA7:AA46),1))</f>
        <v>#DIV/0!</v>
      </c>
      <c r="S48" s="4199"/>
      <c r="T48" s="4199" t="e">
        <f>IF(F1="售价",ROUND(PRODUCT(T47,AB7:AB46),0),ROUND(PRODUCT(T47,AB7:AB46),1))</f>
        <v>#DIV/0!</v>
      </c>
      <c r="U48" s="4199"/>
      <c r="V48" s="4199" t="e">
        <f>IF(F1="售价",ROUND(PRODUCT(V47,AC7:AC46),0),ROUND(PRODUCT(V47,AC7:AC46),1))</f>
        <v>#DIV/0!</v>
      </c>
      <c r="W48" s="4199"/>
      <c r="X48" s="1375"/>
      <c r="Y48" s="1375"/>
      <c r="Z48" s="1375"/>
      <c r="AA48" s="1375"/>
      <c r="AB48" s="1375"/>
      <c r="AC48" s="1375"/>
    </row>
    <row r="49" spans="1:29" ht="15" thickBot="1">
      <c r="A49" s="589" t="s">
        <v>2196</v>
      </c>
      <c r="B49" s="590"/>
      <c r="C49" s="2241" t="e">
        <f>R49</f>
        <v>#DIV/0!</v>
      </c>
      <c r="D49" s="2241"/>
      <c r="E49" s="2241"/>
      <c r="F49" s="2241"/>
      <c r="G49" s="2241"/>
      <c r="H49" s="2241"/>
      <c r="I49" s="2241"/>
      <c r="J49" s="2241"/>
      <c r="K49" s="1416"/>
      <c r="L49" s="1867"/>
      <c r="M49" s="1868"/>
      <c r="N49" s="1868"/>
      <c r="O49" s="1868"/>
      <c r="P49" s="4095" t="str">
        <f>A49</f>
        <v>估价对象XX用房的比较价格（楼面单价，元/平方米）</v>
      </c>
      <c r="Q49" s="4096"/>
      <c r="R49" s="4198" t="e">
        <f>IF(F1="售价",ROUND(IF(D48="简单平均",AVERAGE(R48:V48),R48*F48+T48*H48+V48*J48),0),ROUND(IF(D48="简单平均",AVERAGE(R48:V48),R48*F48+T48*H48+V48*J48),1))</f>
        <v>#DIV/0!</v>
      </c>
      <c r="S49" s="4198"/>
      <c r="T49" s="4198"/>
      <c r="U49" s="4198"/>
      <c r="V49" s="4198"/>
      <c r="W49" s="4198"/>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3" t="str">
        <f>YEAR(C7)&amp;"-"&amp;MONTH(C7)</f>
        <v>2025-3</v>
      </c>
      <c r="D58" s="2283">
        <f>EDATE(C58,-1)</f>
        <v>45689</v>
      </c>
      <c r="E58" s="2283">
        <f t="shared" ref="E58:O58" si="13">EDATE(D58,-1)</f>
        <v>45658</v>
      </c>
      <c r="F58" s="2283">
        <f t="shared" si="13"/>
        <v>45627</v>
      </c>
      <c r="G58" s="2283">
        <f t="shared" si="13"/>
        <v>45597</v>
      </c>
      <c r="H58" s="2283">
        <f t="shared" si="13"/>
        <v>45566</v>
      </c>
      <c r="I58" s="2283">
        <f t="shared" si="13"/>
        <v>45536</v>
      </c>
      <c r="J58" s="2283">
        <f t="shared" si="13"/>
        <v>45505</v>
      </c>
      <c r="K58" s="2283">
        <f t="shared" si="13"/>
        <v>45474</v>
      </c>
      <c r="L58" s="2283">
        <f t="shared" si="13"/>
        <v>45444</v>
      </c>
      <c r="M58" s="2283">
        <f t="shared" si="13"/>
        <v>45413</v>
      </c>
      <c r="N58" s="2283">
        <f t="shared" si="13"/>
        <v>45383</v>
      </c>
      <c r="O58" s="2283">
        <f t="shared" si="13"/>
        <v>45352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4097" t="s">
        <v>471</v>
      </c>
      <c r="D4" s="4098"/>
      <c r="E4" s="4119" t="s">
        <v>472</v>
      </c>
      <c r="F4" s="4120"/>
      <c r="G4" s="4097" t="s">
        <v>473</v>
      </c>
      <c r="H4" s="4098"/>
      <c r="I4" s="4097" t="s">
        <v>474</v>
      </c>
      <c r="J4" s="4098"/>
      <c r="K4" s="484" t="s">
        <v>475</v>
      </c>
      <c r="L4" s="1856"/>
      <c r="M4" s="1857"/>
      <c r="N4" s="1857"/>
      <c r="O4" s="1857"/>
      <c r="P4" s="4099" t="s">
        <v>476</v>
      </c>
      <c r="Q4" s="4100"/>
      <c r="R4" s="4083" t="s">
        <v>472</v>
      </c>
      <c r="S4" s="4084"/>
      <c r="T4" s="4083" t="s">
        <v>473</v>
      </c>
      <c r="U4" s="4084"/>
      <c r="V4" s="4105" t="s">
        <v>474</v>
      </c>
      <c r="W4" s="4105"/>
      <c r="X4" s="1380"/>
      <c r="Y4" s="4083" t="s">
        <v>476</v>
      </c>
      <c r="Z4" s="4084"/>
      <c r="AA4" s="4078" t="s">
        <v>472</v>
      </c>
      <c r="AB4" s="4105" t="s">
        <v>473</v>
      </c>
      <c r="AC4" s="4078" t="s">
        <v>474</v>
      </c>
    </row>
    <row r="5" spans="1:29">
      <c r="A5" s="485"/>
      <c r="B5" s="486"/>
      <c r="C5" s="4108" t="s">
        <v>2190</v>
      </c>
      <c r="D5" s="4109"/>
      <c r="E5" s="4121" t="s">
        <v>2191</v>
      </c>
      <c r="F5" s="4122"/>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105"/>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105"/>
      <c r="AC6" s="4080"/>
    </row>
    <row r="7" spans="1:29" s="1118" customFormat="1" ht="15" thickBot="1">
      <c r="A7" s="2391"/>
      <c r="B7" s="2398" t="s">
        <v>478</v>
      </c>
      <c r="C7" s="489">
        <f>'数据-取费表'!B2</f>
        <v>45744</v>
      </c>
      <c r="D7" s="490">
        <v>100</v>
      </c>
      <c r="E7" s="491"/>
      <c r="F7" s="492">
        <f>SUMIF(58:58,YEAR(E7)&amp;"-"&amp;MONTH(E7),59:59)</f>
        <v>0</v>
      </c>
      <c r="G7" s="491"/>
      <c r="H7" s="490">
        <f>SUMIF(58:58,YEAR(G7)&amp;"-"&amp;MONTH(G7),59:59)</f>
        <v>0</v>
      </c>
      <c r="I7" s="491"/>
      <c r="J7" s="490">
        <f>SUMIF(58:58,YEAR(I7)&amp;"-"&amp;MONTH(I7),59:59)</f>
        <v>0</v>
      </c>
      <c r="K7" s="494"/>
      <c r="L7" s="1858"/>
      <c r="M7" s="1859"/>
      <c r="N7" s="1859"/>
      <c r="O7" s="1859"/>
      <c r="P7" s="4081" t="s">
        <v>479</v>
      </c>
      <c r="Q7" s="4090"/>
      <c r="R7" s="1381" t="s">
        <v>5</v>
      </c>
      <c r="S7" s="1382">
        <f t="shared" ref="S7:S15" si="0">F7</f>
        <v>0</v>
      </c>
      <c r="T7" s="1381" t="s">
        <v>5</v>
      </c>
      <c r="U7" s="1382">
        <f t="shared" ref="U7:U15" si="1">H7</f>
        <v>0</v>
      </c>
      <c r="V7" s="1381" t="s">
        <v>5</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6"/>
      <c r="F10" s="246">
        <f>SUMIF(65:65,E10,66:66)-SUMIF(65:65,C10,66:66)+100</f>
        <v>100</v>
      </c>
      <c r="G10" s="3657"/>
      <c r="H10" s="246">
        <f>SUMIF(65:65,G10,66:66)-SUMIF(65:65,C10,66:66)+100</f>
        <v>100</v>
      </c>
      <c r="I10" s="3656"/>
      <c r="J10" s="246">
        <f>SUMIF(65:65,I10,66:66)-SUMIF(65:65,C10,66:66)+100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4089"/>
      <c r="Q11" s="1050" t="str">
        <f t="shared" si="6"/>
        <v>容积率</v>
      </c>
      <c r="R11" s="1381" t="s">
        <v>5</v>
      </c>
      <c r="S11" s="1382" t="e">
        <f t="shared" si="0"/>
        <v>#N/A</v>
      </c>
      <c r="T11" s="1381" t="s">
        <v>5</v>
      </c>
      <c r="U11" s="1382" t="e">
        <f t="shared" si="1"/>
        <v>#N/A</v>
      </c>
      <c r="V11" s="1381" t="s">
        <v>5</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 t="shared" si="3"/>
        <v>1</v>
      </c>
      <c r="AB14" s="1384">
        <f t="shared" si="4"/>
        <v>1</v>
      </c>
      <c r="AC14" s="1384">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4091" t="s">
        <v>489</v>
      </c>
      <c r="Q15" s="1385" t="str">
        <f t="shared" si="6"/>
        <v>商业繁华度</v>
      </c>
      <c r="R15" s="1386" t="s">
        <v>5</v>
      </c>
      <c r="S15" s="1387">
        <f t="shared" si="0"/>
        <v>100</v>
      </c>
      <c r="T15" s="1386" t="s">
        <v>5</v>
      </c>
      <c r="U15" s="1387">
        <f t="shared" si="1"/>
        <v>100</v>
      </c>
      <c r="V15" s="1386" t="s">
        <v>5</v>
      </c>
      <c r="W15" s="1387">
        <f t="shared" si="2"/>
        <v>100</v>
      </c>
      <c r="X15" s="1380"/>
      <c r="Y15" s="4091"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092"/>
      <c r="Q16" s="1385"/>
      <c r="R16" s="1386"/>
      <c r="S16" s="1387"/>
      <c r="T16" s="1386"/>
      <c r="U16" s="1387"/>
      <c r="V16" s="1386"/>
      <c r="W16" s="1387"/>
      <c r="X16" s="1380"/>
      <c r="Y16" s="4092"/>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4092"/>
      <c r="Q17" s="1385" t="str">
        <f>B17</f>
        <v>交通便捷度</v>
      </c>
      <c r="R17" s="1386" t="s">
        <v>5</v>
      </c>
      <c r="S17" s="1387">
        <f>F17</f>
        <v>100</v>
      </c>
      <c r="T17" s="1386" t="s">
        <v>5</v>
      </c>
      <c r="U17" s="1387">
        <f>H17</f>
        <v>100</v>
      </c>
      <c r="V17" s="1386" t="s">
        <v>5</v>
      </c>
      <c r="W17" s="1387">
        <f>J17</f>
        <v>100</v>
      </c>
      <c r="X17" s="1380"/>
      <c r="Y17" s="40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092"/>
      <c r="Q18" s="1385"/>
      <c r="R18" s="1386"/>
      <c r="S18" s="1387"/>
      <c r="T18" s="1386"/>
      <c r="U18" s="1387"/>
      <c r="V18" s="1386"/>
      <c r="W18" s="1387"/>
      <c r="X18" s="1380"/>
      <c r="Y18" s="4092"/>
      <c r="Z18" s="1388"/>
      <c r="AA18" s="1389">
        <v>1</v>
      </c>
      <c r="AB18" s="1389">
        <v>1</v>
      </c>
      <c r="AC18" s="1389">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4092"/>
      <c r="Q19" s="1385" t="str">
        <f>B19</f>
        <v>公共配套设施</v>
      </c>
      <c r="R19" s="1386" t="s">
        <v>5</v>
      </c>
      <c r="S19" s="1387">
        <f>F19</f>
        <v>100</v>
      </c>
      <c r="T19" s="1386" t="s">
        <v>5</v>
      </c>
      <c r="U19" s="1387">
        <f>H19</f>
        <v>100</v>
      </c>
      <c r="V19" s="1386" t="s">
        <v>5</v>
      </c>
      <c r="W19" s="1387">
        <f>J19</f>
        <v>100</v>
      </c>
      <c r="X19" s="1380"/>
      <c r="Y19" s="4092"/>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4092"/>
      <c r="Q20" s="1385"/>
      <c r="R20" s="1386"/>
      <c r="S20" s="1387"/>
      <c r="T20" s="1386"/>
      <c r="U20" s="1387"/>
      <c r="V20" s="1386"/>
      <c r="W20" s="1387"/>
      <c r="X20" s="1380"/>
      <c r="Y20" s="4092"/>
      <c r="Z20" s="1388"/>
      <c r="AA20" s="1389">
        <v>1</v>
      </c>
      <c r="AB20" s="1389">
        <v>1</v>
      </c>
      <c r="AC20" s="1389">
        <v>1</v>
      </c>
    </row>
    <row r="21" spans="1:29" ht="41.4">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4092"/>
      <c r="Q21" s="2192" t="str">
        <f>B21</f>
        <v>基础设施水平</v>
      </c>
      <c r="R21" s="1386" t="s">
        <v>5</v>
      </c>
      <c r="S21" s="1387">
        <f>F21</f>
        <v>100</v>
      </c>
      <c r="T21" s="1386" t="s">
        <v>5</v>
      </c>
      <c r="U21" s="1387">
        <f>H21</f>
        <v>100</v>
      </c>
      <c r="V21" s="1386" t="s">
        <v>5</v>
      </c>
      <c r="W21" s="1387">
        <f>J21</f>
        <v>100</v>
      </c>
      <c r="X21" s="2194"/>
      <c r="Y21" s="4092"/>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5"/>
      <c r="M22" s="1857"/>
      <c r="N22" s="1857"/>
      <c r="O22" s="1864"/>
      <c r="P22" s="4092"/>
      <c r="Q22" s="2192"/>
      <c r="R22" s="1386"/>
      <c r="S22" s="1387"/>
      <c r="T22" s="1386"/>
      <c r="U22" s="1387"/>
      <c r="V22" s="1386"/>
      <c r="W22" s="1387"/>
      <c r="X22" s="2194"/>
      <c r="Y22" s="4092"/>
      <c r="Z22" s="2193"/>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4092"/>
      <c r="Q23" s="1385" t="str">
        <f>B23</f>
        <v>自然及人文环境</v>
      </c>
      <c r="R23" s="1386" t="s">
        <v>5</v>
      </c>
      <c r="S23" s="1387">
        <f>F23</f>
        <v>100</v>
      </c>
      <c r="T23" s="1386" t="s">
        <v>5</v>
      </c>
      <c r="U23" s="1387">
        <f>H23</f>
        <v>100</v>
      </c>
      <c r="V23" s="1386" t="s">
        <v>5</v>
      </c>
      <c r="W23" s="1387">
        <f>J23</f>
        <v>100</v>
      </c>
      <c r="X23" s="1380"/>
      <c r="Y23" s="4092"/>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4092"/>
      <c r="Q24" s="1385"/>
      <c r="R24" s="1386"/>
      <c r="S24" s="1387"/>
      <c r="T24" s="1386"/>
      <c r="U24" s="1387"/>
      <c r="V24" s="1386"/>
      <c r="W24" s="1387"/>
      <c r="X24" s="1380"/>
      <c r="Y24" s="4092"/>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4092"/>
      <c r="Q25" s="1385" t="str">
        <f t="shared" ref="Q25:Q46" si="8">B25</f>
        <v>临街状况</v>
      </c>
      <c r="R25" s="1386" t="s">
        <v>5</v>
      </c>
      <c r="S25" s="1387">
        <f>F25</f>
        <v>100</v>
      </c>
      <c r="T25" s="1386" t="s">
        <v>5</v>
      </c>
      <c r="U25" s="1387">
        <f>H25</f>
        <v>100</v>
      </c>
      <c r="V25" s="1386" t="s">
        <v>5</v>
      </c>
      <c r="W25" s="1387">
        <f>J25</f>
        <v>100</v>
      </c>
      <c r="X25" s="1380"/>
      <c r="Y25" s="4092"/>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4092"/>
      <c r="Q26" s="1385" t="str">
        <f t="shared" si="8"/>
        <v>平面位置/可视性</v>
      </c>
      <c r="R26" s="1386" t="s">
        <v>5</v>
      </c>
      <c r="S26" s="1387">
        <f>F26</f>
        <v>100</v>
      </c>
      <c r="T26" s="1386" t="s">
        <v>5</v>
      </c>
      <c r="U26" s="1387">
        <f>H26</f>
        <v>100</v>
      </c>
      <c r="V26" s="1386" t="s">
        <v>5</v>
      </c>
      <c r="W26" s="1387">
        <f>J26</f>
        <v>100</v>
      </c>
      <c r="X26" s="1380"/>
      <c r="Y26" s="4092"/>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4092"/>
      <c r="Q27" s="1050" t="str">
        <f t="shared" si="8"/>
        <v>人流量</v>
      </c>
      <c r="R27" s="1381" t="s">
        <v>5</v>
      </c>
      <c r="S27" s="1382">
        <f>F27</f>
        <v>100</v>
      </c>
      <c r="T27" s="1381" t="s">
        <v>5</v>
      </c>
      <c r="U27" s="1382">
        <f>H27</f>
        <v>100</v>
      </c>
      <c r="V27" s="1381" t="s">
        <v>5</v>
      </c>
      <c r="W27" s="1382">
        <f>J27</f>
        <v>100</v>
      </c>
      <c r="X27" s="1383"/>
      <c r="Y27" s="4092"/>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4092"/>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4092"/>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4092"/>
      <c r="Q29" s="1385">
        <f t="shared" si="8"/>
        <v>111</v>
      </c>
      <c r="R29" s="1386" t="s">
        <v>5</v>
      </c>
      <c r="S29" s="1387">
        <f t="shared" si="9"/>
        <v>100</v>
      </c>
      <c r="T29" s="1386" t="s">
        <v>5</v>
      </c>
      <c r="U29" s="1387">
        <f t="shared" si="10"/>
        <v>100</v>
      </c>
      <c r="V29" s="1386" t="s">
        <v>5</v>
      </c>
      <c r="W29" s="1387">
        <f t="shared" si="11"/>
        <v>100</v>
      </c>
      <c r="X29" s="1380"/>
      <c r="Y29" s="4092"/>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4092"/>
      <c r="Q30" s="1385">
        <f t="shared" si="8"/>
        <v>111</v>
      </c>
      <c r="R30" s="1386" t="s">
        <v>5</v>
      </c>
      <c r="S30" s="1387">
        <f t="shared" si="9"/>
        <v>100</v>
      </c>
      <c r="T30" s="1386" t="s">
        <v>5</v>
      </c>
      <c r="U30" s="1387">
        <f t="shared" si="10"/>
        <v>100</v>
      </c>
      <c r="V30" s="1386" t="s">
        <v>5</v>
      </c>
      <c r="W30" s="1387">
        <f t="shared" si="11"/>
        <v>100</v>
      </c>
      <c r="X30" s="1380"/>
      <c r="Y30" s="4092"/>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4092"/>
      <c r="Q31" s="1385">
        <f t="shared" si="8"/>
        <v>111</v>
      </c>
      <c r="R31" s="1386" t="s">
        <v>5</v>
      </c>
      <c r="S31" s="1387">
        <f t="shared" si="9"/>
        <v>100</v>
      </c>
      <c r="T31" s="1386" t="s">
        <v>5</v>
      </c>
      <c r="U31" s="1387">
        <f t="shared" si="10"/>
        <v>100</v>
      </c>
      <c r="V31" s="1386" t="s">
        <v>5</v>
      </c>
      <c r="W31" s="1387">
        <f t="shared" si="11"/>
        <v>100</v>
      </c>
      <c r="X31" s="1380"/>
      <c r="Y31" s="4092"/>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4093" t="s">
        <v>499</v>
      </c>
      <c r="Q32" s="1385" t="str">
        <f t="shared" si="8"/>
        <v>商业类型</v>
      </c>
      <c r="R32" s="1386" t="s">
        <v>5</v>
      </c>
      <c r="S32" s="1387">
        <f t="shared" si="9"/>
        <v>100</v>
      </c>
      <c r="T32" s="1386" t="s">
        <v>5</v>
      </c>
      <c r="U32" s="1387">
        <f t="shared" si="10"/>
        <v>100</v>
      </c>
      <c r="V32" s="1386" t="s">
        <v>5</v>
      </c>
      <c r="W32" s="1387">
        <f t="shared" si="11"/>
        <v>100</v>
      </c>
      <c r="X32" s="1380"/>
      <c r="Y32" s="4094"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4094"/>
      <c r="Q33" s="1414" t="str">
        <f t="shared" si="8"/>
        <v>项目建筑规模</v>
      </c>
      <c r="R33" s="1390" t="s">
        <v>5</v>
      </c>
      <c r="S33" s="1391" t="e">
        <f t="shared" si="9"/>
        <v>#N/A</v>
      </c>
      <c r="T33" s="1390" t="s">
        <v>5</v>
      </c>
      <c r="U33" s="1391" t="e">
        <f t="shared" si="10"/>
        <v>#N/A</v>
      </c>
      <c r="V33" s="1390" t="s">
        <v>5</v>
      </c>
      <c r="W33" s="1391" t="e">
        <f t="shared" si="11"/>
        <v>#N/A</v>
      </c>
      <c r="X33" s="1392"/>
      <c r="Y33" s="4094"/>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4094"/>
      <c r="Q34" s="1385" t="str">
        <f t="shared" si="8"/>
        <v>建筑结构</v>
      </c>
      <c r="R34" s="1386" t="s">
        <v>5</v>
      </c>
      <c r="S34" s="1387">
        <f t="shared" si="9"/>
        <v>100</v>
      </c>
      <c r="T34" s="1386" t="s">
        <v>5</v>
      </c>
      <c r="U34" s="1387">
        <f t="shared" si="10"/>
        <v>100</v>
      </c>
      <c r="V34" s="1386" t="s">
        <v>5</v>
      </c>
      <c r="W34" s="1387">
        <f t="shared" si="11"/>
        <v>100</v>
      </c>
      <c r="X34" s="1380"/>
      <c r="Y34" s="4094"/>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4094"/>
      <c r="Q35" s="1385" t="str">
        <f t="shared" si="8"/>
        <v>公共部分装修</v>
      </c>
      <c r="R35" s="1386" t="s">
        <v>5</v>
      </c>
      <c r="S35" s="1387">
        <f t="shared" si="9"/>
        <v>100</v>
      </c>
      <c r="T35" s="1386" t="s">
        <v>5</v>
      </c>
      <c r="U35" s="1387">
        <f t="shared" si="10"/>
        <v>100</v>
      </c>
      <c r="V35" s="1386" t="s">
        <v>5</v>
      </c>
      <c r="W35" s="1387">
        <f t="shared" si="11"/>
        <v>100</v>
      </c>
      <c r="X35" s="1380"/>
      <c r="Y35" s="4094"/>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4094"/>
      <c r="Q36" s="1385" t="str">
        <f t="shared" si="8"/>
        <v>成新度</v>
      </c>
      <c r="R36" s="1386" t="s">
        <v>5</v>
      </c>
      <c r="S36" s="1387" t="e">
        <f t="shared" si="9"/>
        <v>#N/A</v>
      </c>
      <c r="T36" s="1386" t="s">
        <v>5</v>
      </c>
      <c r="U36" s="1387" t="e">
        <f t="shared" si="10"/>
        <v>#N/A</v>
      </c>
      <c r="V36" s="1386" t="s">
        <v>5</v>
      </c>
      <c r="W36" s="1387" t="e">
        <f t="shared" si="11"/>
        <v>#N/A</v>
      </c>
      <c r="X36" s="1380"/>
      <c r="Y36" s="4094"/>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4094"/>
      <c r="Q37" s="1050" t="str">
        <f t="shared" si="8"/>
        <v>市政基础设施</v>
      </c>
      <c r="R37" s="1381" t="s">
        <v>5</v>
      </c>
      <c r="S37" s="1382">
        <f t="shared" si="9"/>
        <v>100</v>
      </c>
      <c r="T37" s="1381" t="s">
        <v>5</v>
      </c>
      <c r="U37" s="1382">
        <f t="shared" si="10"/>
        <v>100</v>
      </c>
      <c r="V37" s="1381" t="s">
        <v>5</v>
      </c>
      <c r="W37" s="1382">
        <f t="shared" si="11"/>
        <v>100</v>
      </c>
      <c r="X37" s="1383"/>
      <c r="Y37" s="4094"/>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4094" t="s">
        <v>706</v>
      </c>
      <c r="Q38" s="1385" t="str">
        <f t="shared" si="8"/>
        <v>业态</v>
      </c>
      <c r="R38" s="1386" t="s">
        <v>5</v>
      </c>
      <c r="S38" s="1387">
        <f t="shared" si="9"/>
        <v>100</v>
      </c>
      <c r="T38" s="1386" t="s">
        <v>5</v>
      </c>
      <c r="U38" s="1387">
        <f t="shared" si="10"/>
        <v>100</v>
      </c>
      <c r="V38" s="1386" t="s">
        <v>5</v>
      </c>
      <c r="W38" s="1387">
        <f t="shared" si="11"/>
        <v>100</v>
      </c>
      <c r="X38" s="1380"/>
      <c r="Y38" s="4094"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4094"/>
      <c r="Q39" s="1385" t="str">
        <f t="shared" si="8"/>
        <v>层高</v>
      </c>
      <c r="R39" s="1386" t="s">
        <v>5</v>
      </c>
      <c r="S39" s="1387">
        <f t="shared" si="9"/>
        <v>100</v>
      </c>
      <c r="T39" s="1386" t="s">
        <v>5</v>
      </c>
      <c r="U39" s="1387">
        <f t="shared" si="10"/>
        <v>100</v>
      </c>
      <c r="V39" s="1386" t="s">
        <v>5</v>
      </c>
      <c r="W39" s="1387">
        <f t="shared" si="11"/>
        <v>100</v>
      </c>
      <c r="X39" s="1380"/>
      <c r="Y39" s="4094"/>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4094"/>
      <c r="Q40" s="1385" t="str">
        <f t="shared" si="8"/>
        <v>单套建筑面积</v>
      </c>
      <c r="R40" s="1386" t="s">
        <v>5</v>
      </c>
      <c r="S40" s="1387">
        <f t="shared" si="9"/>
        <v>100</v>
      </c>
      <c r="T40" s="1386" t="s">
        <v>5</v>
      </c>
      <c r="U40" s="1387">
        <f t="shared" si="10"/>
        <v>100</v>
      </c>
      <c r="V40" s="1386" t="s">
        <v>5</v>
      </c>
      <c r="W40" s="1387">
        <f t="shared" si="11"/>
        <v>100</v>
      </c>
      <c r="X40" s="1380"/>
      <c r="Y40" s="4094"/>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4094"/>
      <c r="Q41" s="1414" t="str">
        <f t="shared" si="8"/>
        <v>进深比</v>
      </c>
      <c r="R41" s="1390" t="s">
        <v>5</v>
      </c>
      <c r="S41" s="1391">
        <f t="shared" si="9"/>
        <v>100</v>
      </c>
      <c r="T41" s="1390" t="s">
        <v>5</v>
      </c>
      <c r="U41" s="1391">
        <f t="shared" si="10"/>
        <v>100</v>
      </c>
      <c r="V41" s="1390" t="s">
        <v>5</v>
      </c>
      <c r="W41" s="1391">
        <f t="shared" si="11"/>
        <v>100</v>
      </c>
      <c r="X41" s="1392"/>
      <c r="Y41" s="4094"/>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4094"/>
      <c r="Q42" s="1385" t="str">
        <f t="shared" si="8"/>
        <v>内部装修</v>
      </c>
      <c r="R42" s="1386" t="s">
        <v>5</v>
      </c>
      <c r="S42" s="1387">
        <f t="shared" si="9"/>
        <v>100</v>
      </c>
      <c r="T42" s="1386" t="s">
        <v>5</v>
      </c>
      <c r="U42" s="1387">
        <f t="shared" si="10"/>
        <v>100</v>
      </c>
      <c r="V42" s="1386" t="s">
        <v>5</v>
      </c>
      <c r="W42" s="1387">
        <f t="shared" si="11"/>
        <v>100</v>
      </c>
      <c r="X42" s="1380"/>
      <c r="Y42" s="4094"/>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4094"/>
      <c r="Q43" s="1385" t="str">
        <f t="shared" si="8"/>
        <v>内部装修维护情况</v>
      </c>
      <c r="R43" s="1386" t="s">
        <v>5</v>
      </c>
      <c r="S43" s="1387">
        <f t="shared" si="9"/>
        <v>100</v>
      </c>
      <c r="T43" s="1386" t="s">
        <v>5</v>
      </c>
      <c r="U43" s="1387">
        <f t="shared" si="10"/>
        <v>100</v>
      </c>
      <c r="V43" s="1386" t="s">
        <v>5</v>
      </c>
      <c r="W43" s="1387">
        <f t="shared" si="11"/>
        <v>100</v>
      </c>
      <c r="X43" s="1380"/>
      <c r="Y43" s="4094"/>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4094"/>
      <c r="Q44" s="1050">
        <f t="shared" si="8"/>
        <v>111</v>
      </c>
      <c r="R44" s="1381" t="s">
        <v>5</v>
      </c>
      <c r="S44" s="1382">
        <f t="shared" si="9"/>
        <v>100</v>
      </c>
      <c r="T44" s="1381" t="s">
        <v>5</v>
      </c>
      <c r="U44" s="1382">
        <f t="shared" si="10"/>
        <v>100</v>
      </c>
      <c r="V44" s="1381" t="s">
        <v>5</v>
      </c>
      <c r="W44" s="1382">
        <f t="shared" si="11"/>
        <v>100</v>
      </c>
      <c r="X44" s="1383"/>
      <c r="Y44" s="4094"/>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4094"/>
      <c r="Q45" s="1385">
        <f t="shared" si="8"/>
        <v>111</v>
      </c>
      <c r="R45" s="1386" t="s">
        <v>5</v>
      </c>
      <c r="S45" s="1387">
        <f t="shared" si="9"/>
        <v>100</v>
      </c>
      <c r="T45" s="1386" t="s">
        <v>5</v>
      </c>
      <c r="U45" s="1387">
        <f t="shared" si="10"/>
        <v>100</v>
      </c>
      <c r="V45" s="1386" t="s">
        <v>5</v>
      </c>
      <c r="W45" s="1387">
        <f t="shared" si="11"/>
        <v>100</v>
      </c>
      <c r="X45" s="1380"/>
      <c r="Y45" s="4094"/>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200"/>
      <c r="Q46" s="1385">
        <f t="shared" si="8"/>
        <v>111</v>
      </c>
      <c r="R46" s="1386" t="s">
        <v>5</v>
      </c>
      <c r="S46" s="1387">
        <f t="shared" si="9"/>
        <v>100</v>
      </c>
      <c r="T46" s="1386" t="s">
        <v>5</v>
      </c>
      <c r="U46" s="1387">
        <f t="shared" si="10"/>
        <v>100</v>
      </c>
      <c r="V46" s="1386" t="s">
        <v>5</v>
      </c>
      <c r="W46" s="1387">
        <f t="shared" si="11"/>
        <v>100</v>
      </c>
      <c r="X46" s="1380"/>
      <c r="Y46" s="4200"/>
      <c r="Z46" s="1388">
        <f t="shared" si="12"/>
        <v>111</v>
      </c>
      <c r="AA46" s="1389">
        <f t="shared" si="3"/>
        <v>1</v>
      </c>
      <c r="AB46" s="1389">
        <f t="shared" si="4"/>
        <v>1</v>
      </c>
      <c r="AC46" s="1389">
        <f t="shared" si="5"/>
        <v>1</v>
      </c>
    </row>
    <row r="47" spans="1:29" ht="14.4">
      <c r="A47" s="577" t="s">
        <v>683</v>
      </c>
      <c r="B47" s="850"/>
      <c r="C47" s="2233" t="s">
        <v>0</v>
      </c>
      <c r="D47" s="2234"/>
      <c r="E47" s="2235"/>
      <c r="F47" s="2236"/>
      <c r="G47" s="2237"/>
      <c r="H47" s="2238"/>
      <c r="I47" s="2235"/>
      <c r="J47" s="2238"/>
      <c r="K47" s="1419"/>
      <c r="L47" s="1867"/>
      <c r="M47" s="1868"/>
      <c r="N47" s="1857"/>
      <c r="O47" s="1868"/>
      <c r="P47" s="4089" t="str">
        <f>A47</f>
        <v>成交单价（元/平方米）</v>
      </c>
      <c r="Q47" s="4089"/>
      <c r="R47" s="4199">
        <f>E47</f>
        <v>0</v>
      </c>
      <c r="S47" s="4199"/>
      <c r="T47" s="4199">
        <f>G47</f>
        <v>0</v>
      </c>
      <c r="U47" s="4199"/>
      <c r="V47" s="4199">
        <f>I47</f>
        <v>0</v>
      </c>
      <c r="W47" s="4199"/>
      <c r="X47" s="1375"/>
      <c r="Y47" s="1394"/>
      <c r="Z47" s="1375"/>
      <c r="AA47" s="1375"/>
      <c r="AB47" s="1375"/>
      <c r="AC47" s="1375"/>
    </row>
    <row r="48" spans="1:29" ht="1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57"/>
      <c r="O48" s="1868"/>
      <c r="P48" s="4089" t="str">
        <f>A48</f>
        <v>比较价格（元/平方米）</v>
      </c>
      <c r="Q48" s="4089"/>
      <c r="R48" s="4199" t="e">
        <f>IF(F1="售价",ROUND(PRODUCT(R47,AA7:AA46),0),ROUND(PRODUCT(R47,AA7:AA46),1))</f>
        <v>#DIV/0!</v>
      </c>
      <c r="S48" s="4199"/>
      <c r="T48" s="4199" t="e">
        <f>IF(F1="售价",ROUND(PRODUCT(T47,AB7:AB46),0),ROUND(PRODUCT(T47,AB7:AB46),1))</f>
        <v>#DIV/0!</v>
      </c>
      <c r="U48" s="4199"/>
      <c r="V48" s="4199" t="e">
        <f>IF(F1="售价",ROUND(PRODUCT(V47,AC7:AC46),0),ROUND(PRODUCT(V47,AC7:AC46),1))</f>
        <v>#DIV/0!</v>
      </c>
      <c r="W48" s="4199"/>
      <c r="X48" s="1375"/>
      <c r="Y48" s="1375"/>
      <c r="Z48" s="1375"/>
      <c r="AA48" s="1375"/>
      <c r="AB48" s="1375"/>
      <c r="AC48" s="1375"/>
    </row>
    <row r="49" spans="1:29" ht="15" thickBot="1">
      <c r="A49" s="589" t="s">
        <v>2196</v>
      </c>
      <c r="B49" s="590"/>
      <c r="C49" s="2241" t="e">
        <f>R49</f>
        <v>#DIV/0!</v>
      </c>
      <c r="D49" s="2241"/>
      <c r="E49" s="2241"/>
      <c r="F49" s="2241"/>
      <c r="G49" s="2241"/>
      <c r="H49" s="2241"/>
      <c r="I49" s="2241"/>
      <c r="J49" s="2241"/>
      <c r="K49" s="1420"/>
      <c r="L49" s="1867"/>
      <c r="M49" s="1868"/>
      <c r="N49" s="1857"/>
      <c r="O49" s="1868"/>
      <c r="P49" s="4095" t="str">
        <f>A49</f>
        <v>估价对象XX用房的比较价格（楼面单价，元/平方米）</v>
      </c>
      <c r="Q49" s="4096"/>
      <c r="R49" s="4198" t="e">
        <f>IF(F1="售价",ROUND(IF(D48="简单平均",AVERAGE(R48:V48),R48*F48+T48*H48+V48*J48),0),ROUND(IF(D48="简单平均",AVERAGE(R48:V48),R48*F48+T48*H48+V48*J48),1))</f>
        <v>#DIV/0!</v>
      </c>
      <c r="S49" s="4198"/>
      <c r="T49" s="4198"/>
      <c r="U49" s="4198"/>
      <c r="V49" s="4198"/>
      <c r="W49" s="4198"/>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1" t="str">
        <f>YEAR(C7)&amp;"-"&amp;MONTH(C7)</f>
        <v>2025-3</v>
      </c>
      <c r="D58" s="2283">
        <f>EDATE(C58,-1)</f>
        <v>45689</v>
      </c>
      <c r="E58" s="2283">
        <f t="shared" ref="E58:O58" si="13">EDATE(D58,-1)</f>
        <v>45658</v>
      </c>
      <c r="F58" s="2283">
        <f t="shared" si="13"/>
        <v>45627</v>
      </c>
      <c r="G58" s="2283">
        <f t="shared" si="13"/>
        <v>45597</v>
      </c>
      <c r="H58" s="2283">
        <f t="shared" si="13"/>
        <v>45566</v>
      </c>
      <c r="I58" s="2283">
        <f t="shared" si="13"/>
        <v>45536</v>
      </c>
      <c r="J58" s="2283">
        <f t="shared" si="13"/>
        <v>45505</v>
      </c>
      <c r="K58" s="2283">
        <f t="shared" si="13"/>
        <v>45474</v>
      </c>
      <c r="L58" s="2283">
        <f t="shared" si="13"/>
        <v>45444</v>
      </c>
      <c r="M58" s="2283">
        <f t="shared" si="13"/>
        <v>45413</v>
      </c>
      <c r="N58" s="2283">
        <f t="shared" si="13"/>
        <v>45383</v>
      </c>
      <c r="O58" s="2283">
        <f t="shared" si="13"/>
        <v>45352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49"/>
      <c r="M1" s="2950"/>
      <c r="N1" s="2950"/>
      <c r="O1" s="2950"/>
      <c r="P1" s="3012"/>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2"/>
      <c r="Q2" s="1855"/>
      <c r="R2" s="1855"/>
      <c r="S2" s="1855"/>
      <c r="T2" s="1855"/>
      <c r="U2" s="1855"/>
      <c r="V2" s="1855"/>
      <c r="W2" s="1855"/>
      <c r="X2" s="1855"/>
      <c r="Y2" s="1855"/>
      <c r="Z2" s="1855"/>
      <c r="AA2" s="1855"/>
      <c r="AB2" s="1855"/>
      <c r="AC2" s="2951"/>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2"/>
      <c r="Q3" s="1855"/>
      <c r="R3" s="1855"/>
      <c r="S3" s="1855"/>
      <c r="T3" s="1855"/>
      <c r="U3" s="1855"/>
      <c r="V3" s="1855"/>
      <c r="W3" s="1855"/>
      <c r="X3" s="1855"/>
      <c r="Y3" s="1855"/>
      <c r="Z3" s="1855"/>
      <c r="AA3" s="1855"/>
      <c r="AB3" s="1855"/>
      <c r="AC3" s="2951"/>
    </row>
    <row r="4" spans="1:29" ht="14.4">
      <c r="A4" s="482" t="s">
        <v>470</v>
      </c>
      <c r="B4" s="483"/>
      <c r="C4" s="4097" t="s">
        <v>471</v>
      </c>
      <c r="D4" s="4098"/>
      <c r="E4" s="4119" t="s">
        <v>472</v>
      </c>
      <c r="F4" s="4120"/>
      <c r="G4" s="4097" t="s">
        <v>473</v>
      </c>
      <c r="H4" s="4098"/>
      <c r="I4" s="4097" t="s">
        <v>474</v>
      </c>
      <c r="J4" s="4098"/>
      <c r="K4" s="484" t="s">
        <v>475</v>
      </c>
      <c r="L4" s="1856"/>
      <c r="M4" s="1857"/>
      <c r="N4" s="1857"/>
      <c r="O4" s="1857"/>
      <c r="P4" s="4201" t="s">
        <v>476</v>
      </c>
      <c r="Q4" s="4100"/>
      <c r="R4" s="4083" t="s">
        <v>472</v>
      </c>
      <c r="S4" s="4084"/>
      <c r="T4" s="4083" t="s">
        <v>473</v>
      </c>
      <c r="U4" s="4084"/>
      <c r="V4" s="4105" t="s">
        <v>474</v>
      </c>
      <c r="W4" s="4105"/>
      <c r="X4" s="1380"/>
      <c r="Y4" s="4083" t="s">
        <v>476</v>
      </c>
      <c r="Z4" s="4084"/>
      <c r="AA4" s="4078" t="s">
        <v>472</v>
      </c>
      <c r="AB4" s="4078" t="s">
        <v>473</v>
      </c>
      <c r="AC4" s="4078" t="s">
        <v>474</v>
      </c>
    </row>
    <row r="5" spans="1:29">
      <c r="A5" s="485"/>
      <c r="B5" s="486"/>
      <c r="C5" s="4108" t="s">
        <v>2190</v>
      </c>
      <c r="D5" s="4109"/>
      <c r="E5" s="4121" t="s">
        <v>2191</v>
      </c>
      <c r="F5" s="4122"/>
      <c r="G5" s="4108" t="s">
        <v>2192</v>
      </c>
      <c r="H5" s="4109"/>
      <c r="I5" s="4108" t="s">
        <v>2193</v>
      </c>
      <c r="J5" s="4109"/>
      <c r="K5" s="484"/>
      <c r="L5" s="1856"/>
      <c r="M5" s="1857"/>
      <c r="N5" s="1857"/>
      <c r="O5" s="1857"/>
      <c r="P5" s="4202"/>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2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SUMIF(59:59,YEAR(E7)&amp;"-"&amp;MONTH(E7),60:60)</f>
        <v>0</v>
      </c>
      <c r="G7" s="491"/>
      <c r="H7" s="490">
        <f>SUMIF(59:59,YEAR(G7)&amp;"-"&amp;MONTH(G7),60:60)</f>
        <v>0</v>
      </c>
      <c r="I7" s="491"/>
      <c r="J7" s="490">
        <f>SUMIF(59:59,YEAR(I7)&amp;"-"&amp;MONTH(I7),60:60)</f>
        <v>0</v>
      </c>
      <c r="K7" s="494"/>
      <c r="L7" s="1858"/>
      <c r="M7" s="1859"/>
      <c r="N7" s="1859"/>
      <c r="O7" s="1859"/>
      <c r="P7" s="4090" t="s">
        <v>479</v>
      </c>
      <c r="Q7" s="4090"/>
      <c r="R7" s="1381" t="s">
        <v>5</v>
      </c>
      <c r="S7" s="1382">
        <f t="shared" ref="S7:S15" si="0">F7</f>
        <v>0</v>
      </c>
      <c r="T7" s="1381" t="s">
        <v>5</v>
      </c>
      <c r="U7" s="1382">
        <f t="shared" ref="U7:U15" si="1">H7</f>
        <v>0</v>
      </c>
      <c r="V7" s="1381" t="s">
        <v>5</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4090" t="s">
        <v>482</v>
      </c>
      <c r="Q8" s="4082"/>
      <c r="R8" s="1381" t="s">
        <v>5</v>
      </c>
      <c r="S8" s="1382">
        <f t="shared" si="0"/>
        <v>0</v>
      </c>
      <c r="T8" s="1381" t="s">
        <v>5</v>
      </c>
      <c r="U8" s="1382">
        <f t="shared" si="1"/>
        <v>0</v>
      </c>
      <c r="V8" s="1381" t="s">
        <v>5</v>
      </c>
      <c r="W8" s="1382">
        <f t="shared" si="2"/>
        <v>0</v>
      </c>
      <c r="X8" s="1383"/>
      <c r="Y8" s="4081" t="s">
        <v>482</v>
      </c>
      <c r="Z8" s="4082"/>
      <c r="AA8" s="1384" t="e">
        <f t="shared" ref="AA8:AA47" si="3">D8/F8</f>
        <v>#DIV/0!</v>
      </c>
      <c r="AB8" s="1384" t="e">
        <f t="shared" ref="AB8:AB47" si="4">D8/H8</f>
        <v>#DIV/0!</v>
      </c>
      <c r="AC8" s="1384" t="e">
        <f t="shared" ref="AC8:AC47" si="5">D8/J8</f>
        <v>#DIV/0!</v>
      </c>
    </row>
    <row r="9" spans="1:29" s="1118"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6"/>
      <c r="F10" s="246">
        <f>SUMIF(66:66,E10,67:67)-SUMIF(66:66,C10,67:67)+100</f>
        <v>100</v>
      </c>
      <c r="G10" s="3657"/>
      <c r="H10" s="246">
        <f>SUMIF(66:66,G10,67:67)-SUMIF(66:66,C10,67:67)+100</f>
        <v>100</v>
      </c>
      <c r="I10" s="3656"/>
      <c r="J10" s="246">
        <f>SUMIF(66:66,I10,67:67)-SUMIF(66:66,C10,67:67)+100</f>
        <v>100</v>
      </c>
      <c r="K10" s="494"/>
      <c r="L10" s="1861"/>
      <c r="M10" s="1900"/>
      <c r="N10" s="1900"/>
      <c r="O10" s="1900"/>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4089"/>
      <c r="Q11" s="1050" t="str">
        <f t="shared" si="6"/>
        <v>容积率</v>
      </c>
      <c r="R11" s="1381" t="s">
        <v>5</v>
      </c>
      <c r="S11" s="1382" t="e">
        <f t="shared" si="0"/>
        <v>#N/A</v>
      </c>
      <c r="T11" s="1381" t="s">
        <v>5</v>
      </c>
      <c r="U11" s="1382" t="e">
        <f t="shared" si="1"/>
        <v>#N/A</v>
      </c>
      <c r="V11" s="1381" t="s">
        <v>5</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 t="shared" si="3"/>
        <v>1</v>
      </c>
      <c r="AB14" s="1384">
        <f t="shared" si="4"/>
        <v>1</v>
      </c>
      <c r="AC14" s="1384">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4091" t="s">
        <v>489</v>
      </c>
      <c r="Q15" s="1385" t="str">
        <f t="shared" si="6"/>
        <v>办公集聚程度</v>
      </c>
      <c r="R15" s="1386" t="s">
        <v>5</v>
      </c>
      <c r="S15" s="1387">
        <f t="shared" si="0"/>
        <v>100</v>
      </c>
      <c r="T15" s="1386" t="s">
        <v>5</v>
      </c>
      <c r="U15" s="1387">
        <f t="shared" si="1"/>
        <v>100</v>
      </c>
      <c r="V15" s="1386" t="s">
        <v>5</v>
      </c>
      <c r="W15" s="1387">
        <f t="shared" si="2"/>
        <v>100</v>
      </c>
      <c r="X15" s="1380"/>
      <c r="Y15" s="4091"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4092"/>
      <c r="Q16" s="1385"/>
      <c r="R16" s="1386"/>
      <c r="S16" s="1387"/>
      <c r="T16" s="1386"/>
      <c r="U16" s="1387"/>
      <c r="V16" s="1386"/>
      <c r="W16" s="1387"/>
      <c r="X16" s="1380"/>
      <c r="Y16" s="4092"/>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4092"/>
      <c r="Q17" s="1385" t="str">
        <f>B17</f>
        <v>交通便捷度</v>
      </c>
      <c r="R17" s="1386" t="s">
        <v>5</v>
      </c>
      <c r="S17" s="1387">
        <f>F17</f>
        <v>100</v>
      </c>
      <c r="T17" s="1386" t="s">
        <v>5</v>
      </c>
      <c r="U17" s="1387">
        <f>H17</f>
        <v>100</v>
      </c>
      <c r="V17" s="1386" t="s">
        <v>5</v>
      </c>
      <c r="W17" s="1387">
        <f>J17</f>
        <v>100</v>
      </c>
      <c r="X17" s="1380"/>
      <c r="Y17" s="4092"/>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4092"/>
      <c r="Q18" s="1385"/>
      <c r="R18" s="1386"/>
      <c r="S18" s="1387"/>
      <c r="T18" s="1386"/>
      <c r="U18" s="1387"/>
      <c r="V18" s="1386"/>
      <c r="W18" s="1387"/>
      <c r="X18" s="1380"/>
      <c r="Y18" s="4092"/>
      <c r="Z18" s="1388"/>
      <c r="AA18" s="1389">
        <v>1</v>
      </c>
      <c r="AB18" s="1389">
        <v>1</v>
      </c>
      <c r="AC18" s="1389">
        <v>1</v>
      </c>
    </row>
    <row r="19" spans="1:29" ht="41.4">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4092"/>
      <c r="Q19" s="1385" t="str">
        <f>B19</f>
        <v>公共配套设施</v>
      </c>
      <c r="R19" s="1386" t="s">
        <v>5</v>
      </c>
      <c r="S19" s="1387">
        <f>F19</f>
        <v>100</v>
      </c>
      <c r="T19" s="1386" t="s">
        <v>5</v>
      </c>
      <c r="U19" s="1387">
        <f>H19</f>
        <v>100</v>
      </c>
      <c r="V19" s="1386" t="s">
        <v>5</v>
      </c>
      <c r="W19" s="1387">
        <f>J19</f>
        <v>100</v>
      </c>
      <c r="X19" s="1380"/>
      <c r="Y19" s="4092"/>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4092"/>
      <c r="Q20" s="1385"/>
      <c r="R20" s="1386"/>
      <c r="S20" s="1387"/>
      <c r="T20" s="1386"/>
      <c r="U20" s="1387"/>
      <c r="V20" s="1386"/>
      <c r="W20" s="1387"/>
      <c r="X20" s="1380"/>
      <c r="Y20" s="4092"/>
      <c r="Z20" s="1388"/>
      <c r="AA20" s="1389">
        <v>1</v>
      </c>
      <c r="AB20" s="1389">
        <v>1</v>
      </c>
      <c r="AC20" s="1389">
        <v>1</v>
      </c>
    </row>
    <row r="21" spans="1:29" ht="41.4">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4092"/>
      <c r="Q21" s="2192" t="str">
        <f>B21</f>
        <v>基础设施水平</v>
      </c>
      <c r="R21" s="1386" t="s">
        <v>5</v>
      </c>
      <c r="S21" s="1387">
        <f>F21</f>
        <v>100</v>
      </c>
      <c r="T21" s="1386" t="s">
        <v>5</v>
      </c>
      <c r="U21" s="1387">
        <f>H21</f>
        <v>100</v>
      </c>
      <c r="V21" s="1386" t="s">
        <v>5</v>
      </c>
      <c r="W21" s="1387">
        <f>J21</f>
        <v>100</v>
      </c>
      <c r="X21" s="2194"/>
      <c r="Y21" s="4092"/>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5"/>
      <c r="M22" s="1857"/>
      <c r="N22" s="1857"/>
      <c r="O22" s="1857"/>
      <c r="P22" s="4092"/>
      <c r="Q22" s="2192"/>
      <c r="R22" s="1386"/>
      <c r="S22" s="1387"/>
      <c r="T22" s="1386"/>
      <c r="U22" s="1387"/>
      <c r="V22" s="1386"/>
      <c r="W22" s="1387"/>
      <c r="X22" s="2194"/>
      <c r="Y22" s="4092"/>
      <c r="Z22" s="2193"/>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4092"/>
      <c r="Q23" s="1385" t="str">
        <f>B23</f>
        <v>环境质量</v>
      </c>
      <c r="R23" s="1386" t="s">
        <v>5</v>
      </c>
      <c r="S23" s="1387">
        <f>F23</f>
        <v>100</v>
      </c>
      <c r="T23" s="1386" t="s">
        <v>5</v>
      </c>
      <c r="U23" s="1387">
        <f>H23</f>
        <v>100</v>
      </c>
      <c r="V23" s="1386" t="s">
        <v>5</v>
      </c>
      <c r="W23" s="1387">
        <f>J23</f>
        <v>100</v>
      </c>
      <c r="X23" s="1380"/>
      <c r="Y23" s="4092"/>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4092"/>
      <c r="Q24" s="1385"/>
      <c r="R24" s="1386"/>
      <c r="S24" s="1387"/>
      <c r="T24" s="1386"/>
      <c r="U24" s="1387"/>
      <c r="V24" s="1386"/>
      <c r="W24" s="1387"/>
      <c r="X24" s="1380"/>
      <c r="Y24" s="4092"/>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4092"/>
      <c r="Q25" s="1385" t="str">
        <f>B25</f>
        <v>毗邻道路的类型与等级</v>
      </c>
      <c r="R25" s="1386" t="s">
        <v>5</v>
      </c>
      <c r="S25" s="1387">
        <f>F25</f>
        <v>100</v>
      </c>
      <c r="T25" s="1386" t="s">
        <v>5</v>
      </c>
      <c r="U25" s="1387">
        <f>H25</f>
        <v>100</v>
      </c>
      <c r="V25" s="1386" t="s">
        <v>5</v>
      </c>
      <c r="W25" s="1387">
        <f>J25</f>
        <v>100</v>
      </c>
      <c r="X25" s="1380"/>
      <c r="Y25" s="4092"/>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4092"/>
      <c r="Q26" s="1385"/>
      <c r="R26" s="1386"/>
      <c r="S26" s="1387"/>
      <c r="T26" s="1386"/>
      <c r="U26" s="1387"/>
      <c r="V26" s="1386"/>
      <c r="W26" s="1387"/>
      <c r="X26" s="1380"/>
      <c r="Y26" s="4092"/>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4092"/>
      <c r="Q27" s="1385" t="str">
        <f t="shared" ref="Q27:Q47" si="8">B27</f>
        <v>楼层</v>
      </c>
      <c r="R27" s="1386" t="s">
        <v>5</v>
      </c>
      <c r="S27" s="1387">
        <f>F27</f>
        <v>100</v>
      </c>
      <c r="T27" s="1386" t="s">
        <v>5</v>
      </c>
      <c r="U27" s="1387">
        <f>H27</f>
        <v>100</v>
      </c>
      <c r="V27" s="1386" t="s">
        <v>5</v>
      </c>
      <c r="W27" s="1387">
        <f>J27</f>
        <v>100</v>
      </c>
      <c r="X27" s="1380"/>
      <c r="Y27" s="4092"/>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4092"/>
      <c r="Q28" s="1050" t="str">
        <f t="shared" si="8"/>
        <v>朝向</v>
      </c>
      <c r="R28" s="1381" t="s">
        <v>5</v>
      </c>
      <c r="S28" s="1382">
        <f>F28</f>
        <v>100</v>
      </c>
      <c r="T28" s="1381" t="s">
        <v>5</v>
      </c>
      <c r="U28" s="1382">
        <f>H28</f>
        <v>100</v>
      </c>
      <c r="V28" s="1381" t="s">
        <v>5</v>
      </c>
      <c r="W28" s="1382">
        <f>J28</f>
        <v>100</v>
      </c>
      <c r="X28" s="1383"/>
      <c r="Y28" s="4092"/>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4092"/>
      <c r="Q29" s="1385">
        <f t="shared" si="8"/>
        <v>111</v>
      </c>
      <c r="R29" s="1386" t="s">
        <v>5</v>
      </c>
      <c r="S29" s="1387">
        <f t="shared" ref="S29:S47" si="9">F29</f>
        <v>100</v>
      </c>
      <c r="T29" s="1386" t="s">
        <v>5</v>
      </c>
      <c r="U29" s="1387">
        <f t="shared" ref="U29:U47" si="10">H29</f>
        <v>100</v>
      </c>
      <c r="V29" s="1386" t="s">
        <v>5</v>
      </c>
      <c r="W29" s="1387">
        <f t="shared" ref="W29:W47" si="11">J29</f>
        <v>100</v>
      </c>
      <c r="X29" s="1380"/>
      <c r="Y29" s="4092"/>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4092"/>
      <c r="Q30" s="1385">
        <f t="shared" si="8"/>
        <v>111</v>
      </c>
      <c r="R30" s="1386" t="s">
        <v>5</v>
      </c>
      <c r="S30" s="1387">
        <f t="shared" si="9"/>
        <v>100</v>
      </c>
      <c r="T30" s="1386" t="s">
        <v>5</v>
      </c>
      <c r="U30" s="1387">
        <f t="shared" si="10"/>
        <v>100</v>
      </c>
      <c r="V30" s="1386" t="s">
        <v>5</v>
      </c>
      <c r="W30" s="1387">
        <f t="shared" si="11"/>
        <v>100</v>
      </c>
      <c r="X30" s="1380"/>
      <c r="Y30" s="4092"/>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4092"/>
      <c r="Q31" s="1385">
        <f t="shared" si="8"/>
        <v>111</v>
      </c>
      <c r="R31" s="1386" t="s">
        <v>5</v>
      </c>
      <c r="S31" s="1387">
        <f t="shared" si="9"/>
        <v>100</v>
      </c>
      <c r="T31" s="1386" t="s">
        <v>5</v>
      </c>
      <c r="U31" s="1387">
        <f t="shared" si="10"/>
        <v>100</v>
      </c>
      <c r="V31" s="1386" t="s">
        <v>5</v>
      </c>
      <c r="W31" s="1387">
        <f t="shared" si="11"/>
        <v>100</v>
      </c>
      <c r="X31" s="1380"/>
      <c r="Y31" s="4092"/>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4092"/>
      <c r="Q32" s="1385">
        <f t="shared" si="8"/>
        <v>111</v>
      </c>
      <c r="R32" s="1386" t="s">
        <v>5</v>
      </c>
      <c r="S32" s="1387">
        <f t="shared" si="9"/>
        <v>100</v>
      </c>
      <c r="T32" s="1386" t="s">
        <v>5</v>
      </c>
      <c r="U32" s="1387">
        <f t="shared" si="10"/>
        <v>100</v>
      </c>
      <c r="V32" s="1386" t="s">
        <v>5</v>
      </c>
      <c r="W32" s="1387">
        <f t="shared" si="11"/>
        <v>100</v>
      </c>
      <c r="X32" s="1380"/>
      <c r="Y32" s="4092"/>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4093" t="s">
        <v>499</v>
      </c>
      <c r="Q33" s="1385" t="str">
        <f t="shared" si="8"/>
        <v>建筑类型</v>
      </c>
      <c r="R33" s="1386" t="s">
        <v>5</v>
      </c>
      <c r="S33" s="1387">
        <f t="shared" si="9"/>
        <v>100</v>
      </c>
      <c r="T33" s="1386" t="s">
        <v>5</v>
      </c>
      <c r="U33" s="1387">
        <f t="shared" si="10"/>
        <v>100</v>
      </c>
      <c r="V33" s="1386" t="s">
        <v>5</v>
      </c>
      <c r="W33" s="1387">
        <f t="shared" si="11"/>
        <v>100</v>
      </c>
      <c r="X33" s="1380"/>
      <c r="Y33" s="4094"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4094"/>
      <c r="Q34" s="1414" t="str">
        <f t="shared" si="8"/>
        <v>项目建筑规模</v>
      </c>
      <c r="R34" s="1390" t="s">
        <v>5</v>
      </c>
      <c r="S34" s="1391" t="e">
        <f t="shared" si="9"/>
        <v>#N/A</v>
      </c>
      <c r="T34" s="1390" t="s">
        <v>5</v>
      </c>
      <c r="U34" s="1391" t="e">
        <f t="shared" si="10"/>
        <v>#N/A</v>
      </c>
      <c r="V34" s="1390" t="s">
        <v>5</v>
      </c>
      <c r="W34" s="1391" t="e">
        <f t="shared" si="11"/>
        <v>#N/A</v>
      </c>
      <c r="X34" s="1392"/>
      <c r="Y34" s="4094"/>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4094"/>
      <c r="Q35" s="1385" t="str">
        <f t="shared" si="8"/>
        <v>建筑结构</v>
      </c>
      <c r="R35" s="1386" t="s">
        <v>5</v>
      </c>
      <c r="S35" s="1387">
        <f t="shared" si="9"/>
        <v>100</v>
      </c>
      <c r="T35" s="1386" t="s">
        <v>5</v>
      </c>
      <c r="U35" s="1387">
        <f t="shared" si="10"/>
        <v>100</v>
      </c>
      <c r="V35" s="1386" t="s">
        <v>5</v>
      </c>
      <c r="W35" s="1387">
        <f t="shared" si="11"/>
        <v>100</v>
      </c>
      <c r="X35" s="1380"/>
      <c r="Y35" s="4094"/>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4094"/>
      <c r="Q36" s="1385" t="str">
        <f t="shared" si="8"/>
        <v>公共部分装修</v>
      </c>
      <c r="R36" s="1386" t="s">
        <v>5</v>
      </c>
      <c r="S36" s="1387">
        <f t="shared" si="9"/>
        <v>100</v>
      </c>
      <c r="T36" s="1386" t="s">
        <v>5</v>
      </c>
      <c r="U36" s="1387">
        <f t="shared" si="10"/>
        <v>100</v>
      </c>
      <c r="V36" s="1386" t="s">
        <v>5</v>
      </c>
      <c r="W36" s="1387">
        <f t="shared" si="11"/>
        <v>100</v>
      </c>
      <c r="X36" s="1380"/>
      <c r="Y36" s="4094"/>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4094"/>
      <c r="Q37" s="1385" t="str">
        <f t="shared" si="8"/>
        <v>成新度</v>
      </c>
      <c r="R37" s="1386" t="s">
        <v>5</v>
      </c>
      <c r="S37" s="1387" t="e">
        <f t="shared" si="9"/>
        <v>#N/A</v>
      </c>
      <c r="T37" s="1386" t="s">
        <v>5</v>
      </c>
      <c r="U37" s="1387" t="e">
        <f t="shared" si="10"/>
        <v>#N/A</v>
      </c>
      <c r="V37" s="1386" t="s">
        <v>5</v>
      </c>
      <c r="W37" s="1387" t="e">
        <f t="shared" si="11"/>
        <v>#N/A</v>
      </c>
      <c r="X37" s="1380"/>
      <c r="Y37" s="4094"/>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4094"/>
      <c r="Q38" s="1050" t="str">
        <f t="shared" si="8"/>
        <v>写字楼等级</v>
      </c>
      <c r="R38" s="1381" t="s">
        <v>5</v>
      </c>
      <c r="S38" s="1382">
        <f t="shared" si="9"/>
        <v>100</v>
      </c>
      <c r="T38" s="1381" t="s">
        <v>5</v>
      </c>
      <c r="U38" s="1382">
        <f t="shared" si="10"/>
        <v>100</v>
      </c>
      <c r="V38" s="1381" t="s">
        <v>5</v>
      </c>
      <c r="W38" s="1382">
        <f t="shared" si="11"/>
        <v>100</v>
      </c>
      <c r="X38" s="1383"/>
      <c r="Y38" s="4094"/>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4094" t="s">
        <v>499</v>
      </c>
      <c r="Q39" s="1385" t="str">
        <f t="shared" si="8"/>
        <v>物业管理</v>
      </c>
      <c r="R39" s="1386" t="s">
        <v>5</v>
      </c>
      <c r="S39" s="1387">
        <f t="shared" si="9"/>
        <v>100</v>
      </c>
      <c r="T39" s="1386" t="s">
        <v>5</v>
      </c>
      <c r="U39" s="1387">
        <f t="shared" si="10"/>
        <v>100</v>
      </c>
      <c r="V39" s="1386" t="s">
        <v>5</v>
      </c>
      <c r="W39" s="1387">
        <f t="shared" si="11"/>
        <v>100</v>
      </c>
      <c r="X39" s="1380"/>
      <c r="Y39" s="4094"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4094"/>
      <c r="Q40" s="1385" t="str">
        <f t="shared" si="8"/>
        <v>市政基础设施</v>
      </c>
      <c r="R40" s="1386" t="s">
        <v>5</v>
      </c>
      <c r="S40" s="1387">
        <f t="shared" si="9"/>
        <v>100</v>
      </c>
      <c r="T40" s="1386" t="s">
        <v>5</v>
      </c>
      <c r="U40" s="1387">
        <f t="shared" si="10"/>
        <v>100</v>
      </c>
      <c r="V40" s="1386" t="s">
        <v>5</v>
      </c>
      <c r="W40" s="1387">
        <f t="shared" si="11"/>
        <v>100</v>
      </c>
      <c r="X40" s="1380"/>
      <c r="Y40" s="4094"/>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4094"/>
      <c r="Q41" s="1385" t="str">
        <f t="shared" si="8"/>
        <v>层高</v>
      </c>
      <c r="R41" s="1386" t="s">
        <v>5</v>
      </c>
      <c r="S41" s="1387">
        <f t="shared" si="9"/>
        <v>100</v>
      </c>
      <c r="T41" s="1386" t="s">
        <v>5</v>
      </c>
      <c r="U41" s="1387">
        <f t="shared" si="10"/>
        <v>100</v>
      </c>
      <c r="V41" s="1386" t="s">
        <v>5</v>
      </c>
      <c r="W41" s="1387">
        <f t="shared" si="11"/>
        <v>100</v>
      </c>
      <c r="X41" s="1380"/>
      <c r="Y41" s="4094"/>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4094"/>
      <c r="Q42" s="1414" t="str">
        <f t="shared" si="8"/>
        <v>单套建筑面积</v>
      </c>
      <c r="R42" s="1390" t="s">
        <v>5</v>
      </c>
      <c r="S42" s="1391">
        <f t="shared" si="9"/>
        <v>100</v>
      </c>
      <c r="T42" s="1390" t="s">
        <v>5</v>
      </c>
      <c r="U42" s="1391">
        <f t="shared" si="10"/>
        <v>100</v>
      </c>
      <c r="V42" s="1390" t="s">
        <v>5</v>
      </c>
      <c r="W42" s="1391">
        <f t="shared" si="11"/>
        <v>100</v>
      </c>
      <c r="X42" s="1392"/>
      <c r="Y42" s="4094"/>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4094"/>
      <c r="Q43" s="1385" t="str">
        <f t="shared" si="8"/>
        <v>内部装修</v>
      </c>
      <c r="R43" s="1386" t="s">
        <v>5</v>
      </c>
      <c r="S43" s="1387">
        <f t="shared" si="9"/>
        <v>100</v>
      </c>
      <c r="T43" s="1386" t="s">
        <v>5</v>
      </c>
      <c r="U43" s="1387">
        <f t="shared" si="10"/>
        <v>100</v>
      </c>
      <c r="V43" s="1386" t="s">
        <v>5</v>
      </c>
      <c r="W43" s="1387">
        <f t="shared" si="11"/>
        <v>100</v>
      </c>
      <c r="X43" s="1380"/>
      <c r="Y43" s="4094"/>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4094"/>
      <c r="Q44" s="1385" t="str">
        <f t="shared" si="8"/>
        <v>内部装修维护情况</v>
      </c>
      <c r="R44" s="1386" t="s">
        <v>5</v>
      </c>
      <c r="S44" s="1387">
        <f t="shared" si="9"/>
        <v>100</v>
      </c>
      <c r="T44" s="1386" t="s">
        <v>5</v>
      </c>
      <c r="U44" s="1387">
        <f t="shared" si="10"/>
        <v>100</v>
      </c>
      <c r="V44" s="1386" t="s">
        <v>5</v>
      </c>
      <c r="W44" s="1387">
        <f t="shared" si="11"/>
        <v>100</v>
      </c>
      <c r="X44" s="1380"/>
      <c r="Y44" s="4094"/>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4094"/>
      <c r="Q45" s="1050">
        <f t="shared" si="8"/>
        <v>111</v>
      </c>
      <c r="R45" s="1381" t="s">
        <v>5</v>
      </c>
      <c r="S45" s="1382">
        <f t="shared" si="9"/>
        <v>100</v>
      </c>
      <c r="T45" s="1381" t="s">
        <v>5</v>
      </c>
      <c r="U45" s="1382">
        <f t="shared" si="10"/>
        <v>100</v>
      </c>
      <c r="V45" s="1381" t="s">
        <v>5</v>
      </c>
      <c r="W45" s="1382">
        <f t="shared" si="11"/>
        <v>100</v>
      </c>
      <c r="X45" s="1383"/>
      <c r="Y45" s="4094"/>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4094"/>
      <c r="Q46" s="1385">
        <f t="shared" si="8"/>
        <v>111</v>
      </c>
      <c r="R46" s="1386" t="s">
        <v>5</v>
      </c>
      <c r="S46" s="1387">
        <f t="shared" si="9"/>
        <v>100</v>
      </c>
      <c r="T46" s="1386" t="s">
        <v>5</v>
      </c>
      <c r="U46" s="1387">
        <f t="shared" si="10"/>
        <v>100</v>
      </c>
      <c r="V46" s="1386" t="s">
        <v>5</v>
      </c>
      <c r="W46" s="1387">
        <f t="shared" si="11"/>
        <v>100</v>
      </c>
      <c r="X46" s="1380"/>
      <c r="Y46" s="4094"/>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200"/>
      <c r="Q47" s="1385">
        <f t="shared" si="8"/>
        <v>111</v>
      </c>
      <c r="R47" s="1386" t="s">
        <v>5</v>
      </c>
      <c r="S47" s="1387">
        <f t="shared" si="9"/>
        <v>100</v>
      </c>
      <c r="T47" s="1386" t="s">
        <v>5</v>
      </c>
      <c r="U47" s="1387">
        <f t="shared" si="10"/>
        <v>100</v>
      </c>
      <c r="V47" s="1386" t="s">
        <v>5</v>
      </c>
      <c r="W47" s="1387">
        <f t="shared" si="11"/>
        <v>100</v>
      </c>
      <c r="X47" s="1380"/>
      <c r="Y47" s="4200"/>
      <c r="Z47" s="1388">
        <f t="shared" si="12"/>
        <v>111</v>
      </c>
      <c r="AA47" s="1389">
        <f t="shared" si="3"/>
        <v>1</v>
      </c>
      <c r="AB47" s="1389">
        <f t="shared" si="4"/>
        <v>1</v>
      </c>
      <c r="AC47" s="1389">
        <f t="shared" si="5"/>
        <v>1</v>
      </c>
    </row>
    <row r="48" spans="1:29" ht="14.4">
      <c r="A48" s="577" t="s">
        <v>683</v>
      </c>
      <c r="B48" s="850"/>
      <c r="C48" s="2233" t="s">
        <v>0</v>
      </c>
      <c r="D48" s="2234"/>
      <c r="E48" s="2235"/>
      <c r="F48" s="2236"/>
      <c r="G48" s="2237"/>
      <c r="H48" s="2238"/>
      <c r="I48" s="2235"/>
      <c r="J48" s="2238"/>
      <c r="K48" s="1419"/>
      <c r="L48" s="1867"/>
      <c r="M48" s="1857"/>
      <c r="N48" s="1857"/>
      <c r="O48" s="1857"/>
      <c r="P48" s="4096" t="str">
        <f>A48</f>
        <v>成交单价（元/平方米）</v>
      </c>
      <c r="Q48" s="4089"/>
      <c r="R48" s="4199">
        <f>E48</f>
        <v>0</v>
      </c>
      <c r="S48" s="4199"/>
      <c r="T48" s="4199">
        <f>G48</f>
        <v>0</v>
      </c>
      <c r="U48" s="4199"/>
      <c r="V48" s="4199">
        <f>I48</f>
        <v>0</v>
      </c>
      <c r="W48" s="4199"/>
      <c r="X48" s="1375"/>
      <c r="Y48" s="1394"/>
      <c r="Z48" s="1375"/>
      <c r="AA48" s="1375"/>
      <c r="AB48" s="1375"/>
      <c r="AC48" s="1375"/>
    </row>
    <row r="49" spans="1:29" ht="15" thickBot="1">
      <c r="A49" s="585" t="s">
        <v>2042</v>
      </c>
      <c r="B49" s="851"/>
      <c r="C49" s="2239" t="e">
        <f>R50</f>
        <v>#DIV/0!</v>
      </c>
      <c r="D49" s="2756" t="s">
        <v>2259</v>
      </c>
      <c r="E49" s="2240" t="e">
        <f>R49</f>
        <v>#DIV/0!</v>
      </c>
      <c r="F49" s="2757"/>
      <c r="G49" s="2239" t="e">
        <f>T49</f>
        <v>#DIV/0!</v>
      </c>
      <c r="H49" s="2757"/>
      <c r="I49" s="2240" t="e">
        <f>V49</f>
        <v>#DIV/0!</v>
      </c>
      <c r="J49" s="2757"/>
      <c r="K49" s="2765">
        <f>F49+H49+J49</f>
        <v>0</v>
      </c>
      <c r="L49" s="1867"/>
      <c r="M49" s="1857"/>
      <c r="N49" s="1857"/>
      <c r="O49" s="1857"/>
      <c r="P49" s="4096" t="str">
        <f>A49</f>
        <v>比较价格（元/平方米）</v>
      </c>
      <c r="Q49" s="4089"/>
      <c r="R49" s="4199" t="e">
        <f>IF(F1="售价",ROUND(PRODUCT(R48,AA7:AA47),0),ROUND(PRODUCT(R48,AA7:AA47),1))</f>
        <v>#DIV/0!</v>
      </c>
      <c r="S49" s="4199"/>
      <c r="T49" s="4199" t="e">
        <f>IF(F1="售价",ROUND(PRODUCT(T48,AB7:AB47),0),ROUND(PRODUCT(T48,AB7:AB47),1))</f>
        <v>#DIV/0!</v>
      </c>
      <c r="U49" s="4199"/>
      <c r="V49" s="4199" t="e">
        <f>IF(F1="售价",ROUND(PRODUCT(V48,AC7:AC47),0),ROUND(PRODUCT(V48,AC7:AC47),1))</f>
        <v>#DIV/0!</v>
      </c>
      <c r="W49" s="4199"/>
      <c r="X49" s="1375"/>
      <c r="Y49" s="1375"/>
      <c r="Z49" s="1375"/>
      <c r="AA49" s="1375"/>
      <c r="AB49" s="1375"/>
      <c r="AC49" s="1375"/>
    </row>
    <row r="50" spans="1:29" ht="15" thickBot="1">
      <c r="A50" s="589" t="s">
        <v>2196</v>
      </c>
      <c r="B50" s="590"/>
      <c r="C50" s="2241" t="e">
        <f>R50</f>
        <v>#DIV/0!</v>
      </c>
      <c r="D50" s="2241"/>
      <c r="E50" s="2241"/>
      <c r="F50" s="2241"/>
      <c r="G50" s="2241"/>
      <c r="H50" s="2241"/>
      <c r="I50" s="2241"/>
      <c r="J50" s="2241"/>
      <c r="K50" s="1420"/>
      <c r="L50" s="1867"/>
      <c r="M50" s="1857"/>
      <c r="N50" s="1857"/>
      <c r="O50" s="1857"/>
      <c r="P50" s="4204" t="str">
        <f>A50</f>
        <v>估价对象XX用房的比较价格（楼面单价，元/平方米）</v>
      </c>
      <c r="Q50" s="4096"/>
      <c r="R50" s="4198" t="e">
        <f>IF(F1="售价",ROUND(IF(D49="简单平均",AVERAGE(R49:V49),R49*F49+T49*H49+V49*J49),0),ROUND(IF(D49="简单平均",AVERAGE(R49:V49),R49*F49+T49*H49+V49*J49),1))</f>
        <v>#DIV/0!</v>
      </c>
      <c r="S50" s="4198"/>
      <c r="T50" s="4198"/>
      <c r="U50" s="4198"/>
      <c r="V50" s="4198"/>
      <c r="W50" s="4198"/>
      <c r="X50" s="1375"/>
      <c r="Y50" s="1375"/>
      <c r="Z50" s="1375"/>
      <c r="AA50" s="1375"/>
      <c r="AB50" s="1375"/>
      <c r="AC50" s="1375"/>
    </row>
    <row r="51" spans="1:29">
      <c r="A51" s="2953"/>
      <c r="B51" s="2953"/>
      <c r="C51" s="2953"/>
      <c r="D51" s="2953"/>
      <c r="E51" s="2953"/>
      <c r="F51" s="2953"/>
      <c r="G51" s="2955"/>
      <c r="H51" s="2953"/>
      <c r="I51" s="2953"/>
      <c r="J51" s="2953"/>
      <c r="K51" s="2956"/>
      <c r="L51" s="1872"/>
      <c r="M51" s="1868"/>
      <c r="N51" s="1868"/>
      <c r="O51" s="1868"/>
      <c r="P51" s="1927"/>
      <c r="Q51" s="1868"/>
      <c r="R51" s="1868"/>
      <c r="S51" s="1868"/>
      <c r="T51" s="1868"/>
      <c r="U51" s="1868"/>
      <c r="V51" s="1868"/>
      <c r="W51" s="1868"/>
      <c r="X51" s="1868"/>
      <c r="Y51" s="1868"/>
      <c r="Z51" s="1868"/>
      <c r="AA51" s="1868"/>
      <c r="AB51" s="1868"/>
      <c r="AC51" s="1868"/>
    </row>
    <row r="52" spans="1:29">
      <c r="A52" s="2953"/>
      <c r="B52" s="2953"/>
      <c r="C52" s="2953"/>
      <c r="D52" s="2953"/>
      <c r="E52" s="2953"/>
      <c r="F52" s="2953"/>
      <c r="G52" s="2953"/>
      <c r="H52" s="2953"/>
      <c r="I52" s="2953"/>
      <c r="J52" s="2953"/>
      <c r="K52" s="2956"/>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1" t="str">
        <f>YEAR(C7)&amp;"-"&amp;MONTH(C7)</f>
        <v>2025-3</v>
      </c>
      <c r="D59" s="2283">
        <f>EDATE(C59,-1)</f>
        <v>45689</v>
      </c>
      <c r="E59" s="2283">
        <f t="shared" ref="E59:O59" si="13">EDATE(D59,-1)</f>
        <v>45658</v>
      </c>
      <c r="F59" s="2283">
        <f t="shared" si="13"/>
        <v>45627</v>
      </c>
      <c r="G59" s="2283">
        <f t="shared" si="13"/>
        <v>45597</v>
      </c>
      <c r="H59" s="2283">
        <f t="shared" si="13"/>
        <v>45566</v>
      </c>
      <c r="I59" s="2283">
        <f t="shared" si="13"/>
        <v>45536</v>
      </c>
      <c r="J59" s="2283">
        <f t="shared" si="13"/>
        <v>45505</v>
      </c>
      <c r="K59" s="2283">
        <f t="shared" si="13"/>
        <v>45474</v>
      </c>
      <c r="L59" s="2283">
        <f t="shared" si="13"/>
        <v>45444</v>
      </c>
      <c r="M59" s="2283">
        <f t="shared" si="13"/>
        <v>45413</v>
      </c>
      <c r="N59" s="2283">
        <f t="shared" si="13"/>
        <v>45383</v>
      </c>
      <c r="O59" s="2283">
        <f t="shared" si="13"/>
        <v>45352</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4" t="s">
        <v>1841</v>
      </c>
      <c r="C83" s="2205" t="s">
        <v>1842</v>
      </c>
      <c r="D83" s="2205" t="s">
        <v>1843</v>
      </c>
      <c r="E83" s="2205" t="s">
        <v>1844</v>
      </c>
      <c r="F83" s="2205" t="s">
        <v>1845</v>
      </c>
      <c r="G83" s="2205" t="s">
        <v>1846</v>
      </c>
      <c r="H83" s="642"/>
      <c r="I83" s="642"/>
      <c r="J83" s="642"/>
      <c r="K83" s="642"/>
      <c r="L83" s="642"/>
      <c r="M83" s="2208"/>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10738.85平方米。根据《建设工程规划许可证》[]、《出让合同》[]，估价对象规划建筑面积为10738.85平方米。</v>
      </c>
    </row>
    <row r="7" spans="1:4" ht="87">
      <c r="A7" s="2352"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2025年3月28日（评估专业人员勘察现场之日）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4" t="s">
        <v>2031</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4.4">
      <c r="A4" s="482" t="s">
        <v>470</v>
      </c>
      <c r="B4" s="483"/>
      <c r="C4" s="4097" t="s">
        <v>471</v>
      </c>
      <c r="D4" s="4098"/>
      <c r="E4" s="4119" t="s">
        <v>472</v>
      </c>
      <c r="F4" s="4120"/>
      <c r="G4" s="4097" t="s">
        <v>473</v>
      </c>
      <c r="H4" s="4098"/>
      <c r="I4" s="4097" t="s">
        <v>474</v>
      </c>
      <c r="J4" s="4098"/>
      <c r="K4" s="484" t="s">
        <v>475</v>
      </c>
      <c r="L4" s="1856"/>
      <c r="M4" s="1857"/>
      <c r="N4" s="1857"/>
      <c r="O4" s="1857"/>
      <c r="P4" s="4099" t="s">
        <v>476</v>
      </c>
      <c r="Q4" s="4100"/>
      <c r="R4" s="4083" t="s">
        <v>472</v>
      </c>
      <c r="S4" s="4084"/>
      <c r="T4" s="4083" t="s">
        <v>473</v>
      </c>
      <c r="U4" s="4084"/>
      <c r="V4" s="4105" t="s">
        <v>474</v>
      </c>
      <c r="W4" s="4105"/>
      <c r="X4" s="1380"/>
      <c r="Y4" s="4083" t="s">
        <v>476</v>
      </c>
      <c r="Z4" s="4084"/>
      <c r="AA4" s="4078" t="s">
        <v>472</v>
      </c>
      <c r="AB4" s="4079" t="s">
        <v>473</v>
      </c>
      <c r="AC4" s="4078" t="s">
        <v>474</v>
      </c>
    </row>
    <row r="5" spans="1:29">
      <c r="A5" s="485"/>
      <c r="B5" s="486"/>
      <c r="C5" s="4108" t="s">
        <v>2190</v>
      </c>
      <c r="D5" s="4109"/>
      <c r="E5" s="4121" t="s">
        <v>2191</v>
      </c>
      <c r="F5" s="4122"/>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SUMIF(52:52,YEAR(E7)&amp;"-"&amp;MONTH(E7),53:53)</f>
        <v>0</v>
      </c>
      <c r="G7" s="491"/>
      <c r="H7" s="490">
        <f>SUMIF(52:52,YEAR(G7)&amp;"-"&amp;MONTH(G7),53:53)</f>
        <v>0</v>
      </c>
      <c r="I7" s="491"/>
      <c r="J7" s="490">
        <f>SUMIF(52:52,YEAR(I7)&amp;"-"&amp;MONTH(I7),53:53)</f>
        <v>0</v>
      </c>
      <c r="K7" s="494"/>
      <c r="L7" s="1858"/>
      <c r="M7" s="1859"/>
      <c r="N7" s="1859"/>
      <c r="O7" s="1859"/>
      <c r="P7" s="4081" t="s">
        <v>479</v>
      </c>
      <c r="Q7" s="4090"/>
      <c r="R7" s="1381" t="s">
        <v>5</v>
      </c>
      <c r="S7" s="1382">
        <f t="shared" ref="S7:S15" si="0">F7</f>
        <v>0</v>
      </c>
      <c r="T7" s="1381" t="s">
        <v>5</v>
      </c>
      <c r="U7" s="1382">
        <f t="shared" ref="U7:U15" si="1">H7</f>
        <v>0</v>
      </c>
      <c r="V7" s="1381" t="s">
        <v>5</v>
      </c>
      <c r="W7" s="1382">
        <f t="shared" ref="W7:W15"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40" si="3">D8/F8</f>
        <v>#DIV/0!</v>
      </c>
      <c r="AB8" s="1384" t="e">
        <f t="shared" ref="AB8:AB40" si="4">D8/H8</f>
        <v>#DIV/0!</v>
      </c>
      <c r="AC8" s="1384" t="e">
        <f t="shared" ref="AC8:AC40" si="5">D8/J8</f>
        <v>#DIV/0!</v>
      </c>
    </row>
    <row r="9" spans="1:29" s="1118"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4089" t="s">
        <v>484</v>
      </c>
      <c r="Q9" s="1050" t="str">
        <f t="shared" ref="Q9:Q15" si="6">B9</f>
        <v>用途</v>
      </c>
      <c r="R9" s="1381" t="s">
        <v>5</v>
      </c>
      <c r="S9" s="1382">
        <f t="shared" si="0"/>
        <v>100</v>
      </c>
      <c r="T9" s="1381" t="s">
        <v>5</v>
      </c>
      <c r="U9" s="1382">
        <f t="shared" si="1"/>
        <v>100</v>
      </c>
      <c r="V9" s="1381" t="s">
        <v>5</v>
      </c>
      <c r="W9" s="1382">
        <f t="shared" si="2"/>
        <v>100</v>
      </c>
      <c r="X9" s="1383"/>
      <c r="Y9" s="4035" t="s">
        <v>485</v>
      </c>
      <c r="Z9" s="1049" t="str">
        <f t="shared" ref="Z9:Z15" si="7">Q9</f>
        <v>用途</v>
      </c>
      <c r="AA9" s="1384">
        <f t="shared" si="3"/>
        <v>1</v>
      </c>
      <c r="AB9" s="1384">
        <f t="shared" si="4"/>
        <v>1</v>
      </c>
      <c r="AC9" s="1384">
        <f t="shared" si="5"/>
        <v>1</v>
      </c>
    </row>
    <row r="10" spans="1:29" s="1199" customFormat="1" ht="28.8">
      <c r="A10" s="2394"/>
      <c r="B10" s="2399" t="s">
        <v>2039</v>
      </c>
      <c r="C10" s="3656"/>
      <c r="D10" s="246">
        <v>100</v>
      </c>
      <c r="E10" s="3656"/>
      <c r="F10" s="246">
        <f>SUMIF(59:59,E10,60:60)-SUMIF(59:59,C10,60:60)+100</f>
        <v>100</v>
      </c>
      <c r="G10" s="3657"/>
      <c r="H10" s="246">
        <f>SUMIF(59:59,G10,60:60)-SUMIF(59:59,C10,60:60)+100</f>
        <v>100</v>
      </c>
      <c r="I10" s="3656"/>
      <c r="J10" s="246">
        <f>SUMIF(59:59,I10,60:60)-SUMIF(59:59,C10,60:60)+100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4089"/>
      <c r="Q11" s="1050" t="str">
        <f t="shared" si="6"/>
        <v>容积率</v>
      </c>
      <c r="R11" s="1381" t="s">
        <v>5</v>
      </c>
      <c r="S11" s="1382" t="e">
        <f t="shared" si="0"/>
        <v>#N/A</v>
      </c>
      <c r="T11" s="1381" t="s">
        <v>5</v>
      </c>
      <c r="U11" s="1382" t="e">
        <f t="shared" si="1"/>
        <v>#N/A</v>
      </c>
      <c r="V11" s="1381" t="s">
        <v>5</v>
      </c>
      <c r="W11" s="1382" t="e">
        <f t="shared" si="2"/>
        <v>#N/A</v>
      </c>
      <c r="X11" s="1383"/>
      <c r="Y11" s="4035"/>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15.6"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4089"/>
      <c r="Q14" s="1050">
        <f t="shared" si="6"/>
        <v>111</v>
      </c>
      <c r="R14" s="1381" t="s">
        <v>5</v>
      </c>
      <c r="S14" s="1382">
        <f t="shared" si="0"/>
        <v>100</v>
      </c>
      <c r="T14" s="1381" t="s">
        <v>5</v>
      </c>
      <c r="U14" s="1382">
        <f t="shared" si="1"/>
        <v>100</v>
      </c>
      <c r="V14" s="1381" t="s">
        <v>5</v>
      </c>
      <c r="W14" s="1382">
        <f t="shared" si="2"/>
        <v>100</v>
      </c>
      <c r="X14" s="1383"/>
      <c r="Y14" s="4035"/>
      <c r="Z14" s="1049">
        <f t="shared" si="7"/>
        <v>111</v>
      </c>
      <c r="AA14" s="1384">
        <f t="shared" si="3"/>
        <v>1</v>
      </c>
      <c r="AB14" s="1384">
        <f t="shared" si="4"/>
        <v>1</v>
      </c>
      <c r="AC14" s="1384">
        <f t="shared" si="5"/>
        <v>1</v>
      </c>
    </row>
    <row r="15" spans="1:29" ht="69">
      <c r="A15" s="2389" t="s">
        <v>2036</v>
      </c>
      <c r="B15" s="159" t="s">
        <v>729</v>
      </c>
      <c r="C15" s="884" t="str">
        <f>估价对象房地状况!G3</f>
        <v>估价对象位于海淀区，区域工业成熟度一般，产业集聚程度一般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4091" t="s">
        <v>489</v>
      </c>
      <c r="Q15" s="1385" t="str">
        <f t="shared" si="6"/>
        <v>产业集聚程度</v>
      </c>
      <c r="R15" s="1386" t="s">
        <v>5</v>
      </c>
      <c r="S15" s="1387">
        <f t="shared" si="0"/>
        <v>100</v>
      </c>
      <c r="T15" s="1386" t="s">
        <v>5</v>
      </c>
      <c r="U15" s="1387">
        <f t="shared" si="1"/>
        <v>100</v>
      </c>
      <c r="V15" s="1386" t="s">
        <v>5</v>
      </c>
      <c r="W15" s="1387">
        <f t="shared" si="2"/>
        <v>100</v>
      </c>
      <c r="X15" s="1380"/>
      <c r="Y15" s="4091"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092"/>
      <c r="Q16" s="1385"/>
      <c r="R16" s="1386"/>
      <c r="S16" s="1387"/>
      <c r="T16" s="1386"/>
      <c r="U16" s="1387"/>
      <c r="V16" s="1386"/>
      <c r="W16" s="1387"/>
      <c r="X16" s="1380"/>
      <c r="Y16" s="4092"/>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4092"/>
      <c r="Q17" s="1385" t="str">
        <f>B17</f>
        <v>交通便捷度</v>
      </c>
      <c r="R17" s="1386" t="s">
        <v>5</v>
      </c>
      <c r="S17" s="1387">
        <f>F17</f>
        <v>100</v>
      </c>
      <c r="T17" s="1386" t="s">
        <v>5</v>
      </c>
      <c r="U17" s="1387">
        <f>H17</f>
        <v>100</v>
      </c>
      <c r="V17" s="1386" t="s">
        <v>5</v>
      </c>
      <c r="W17" s="1387">
        <f>J17</f>
        <v>100</v>
      </c>
      <c r="X17" s="1380"/>
      <c r="Y17" s="4092"/>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092"/>
      <c r="Q18" s="1385"/>
      <c r="R18" s="1386"/>
      <c r="S18" s="1387"/>
      <c r="T18" s="1386"/>
      <c r="U18" s="1387"/>
      <c r="V18" s="1386"/>
      <c r="W18" s="1387"/>
      <c r="X18" s="1380"/>
      <c r="Y18" s="4092"/>
      <c r="Z18" s="1388"/>
      <c r="AA18" s="1389">
        <v>1</v>
      </c>
      <c r="AB18" s="1389">
        <v>1</v>
      </c>
      <c r="AC18" s="1389">
        <v>1</v>
      </c>
    </row>
    <row r="19" spans="1:29" ht="55.2">
      <c r="A19" s="502"/>
      <c r="B19" s="2210" t="s">
        <v>1829</v>
      </c>
      <c r="C19" s="835" t="str">
        <f>估价对象房地状况!G5</f>
        <v>估价对象所在区域公共配套设施齐备情况好</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4092"/>
      <c r="Q19" s="1385" t="str">
        <f>B19</f>
        <v>公共配套设施</v>
      </c>
      <c r="R19" s="1386" t="s">
        <v>5</v>
      </c>
      <c r="S19" s="1387">
        <f>F19</f>
        <v>100</v>
      </c>
      <c r="T19" s="1386" t="s">
        <v>5</v>
      </c>
      <c r="U19" s="1387">
        <f>H19</f>
        <v>100</v>
      </c>
      <c r="V19" s="1386" t="s">
        <v>5</v>
      </c>
      <c r="W19" s="1387">
        <f>J19</f>
        <v>100</v>
      </c>
      <c r="X19" s="1380"/>
      <c r="Y19" s="4092"/>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4092"/>
      <c r="Q20" s="1385"/>
      <c r="R20" s="1386"/>
      <c r="S20" s="1387"/>
      <c r="T20" s="1386"/>
      <c r="U20" s="1387"/>
      <c r="V20" s="1386"/>
      <c r="W20" s="1387"/>
      <c r="X20" s="1380"/>
      <c r="Y20" s="4092"/>
      <c r="Z20" s="1388"/>
      <c r="AA20" s="1389">
        <v>1</v>
      </c>
      <c r="AB20" s="1389">
        <v>1</v>
      </c>
      <c r="AC20" s="1389">
        <v>1</v>
      </c>
    </row>
    <row r="21" spans="1:29" ht="15">
      <c r="A21" s="502"/>
      <c r="B21" s="2198" t="s">
        <v>1841</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4092"/>
      <c r="Q21" s="2192" t="str">
        <f>B21</f>
        <v>基础设施水平</v>
      </c>
      <c r="R21" s="1386" t="s">
        <v>5</v>
      </c>
      <c r="S21" s="1387">
        <f>F21</f>
        <v>100</v>
      </c>
      <c r="T21" s="1386" t="s">
        <v>5</v>
      </c>
      <c r="U21" s="1387">
        <f>H21</f>
        <v>100</v>
      </c>
      <c r="V21" s="1386" t="s">
        <v>5</v>
      </c>
      <c r="W21" s="1387">
        <f>J21</f>
        <v>100</v>
      </c>
      <c r="X21" s="2194"/>
      <c r="Y21" s="4092"/>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5"/>
      <c r="M22" s="1857"/>
      <c r="N22" s="1857"/>
      <c r="O22" s="1864"/>
      <c r="P22" s="4092"/>
      <c r="Q22" s="2192"/>
      <c r="R22" s="1386"/>
      <c r="S22" s="1387"/>
      <c r="T22" s="1386"/>
      <c r="U22" s="1387"/>
      <c r="V22" s="1386"/>
      <c r="W22" s="1387"/>
      <c r="X22" s="2194"/>
      <c r="Y22" s="4092"/>
      <c r="Z22" s="2193"/>
      <c r="AA22" s="1389">
        <v>1</v>
      </c>
      <c r="AB22" s="1389">
        <v>1</v>
      </c>
      <c r="AC22" s="1389">
        <v>1</v>
      </c>
    </row>
    <row r="23" spans="1:29" ht="82.8">
      <c r="A23" s="502"/>
      <c r="B23" s="834" t="s">
        <v>718</v>
      </c>
      <c r="C23" s="835" t="str">
        <f>估价对象房地状况!G7</f>
        <v>该区域内没有污染型企业，绿化情况教好，卫生条件教好，整体环境状况较好</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4092"/>
      <c r="Q23" s="1385" t="str">
        <f>B23</f>
        <v>环境质量</v>
      </c>
      <c r="R23" s="1386" t="s">
        <v>5</v>
      </c>
      <c r="S23" s="1387">
        <f>F23</f>
        <v>100</v>
      </c>
      <c r="T23" s="1386" t="s">
        <v>5</v>
      </c>
      <c r="U23" s="1387">
        <f>H23</f>
        <v>100</v>
      </c>
      <c r="V23" s="1386" t="s">
        <v>5</v>
      </c>
      <c r="W23" s="1387">
        <f>J23</f>
        <v>100</v>
      </c>
      <c r="X23" s="1380"/>
      <c r="Y23" s="4092"/>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4092"/>
      <c r="Q24" s="1385"/>
      <c r="R24" s="1386"/>
      <c r="S24" s="1387"/>
      <c r="T24" s="1386"/>
      <c r="U24" s="1387"/>
      <c r="V24" s="1386"/>
      <c r="W24" s="1387"/>
      <c r="X24" s="1380"/>
      <c r="Y24" s="4092"/>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4092"/>
      <c r="Q25" s="1385">
        <f>B25</f>
        <v>111</v>
      </c>
      <c r="R25" s="1386" t="s">
        <v>5</v>
      </c>
      <c r="S25" s="1387">
        <f>F25</f>
        <v>100</v>
      </c>
      <c r="T25" s="1386" t="s">
        <v>5</v>
      </c>
      <c r="U25" s="1387">
        <f>H25</f>
        <v>100</v>
      </c>
      <c r="V25" s="1386" t="s">
        <v>5</v>
      </c>
      <c r="W25" s="1387">
        <f>J25</f>
        <v>100</v>
      </c>
      <c r="X25" s="1380"/>
      <c r="Y25" s="4092"/>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4092"/>
      <c r="Q26" s="1385">
        <f t="shared" ref="Q26:Q40" si="8">B26</f>
        <v>111</v>
      </c>
      <c r="R26" s="1386" t="s">
        <v>5</v>
      </c>
      <c r="S26" s="1387">
        <f>F26</f>
        <v>100</v>
      </c>
      <c r="T26" s="1386" t="s">
        <v>5</v>
      </c>
      <c r="U26" s="1387">
        <f>H26</f>
        <v>100</v>
      </c>
      <c r="V26" s="1386" t="s">
        <v>5</v>
      </c>
      <c r="W26" s="1387">
        <f>J26</f>
        <v>100</v>
      </c>
      <c r="X26" s="1380"/>
      <c r="Y26" s="4092"/>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4092"/>
      <c r="Q27" s="1050">
        <f t="shared" si="8"/>
        <v>111</v>
      </c>
      <c r="R27" s="1381" t="s">
        <v>5</v>
      </c>
      <c r="S27" s="1382">
        <f>F27</f>
        <v>100</v>
      </c>
      <c r="T27" s="1381" t="s">
        <v>5</v>
      </c>
      <c r="U27" s="1382">
        <f>H27</f>
        <v>100</v>
      </c>
      <c r="V27" s="1381" t="s">
        <v>5</v>
      </c>
      <c r="W27" s="1382">
        <f>J27</f>
        <v>100</v>
      </c>
      <c r="X27" s="1383"/>
      <c r="Y27" s="4092"/>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4092"/>
      <c r="Q28" s="1385">
        <f t="shared" si="8"/>
        <v>111</v>
      </c>
      <c r="R28" s="1386" t="s">
        <v>5</v>
      </c>
      <c r="S28" s="1387">
        <f t="shared" ref="S28:S40" si="9">F28</f>
        <v>100</v>
      </c>
      <c r="T28" s="1386" t="s">
        <v>5</v>
      </c>
      <c r="U28" s="1387">
        <f t="shared" ref="U28:U40" si="10">H28</f>
        <v>100</v>
      </c>
      <c r="V28" s="1386" t="s">
        <v>5</v>
      </c>
      <c r="W28" s="1387">
        <f t="shared" ref="W28:W40" si="11">J28</f>
        <v>100</v>
      </c>
      <c r="X28" s="1380"/>
      <c r="Y28" s="4092"/>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4093" t="s">
        <v>499</v>
      </c>
      <c r="Q29" s="1385" t="str">
        <f t="shared" si="8"/>
        <v>建筑类型</v>
      </c>
      <c r="R29" s="1386" t="s">
        <v>5</v>
      </c>
      <c r="S29" s="1387">
        <f t="shared" si="9"/>
        <v>100</v>
      </c>
      <c r="T29" s="1386" t="s">
        <v>5</v>
      </c>
      <c r="U29" s="1387">
        <f t="shared" si="10"/>
        <v>100</v>
      </c>
      <c r="V29" s="1386" t="s">
        <v>5</v>
      </c>
      <c r="W29" s="1387">
        <f t="shared" si="11"/>
        <v>100</v>
      </c>
      <c r="X29" s="1380"/>
      <c r="Y29" s="4094"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4094"/>
      <c r="Q30" s="1414" t="str">
        <f t="shared" si="8"/>
        <v>项目建筑规模</v>
      </c>
      <c r="R30" s="1390" t="s">
        <v>5</v>
      </c>
      <c r="S30" s="1391" t="e">
        <f t="shared" si="9"/>
        <v>#N/A</v>
      </c>
      <c r="T30" s="1390" t="s">
        <v>5</v>
      </c>
      <c r="U30" s="1391" t="e">
        <f t="shared" si="10"/>
        <v>#N/A</v>
      </c>
      <c r="V30" s="1390" t="s">
        <v>5</v>
      </c>
      <c r="W30" s="1391" t="e">
        <f t="shared" si="11"/>
        <v>#N/A</v>
      </c>
      <c r="X30" s="1392"/>
      <c r="Y30" s="4094"/>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4094"/>
      <c r="Q31" s="1385" t="str">
        <f t="shared" si="8"/>
        <v>建筑结构</v>
      </c>
      <c r="R31" s="1386" t="s">
        <v>5</v>
      </c>
      <c r="S31" s="1387">
        <f t="shared" si="9"/>
        <v>100</v>
      </c>
      <c r="T31" s="1386" t="s">
        <v>5</v>
      </c>
      <c r="U31" s="1387">
        <f t="shared" si="10"/>
        <v>100</v>
      </c>
      <c r="V31" s="1386" t="s">
        <v>5</v>
      </c>
      <c r="W31" s="1387">
        <f t="shared" si="11"/>
        <v>100</v>
      </c>
      <c r="X31" s="1380"/>
      <c r="Y31" s="4094"/>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4094"/>
      <c r="Q32" s="1385" t="str">
        <f t="shared" si="8"/>
        <v>公共部分装修</v>
      </c>
      <c r="R32" s="1386" t="s">
        <v>5</v>
      </c>
      <c r="S32" s="1387">
        <f t="shared" si="9"/>
        <v>100</v>
      </c>
      <c r="T32" s="1386" t="s">
        <v>5</v>
      </c>
      <c r="U32" s="1387">
        <f t="shared" si="10"/>
        <v>100</v>
      </c>
      <c r="V32" s="1386" t="s">
        <v>5</v>
      </c>
      <c r="W32" s="1387">
        <f t="shared" si="11"/>
        <v>100</v>
      </c>
      <c r="X32" s="1380"/>
      <c r="Y32" s="4094"/>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4094"/>
      <c r="Q33" s="1385" t="str">
        <f t="shared" si="8"/>
        <v>成新度</v>
      </c>
      <c r="R33" s="1386" t="s">
        <v>5</v>
      </c>
      <c r="S33" s="1387" t="e">
        <f t="shared" si="9"/>
        <v>#N/A</v>
      </c>
      <c r="T33" s="1386" t="s">
        <v>5</v>
      </c>
      <c r="U33" s="1387" t="e">
        <f t="shared" si="10"/>
        <v>#N/A</v>
      </c>
      <c r="V33" s="1386" t="s">
        <v>5</v>
      </c>
      <c r="W33" s="1387" t="e">
        <f t="shared" si="11"/>
        <v>#N/A</v>
      </c>
      <c r="X33" s="1380"/>
      <c r="Y33" s="4094"/>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4094"/>
      <c r="Q34" s="1050" t="str">
        <f t="shared" si="8"/>
        <v>物业管理</v>
      </c>
      <c r="R34" s="1381" t="s">
        <v>5</v>
      </c>
      <c r="S34" s="1382">
        <f t="shared" si="9"/>
        <v>100</v>
      </c>
      <c r="T34" s="1381" t="s">
        <v>5</v>
      </c>
      <c r="U34" s="1382">
        <f t="shared" si="10"/>
        <v>100</v>
      </c>
      <c r="V34" s="1381" t="s">
        <v>5</v>
      </c>
      <c r="W34" s="1382">
        <f t="shared" si="11"/>
        <v>100</v>
      </c>
      <c r="X34" s="1383"/>
      <c r="Y34" s="4094"/>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4094" t="s">
        <v>499</v>
      </c>
      <c r="Q35" s="1385" t="str">
        <f t="shared" si="8"/>
        <v>市政基础设施</v>
      </c>
      <c r="R35" s="1386" t="s">
        <v>5</v>
      </c>
      <c r="S35" s="1387">
        <f t="shared" si="9"/>
        <v>100</v>
      </c>
      <c r="T35" s="1386" t="s">
        <v>5</v>
      </c>
      <c r="U35" s="1387">
        <f t="shared" si="10"/>
        <v>100</v>
      </c>
      <c r="V35" s="1386" t="s">
        <v>5</v>
      </c>
      <c r="W35" s="1387">
        <f t="shared" si="11"/>
        <v>100</v>
      </c>
      <c r="X35" s="1380"/>
      <c r="Y35" s="4094"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4094"/>
      <c r="Q36" s="1385" t="str">
        <f t="shared" si="8"/>
        <v>内部装修</v>
      </c>
      <c r="R36" s="1386" t="s">
        <v>5</v>
      </c>
      <c r="S36" s="1387">
        <f t="shared" si="9"/>
        <v>100</v>
      </c>
      <c r="T36" s="1386" t="s">
        <v>5</v>
      </c>
      <c r="U36" s="1387">
        <f t="shared" si="10"/>
        <v>100</v>
      </c>
      <c r="V36" s="1386" t="s">
        <v>5</v>
      </c>
      <c r="W36" s="1387">
        <f t="shared" si="11"/>
        <v>100</v>
      </c>
      <c r="X36" s="1380"/>
      <c r="Y36" s="4094"/>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4094"/>
      <c r="Q37" s="1385" t="str">
        <f t="shared" si="8"/>
        <v>内部装修状况</v>
      </c>
      <c r="R37" s="1386" t="s">
        <v>5</v>
      </c>
      <c r="S37" s="1387">
        <f t="shared" si="9"/>
        <v>100</v>
      </c>
      <c r="T37" s="1386" t="s">
        <v>5</v>
      </c>
      <c r="U37" s="1387">
        <f t="shared" si="10"/>
        <v>100</v>
      </c>
      <c r="V37" s="1386" t="s">
        <v>5</v>
      </c>
      <c r="W37" s="1387">
        <f t="shared" si="11"/>
        <v>100</v>
      </c>
      <c r="X37" s="1380"/>
      <c r="Y37" s="4094"/>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4094"/>
      <c r="Q38" s="1414">
        <f t="shared" si="8"/>
        <v>111</v>
      </c>
      <c r="R38" s="1390" t="s">
        <v>5</v>
      </c>
      <c r="S38" s="1391">
        <f t="shared" si="9"/>
        <v>100</v>
      </c>
      <c r="T38" s="1390" t="s">
        <v>5</v>
      </c>
      <c r="U38" s="1391">
        <f t="shared" si="10"/>
        <v>100</v>
      </c>
      <c r="V38" s="1390" t="s">
        <v>5</v>
      </c>
      <c r="W38" s="1391">
        <f t="shared" si="11"/>
        <v>100</v>
      </c>
      <c r="X38" s="1392"/>
      <c r="Y38" s="4094"/>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4094"/>
      <c r="Q39" s="1385">
        <f t="shared" si="8"/>
        <v>111</v>
      </c>
      <c r="R39" s="1386" t="s">
        <v>5</v>
      </c>
      <c r="S39" s="1387">
        <f t="shared" si="9"/>
        <v>100</v>
      </c>
      <c r="T39" s="1386" t="s">
        <v>5</v>
      </c>
      <c r="U39" s="1387">
        <f t="shared" si="10"/>
        <v>100</v>
      </c>
      <c r="V39" s="1386" t="s">
        <v>5</v>
      </c>
      <c r="W39" s="1387">
        <f t="shared" si="11"/>
        <v>100</v>
      </c>
      <c r="X39" s="1380"/>
      <c r="Y39" s="4094"/>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200"/>
      <c r="Q40" s="1385">
        <f t="shared" si="8"/>
        <v>111</v>
      </c>
      <c r="R40" s="1386" t="s">
        <v>5</v>
      </c>
      <c r="S40" s="1387">
        <f t="shared" si="9"/>
        <v>100</v>
      </c>
      <c r="T40" s="1386" t="s">
        <v>5</v>
      </c>
      <c r="U40" s="1387">
        <f t="shared" si="10"/>
        <v>100</v>
      </c>
      <c r="V40" s="1386" t="s">
        <v>5</v>
      </c>
      <c r="W40" s="1387">
        <f t="shared" si="11"/>
        <v>100</v>
      </c>
      <c r="X40" s="1380"/>
      <c r="Y40" s="4200"/>
      <c r="Z40" s="1388">
        <f t="shared" si="12"/>
        <v>111</v>
      </c>
      <c r="AA40" s="1389">
        <f t="shared" si="3"/>
        <v>1</v>
      </c>
      <c r="AB40" s="1389">
        <f t="shared" si="4"/>
        <v>1</v>
      </c>
      <c r="AC40" s="1389">
        <f t="shared" si="5"/>
        <v>1</v>
      </c>
    </row>
    <row r="41" spans="1:29" ht="14.4">
      <c r="A41" s="577" t="s">
        <v>683</v>
      </c>
      <c r="B41" s="850"/>
      <c r="C41" s="2233" t="s">
        <v>0</v>
      </c>
      <c r="D41" s="2234"/>
      <c r="E41" s="2235"/>
      <c r="F41" s="2236"/>
      <c r="G41" s="2237"/>
      <c r="H41" s="2238"/>
      <c r="I41" s="2235"/>
      <c r="J41" s="2238"/>
      <c r="K41" s="1419"/>
      <c r="L41" s="1867"/>
      <c r="M41" s="1868"/>
      <c r="N41" s="1857"/>
      <c r="O41" s="1868"/>
      <c r="P41" s="4089" t="str">
        <f>A41</f>
        <v>成交单价（元/平方米）</v>
      </c>
      <c r="Q41" s="4089"/>
      <c r="R41" s="4199">
        <f>E41</f>
        <v>0</v>
      </c>
      <c r="S41" s="4199"/>
      <c r="T41" s="4199">
        <f>G41</f>
        <v>0</v>
      </c>
      <c r="U41" s="4199"/>
      <c r="V41" s="4199">
        <f>I41</f>
        <v>0</v>
      </c>
      <c r="W41" s="4199"/>
      <c r="X41" s="1375"/>
      <c r="Y41" s="1394"/>
      <c r="Z41" s="1375"/>
      <c r="AA41" s="1375"/>
      <c r="AB41" s="1375"/>
      <c r="AC41" s="1375"/>
    </row>
    <row r="42" spans="1:29" ht="15" thickBot="1">
      <c r="A42" s="585" t="s">
        <v>2042</v>
      </c>
      <c r="B42" s="851"/>
      <c r="C42" s="2239" t="e">
        <f>R43</f>
        <v>#DIV/0!</v>
      </c>
      <c r="D42" s="2756" t="s">
        <v>2259</v>
      </c>
      <c r="E42" s="2240" t="e">
        <f>R42</f>
        <v>#DIV/0!</v>
      </c>
      <c r="F42" s="2757"/>
      <c r="G42" s="2239" t="e">
        <f>T42</f>
        <v>#DIV/0!</v>
      </c>
      <c r="H42" s="2757"/>
      <c r="I42" s="2240" t="e">
        <f>V42</f>
        <v>#DIV/0!</v>
      </c>
      <c r="J42" s="2757"/>
      <c r="K42" s="2765">
        <f>F42+H42+J42</f>
        <v>0</v>
      </c>
      <c r="L42" s="1867"/>
      <c r="M42" s="1868"/>
      <c r="N42" s="1857"/>
      <c r="O42" s="1868"/>
      <c r="P42" s="4089" t="str">
        <f>A42</f>
        <v>比较价格（元/平方米）</v>
      </c>
      <c r="Q42" s="4089"/>
      <c r="R42" s="4199" t="e">
        <f>IF(F1="售价",ROUND(PRODUCT(R41,AA7:AA40),0),ROUND(PRODUCT(R41,AA7:AA40),1))</f>
        <v>#DIV/0!</v>
      </c>
      <c r="S42" s="4199"/>
      <c r="T42" s="4199" t="e">
        <f>IF(F1="售价",ROUND(PRODUCT(T41,AB7:AB40),0),ROUND(PRODUCT(T41,AB7:AB40),1))</f>
        <v>#DIV/0!</v>
      </c>
      <c r="U42" s="4199"/>
      <c r="V42" s="4199" t="e">
        <f>IF(F1="售价",ROUND(PRODUCT(V41,AC7:AC40),0),ROUND(PRODUCT(V41,AC7:AC40),1))</f>
        <v>#DIV/0!</v>
      </c>
      <c r="W42" s="4199"/>
      <c r="X42" s="1375"/>
      <c r="Y42" s="1375"/>
      <c r="Z42" s="1375"/>
      <c r="AA42" s="1375"/>
      <c r="AB42" s="1375"/>
      <c r="AC42" s="1375"/>
    </row>
    <row r="43" spans="1:29" ht="15" thickBot="1">
      <c r="A43" s="589" t="s">
        <v>2196</v>
      </c>
      <c r="B43" s="590"/>
      <c r="C43" s="2241" t="e">
        <f>R43</f>
        <v>#DIV/0!</v>
      </c>
      <c r="D43" s="2241"/>
      <c r="E43" s="2241"/>
      <c r="F43" s="2241"/>
      <c r="G43" s="2241"/>
      <c r="H43" s="2241"/>
      <c r="I43" s="2241"/>
      <c r="J43" s="2241"/>
      <c r="K43" s="1420"/>
      <c r="L43" s="1867"/>
      <c r="M43" s="1868"/>
      <c r="N43" s="1868"/>
      <c r="O43" s="1868"/>
      <c r="P43" s="4095" t="str">
        <f>A43</f>
        <v>估价对象XX用房的比较价格（楼面单价，元/平方米）</v>
      </c>
      <c r="Q43" s="4096"/>
      <c r="R43" s="4198" t="e">
        <f>IF(F1="售价",ROUND(IF(D42="简单平均",AVERAGE(R42:V42),R42*F42+T42*H42+V42*J42),0),ROUND(IF(D42="简单平均",AVERAGE(R42:V42),R42*F42+T42*H42+V42*J42),1))</f>
        <v>#DIV/0!</v>
      </c>
      <c r="S43" s="4198"/>
      <c r="T43" s="4198"/>
      <c r="U43" s="4198"/>
      <c r="V43" s="4198"/>
      <c r="W43" s="4198"/>
      <c r="X43" s="1375"/>
      <c r="Y43" s="1375"/>
      <c r="Z43" s="1375"/>
      <c r="AA43" s="1375"/>
      <c r="AB43" s="1375"/>
      <c r="AC43" s="1375"/>
    </row>
    <row r="44" spans="1:29">
      <c r="A44" s="2953"/>
      <c r="B44" s="2953"/>
      <c r="C44" s="2953"/>
      <c r="D44" s="2953"/>
      <c r="E44" s="2953"/>
      <c r="F44" s="2953"/>
      <c r="G44" s="2955"/>
      <c r="H44" s="2953"/>
      <c r="I44" s="2953"/>
      <c r="J44" s="2953"/>
      <c r="K44" s="2956"/>
      <c r="L44" s="1872"/>
      <c r="M44" s="1868"/>
      <c r="N44" s="1868"/>
      <c r="O44" s="1868"/>
      <c r="P44" s="1868"/>
      <c r="Q44" s="1868"/>
      <c r="R44" s="1868"/>
      <c r="S44" s="1868"/>
      <c r="T44" s="1868"/>
      <c r="U44" s="1868"/>
      <c r="V44" s="1868"/>
      <c r="W44" s="1868"/>
      <c r="X44" s="1868"/>
      <c r="Y44" s="1868"/>
      <c r="Z44" s="1868"/>
      <c r="AA44" s="1868"/>
      <c r="AB44" s="1868"/>
      <c r="AC44" s="1868"/>
    </row>
    <row r="45" spans="1:29">
      <c r="A45" s="2953"/>
      <c r="B45" s="2953"/>
      <c r="C45" s="2953"/>
      <c r="D45" s="2953"/>
      <c r="E45" s="2953"/>
      <c r="F45" s="2953"/>
      <c r="G45" s="2953"/>
      <c r="H45" s="2953"/>
      <c r="I45" s="2953"/>
      <c r="J45" s="2953"/>
      <c r="K45" s="2956"/>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3"/>
      <c r="B46" s="2953"/>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6"/>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3"/>
      <c r="B47" s="2953"/>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6"/>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4"/>
      <c r="B48" s="2954"/>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7"/>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1" t="str">
        <f>YEAR(C7)&amp;"-"&amp;MONTH(C7)</f>
        <v>2025-3</v>
      </c>
      <c r="D52" s="2283">
        <f>EDATE(C52,-1)</f>
        <v>45689</v>
      </c>
      <c r="E52" s="2283">
        <f t="shared" ref="E52:O52" si="13">EDATE(D52,-1)</f>
        <v>45658</v>
      </c>
      <c r="F52" s="2283">
        <f t="shared" si="13"/>
        <v>45627</v>
      </c>
      <c r="G52" s="2283">
        <f t="shared" si="13"/>
        <v>45597</v>
      </c>
      <c r="H52" s="2283">
        <f t="shared" si="13"/>
        <v>45566</v>
      </c>
      <c r="I52" s="2283">
        <f t="shared" si="13"/>
        <v>45536</v>
      </c>
      <c r="J52" s="2283">
        <f t="shared" si="13"/>
        <v>45505</v>
      </c>
      <c r="K52" s="2283">
        <f t="shared" si="13"/>
        <v>45474</v>
      </c>
      <c r="L52" s="2283">
        <f t="shared" si="13"/>
        <v>45444</v>
      </c>
      <c r="M52" s="2283">
        <f t="shared" si="13"/>
        <v>45413</v>
      </c>
      <c r="N52" s="2283">
        <f t="shared" si="13"/>
        <v>45383</v>
      </c>
      <c r="O52" s="2283">
        <f t="shared" si="13"/>
        <v>45352</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4" t="s">
        <v>1841</v>
      </c>
      <c r="C76" s="2205" t="s">
        <v>1842</v>
      </c>
      <c r="D76" s="2205" t="s">
        <v>1843</v>
      </c>
      <c r="E76" s="2205" t="s">
        <v>1844</v>
      </c>
      <c r="F76" s="2205" t="s">
        <v>1845</v>
      </c>
      <c r="G76" s="2205"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N11" sqref="N11"/>
    </sheetView>
  </sheetViews>
  <sheetFormatPr defaultRowHeight="14.4"/>
  <sheetData/>
  <phoneticPr fontId="22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H9" sqref="H9"/>
    </sheetView>
  </sheetViews>
  <sheetFormatPr defaultRowHeight="14.4"/>
  <cols>
    <col min="1" max="1" width="12.33203125" customWidth="1"/>
    <col min="11" max="17" width="0" hidden="1" customWidth="1"/>
    <col min="24" max="30" width="0" hidden="1" customWidth="1"/>
  </cols>
  <sheetData>
    <row r="1" spans="1:30">
      <c r="A1" s="3396">
        <f>基准地价!G23</f>
        <v>45744</v>
      </c>
      <c r="B1" s="3344" t="s">
        <v>2790</v>
      </c>
      <c r="C1" s="3345"/>
      <c r="D1" s="3345"/>
      <c r="E1" s="3345"/>
      <c r="F1" s="3345"/>
      <c r="G1" s="3345"/>
      <c r="H1" s="3345"/>
      <c r="I1" s="3345"/>
      <c r="J1" s="3346"/>
      <c r="K1" s="3345" t="s">
        <v>2791</v>
      </c>
      <c r="L1" s="3345"/>
      <c r="M1" s="3345"/>
      <c r="N1" s="3345"/>
      <c r="O1" s="3345"/>
      <c r="P1" s="3345"/>
      <c r="Q1" s="3346"/>
      <c r="R1" s="4205" t="s">
        <v>2800</v>
      </c>
      <c r="S1" s="4206"/>
      <c r="T1" s="4206"/>
      <c r="U1" s="4206"/>
      <c r="V1" s="4206"/>
      <c r="W1" s="4206"/>
      <c r="X1" s="3346"/>
      <c r="Y1" s="4205" t="s">
        <v>2811</v>
      </c>
      <c r="Z1" s="4206"/>
      <c r="AA1" s="4206"/>
      <c r="AB1" s="4206"/>
      <c r="AC1" s="4206"/>
      <c r="AD1" s="4206"/>
    </row>
    <row r="2" spans="1:30" ht="15" thickBot="1">
      <c r="A2" s="3337"/>
      <c r="B2" s="3347"/>
      <c r="C2" s="3348"/>
      <c r="D2" s="3349" t="s">
        <v>2793</v>
      </c>
      <c r="E2" s="3350" t="s">
        <v>2794</v>
      </c>
      <c r="F2" s="3350" t="s">
        <v>2795</v>
      </c>
      <c r="G2" s="3350" t="s">
        <v>2796</v>
      </c>
      <c r="H2" s="3350" t="s">
        <v>2797</v>
      </c>
      <c r="I2" s="3350" t="s">
        <v>2738</v>
      </c>
      <c r="J2" s="3351"/>
      <c r="K2" s="3349" t="s">
        <v>2793</v>
      </c>
      <c r="L2" s="3350" t="s">
        <v>2794</v>
      </c>
      <c r="M2" s="3350" t="s">
        <v>2795</v>
      </c>
      <c r="N2" s="3350" t="s">
        <v>2796</v>
      </c>
      <c r="O2" s="3350" t="s">
        <v>2797</v>
      </c>
      <c r="P2" s="3350" t="s">
        <v>2738</v>
      </c>
      <c r="Q2" s="3351"/>
      <c r="R2" s="3349" t="s">
        <v>2801</v>
      </c>
      <c r="S2" s="3350" t="s">
        <v>2802</v>
      </c>
      <c r="T2" s="3350" t="s">
        <v>2803</v>
      </c>
      <c r="U2" s="3350" t="s">
        <v>2804</v>
      </c>
      <c r="V2" s="3350" t="s">
        <v>2805</v>
      </c>
      <c r="W2" s="3350" t="s">
        <v>2806</v>
      </c>
      <c r="X2" s="3351"/>
      <c r="Y2" s="3349" t="s">
        <v>2793</v>
      </c>
      <c r="Z2" s="3350" t="s">
        <v>1470</v>
      </c>
      <c r="AA2" s="3350" t="s">
        <v>2812</v>
      </c>
      <c r="AB2" s="3350" t="s">
        <v>1469</v>
      </c>
      <c r="AC2" s="3350" t="s">
        <v>2797</v>
      </c>
      <c r="AD2" s="3350" t="s">
        <v>2455</v>
      </c>
    </row>
    <row r="3" spans="1:30">
      <c r="A3" s="3338" t="s">
        <v>2781</v>
      </c>
      <c r="B3" s="3352"/>
      <c r="C3" s="3353"/>
      <c r="D3" s="3353">
        <f>ROUND(AVERAGEIF(D4:D18,"&lt;&gt;0"),2)</f>
        <v>0.7</v>
      </c>
      <c r="E3" s="3353">
        <f>ROUND(AVERAGEIF(E4:E18,"&lt;&gt;0"),2)</f>
        <v>0.41</v>
      </c>
      <c r="F3" s="3353">
        <f>ROUND(AVERAGEIF(F4:F18,"&lt;&gt;0"),2)</f>
        <v>0.23</v>
      </c>
      <c r="G3" s="3353">
        <f>ROUND(AVERAGEIF(G4:G18,"&lt;&gt;0"),2)</f>
        <v>0.84</v>
      </c>
      <c r="H3" s="3353">
        <f>ROUND(AVERAGEIF(H4:H18,"&lt;&gt;0"),2)</f>
        <v>0.63</v>
      </c>
      <c r="I3" s="3353">
        <f>F3</f>
        <v>0.23</v>
      </c>
      <c r="J3" s="3354"/>
      <c r="K3" s="3355">
        <f>ROUND(AVERAGEIF(K4:K18,"&lt;&gt;0"),4)</f>
        <v>7.0000000000000001E-3</v>
      </c>
      <c r="L3" s="3356">
        <f>ROUND(AVERAGEIF(L4:L18,"&lt;&gt;0"),4)</f>
        <v>4.1000000000000003E-3</v>
      </c>
      <c r="M3" s="3356">
        <f>ROUND(AVERAGEIF(M4:M18,"&lt;&gt;0"),4)</f>
        <v>2.3E-3</v>
      </c>
      <c r="N3" s="3356">
        <f>ROUND(AVERAGEIF(N4:N18,"&lt;&gt;0"),4)</f>
        <v>8.3999999999999995E-3</v>
      </c>
      <c r="O3" s="3356">
        <f>ROUND(AVERAGEIF(O4:O18,"&lt;&gt;0"),4)</f>
        <v>6.3E-3</v>
      </c>
      <c r="P3" s="3356">
        <f>M3</f>
        <v>2.3E-3</v>
      </c>
      <c r="Q3" s="3354"/>
      <c r="R3" s="3371">
        <f>ROUND(SUMPRODUCT(PRODUCT(1+K4:K18)),4)</f>
        <v>1.0942000000000001</v>
      </c>
      <c r="S3" s="3372">
        <f>ROUND(SUMPRODUCT(PRODUCT(1+L4:L18)),4)</f>
        <v>1.0463</v>
      </c>
      <c r="T3" s="3372">
        <f>ROUND(SUMPRODUCT(PRODUCT(1+M4:M18)),4)</f>
        <v>1.0257000000000001</v>
      </c>
      <c r="U3" s="3372">
        <f>ROUND(SUMPRODUCT(PRODUCT(1+N4:N18)),4)</f>
        <v>1.0961000000000001</v>
      </c>
      <c r="V3" s="3372">
        <f>ROUND(SUMPRODUCT(PRODUCT(1+O4:O18)),4)</f>
        <v>1.0713999999999999</v>
      </c>
      <c r="W3" s="3371">
        <f>T3</f>
        <v>1.0257000000000001</v>
      </c>
      <c r="X3" s="3354"/>
      <c r="Y3" s="3379">
        <f>ROUND(AVERAGEIF(Y5:Y18,"&lt;&gt;0"),4)</f>
        <v>8.3000000000000001E-3</v>
      </c>
      <c r="Z3" s="3380">
        <f>ROUND(AVERAGEIF(Z5:Z18,"&lt;&gt;0"),4)</f>
        <v>3.7000000000000002E-3</v>
      </c>
      <c r="AA3" s="3381">
        <f>ROUND(AVERAGEIF(AA5:AA18,"&lt;&gt;0"),4)</f>
        <v>1.1999999999999999E-3</v>
      </c>
      <c r="AB3" s="3379">
        <f>ROUND(AVERAGEIF(AB5:AB18,"&lt;&gt;0"),4)</f>
        <v>9.2999999999999992E-3</v>
      </c>
      <c r="AC3" s="3382">
        <f>ROUND(AVERAGEIF(AC5:AC18,"&lt;&gt;0"),4)</f>
        <v>6.1999999999999998E-3</v>
      </c>
      <c r="AD3" s="3379">
        <f>AA3</f>
        <v>1.1999999999999999E-3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659" t="s">
        <v>3259</v>
      </c>
      <c r="B5" s="3399">
        <v>2023</v>
      </c>
      <c r="C5" s="3400">
        <v>4</v>
      </c>
      <c r="D5" s="3400">
        <v>0</v>
      </c>
      <c r="E5" s="3400">
        <v>0</v>
      </c>
      <c r="F5" s="3400">
        <v>0</v>
      </c>
      <c r="G5" s="3400">
        <v>0</v>
      </c>
      <c r="H5" s="3400">
        <v>0</v>
      </c>
      <c r="I5" s="3401">
        <f t="shared" ref="I5:I18" si="0">F5</f>
        <v>0</v>
      </c>
      <c r="J5" s="3361"/>
      <c r="K5" s="3362">
        <f t="shared" ref="K5:O18" si="1">D5/100</f>
        <v>0</v>
      </c>
      <c r="L5" s="3363">
        <f t="shared" si="1"/>
        <v>0</v>
      </c>
      <c r="M5" s="3363">
        <f t="shared" si="1"/>
        <v>0</v>
      </c>
      <c r="N5" s="3363">
        <f t="shared" si="1"/>
        <v>0</v>
      </c>
      <c r="O5" s="3363">
        <f t="shared" si="1"/>
        <v>0</v>
      </c>
      <c r="P5" s="3363">
        <f>M5</f>
        <v>0</v>
      </c>
      <c r="Q5" s="3361"/>
      <c r="R5" s="3377">
        <f>ROUND(IF(项目基本情况!$B$8="出让",SUMPRODUCT(PRODUCT(1+K5:$K$18)),SUMPRODUCT(PRODUCT(1+K5:$K$17))),4)</f>
        <v>1.0942000000000001</v>
      </c>
      <c r="S5" s="3377">
        <f>ROUND(IF(项目基本情况!$B$8="出让",SUMPRODUCT(PRODUCT(1+L5:$L$18)),SUMPRODUCT(PRODUCT(1+L5:$L$17))),4)</f>
        <v>1.0463</v>
      </c>
      <c r="T5" s="3377">
        <f>ROUND(IF(项目基本情况!$B$8="出让",SUMPRODUCT(PRODUCT(1+M5:$M$18)),SUMPRODUCT(PRODUCT(1+M5:$M$17))),4)</f>
        <v>1.0257000000000001</v>
      </c>
      <c r="U5" s="3377">
        <f>ROUND(IF(项目基本情况!$B$8="出让",SUMPRODUCT(PRODUCT(1+N5:$N$18)),SUMPRODUCT(PRODUCT(1+N5:$N$17))),4)</f>
        <v>1.0961000000000001</v>
      </c>
      <c r="V5" s="3377">
        <f>ROUND(IF(项目基本情况!$B$8="出让",SUMPRODUCT(PRODUCT(1+O5:$O$18)),SUMPRODUCT(PRODUCT(1+O5:$O$17))),4)</f>
        <v>1.0713999999999999</v>
      </c>
      <c r="W5" s="3377">
        <f>T5</f>
        <v>1.0257000000000001</v>
      </c>
      <c r="X5" s="3361"/>
      <c r="Y5" s="3386">
        <f>IF(D5=0,0,ROUND(AVERAGE(D5:D18)/100,4))</f>
        <v>0</v>
      </c>
      <c r="Z5" s="3386">
        <f>IF(E5=0,0,ROUND(AVERAGE(E5:E18)/100,4))</f>
        <v>0</v>
      </c>
      <c r="AA5" s="3386">
        <f>IF(F5=0,0,ROUND(AVERAGE(F5:F18)/100,4))</f>
        <v>0</v>
      </c>
      <c r="AB5" s="3386">
        <f>IF(G5=0,0,ROUND(AVERAGE(G5:G18)/100,4))</f>
        <v>0</v>
      </c>
      <c r="AC5" s="3386">
        <f>IF(H5=0,0,ROUND(AVERAGE(H5:H18)/100,4))</f>
        <v>0</v>
      </c>
      <c r="AD5" s="3386">
        <f t="shared" ref="AD5:AD17" si="2">AA5</f>
        <v>0</v>
      </c>
    </row>
    <row r="6" spans="1:30">
      <c r="A6" s="3659" t="s">
        <v>3260</v>
      </c>
      <c r="B6" s="3399">
        <v>2023</v>
      </c>
      <c r="C6" s="3400">
        <v>3</v>
      </c>
      <c r="D6" s="3400">
        <v>0.25</v>
      </c>
      <c r="E6" s="3400">
        <v>0</v>
      </c>
      <c r="F6" s="3400">
        <v>0</v>
      </c>
      <c r="G6" s="3400">
        <v>0</v>
      </c>
      <c r="H6" s="3406">
        <v>0</v>
      </c>
      <c r="I6" s="3401">
        <f t="shared" si="0"/>
        <v>0</v>
      </c>
      <c r="J6" s="3361"/>
      <c r="K6" s="3362">
        <f t="shared" ref="K6" si="3">D6/100</f>
        <v>2.5000000000000001E-3</v>
      </c>
      <c r="L6" s="3363">
        <f t="shared" ref="L6" si="4">E6/100</f>
        <v>0</v>
      </c>
      <c r="M6" s="3363">
        <f t="shared" ref="M6" si="5">F6/100</f>
        <v>0</v>
      </c>
      <c r="N6" s="3363">
        <f t="shared" ref="N6" si="6">G6/100</f>
        <v>0</v>
      </c>
      <c r="O6" s="3363">
        <f t="shared" ref="O6" si="7">H6/100</f>
        <v>0</v>
      </c>
      <c r="P6" s="3363">
        <f t="shared" ref="P6" si="8">M6</f>
        <v>0</v>
      </c>
      <c r="Q6" s="3361"/>
      <c r="R6" s="3377">
        <f>ROUND(IF(项目基本情况!$B$8="出让",SUMPRODUCT(PRODUCT(1+K6:$K$18)),SUMPRODUCT(PRODUCT(1+K6:$K$17))),4)</f>
        <v>1.0942000000000001</v>
      </c>
      <c r="S6" s="3377">
        <f>ROUND(IF(项目基本情况!$B$8="出让",SUMPRODUCT(PRODUCT(1+L6:$L$18)),SUMPRODUCT(PRODUCT(1+L6:$L$17))),4)</f>
        <v>1.0463</v>
      </c>
      <c r="T6" s="3377">
        <f>ROUND(IF(项目基本情况!$B$8="出让",SUMPRODUCT(PRODUCT(1+M6:$M$18)),SUMPRODUCT(PRODUCT(1+M6:$M$17))),4)</f>
        <v>1.0257000000000001</v>
      </c>
      <c r="U6" s="3377">
        <f>ROUND(IF(项目基本情况!$B$8="出让",SUMPRODUCT(PRODUCT(1+N6:$N$18)),SUMPRODUCT(PRODUCT(1+N6:$N$17))),4)</f>
        <v>1.0961000000000001</v>
      </c>
      <c r="V6" s="3377">
        <f>ROUND(IF(项目基本情况!$B$8="出让",SUMPRODUCT(PRODUCT(1+O6:$O$18)),SUMPRODUCT(PRODUCT(1+O6:$O$17))),4)</f>
        <v>1.0713999999999999</v>
      </c>
      <c r="W6" s="3377">
        <f t="shared" ref="W6" si="9">T6</f>
        <v>1.0257000000000001</v>
      </c>
      <c r="X6" s="3361"/>
      <c r="Y6" s="3386">
        <f t="shared" ref="Y6" si="10">IF(D6=0,0,ROUND(AVERAGE(D6:D17)/100,4))</f>
        <v>6.7000000000000002E-3</v>
      </c>
      <c r="Z6" s="3386">
        <f t="shared" ref="Z6" si="11">IF(E6=0,0,ROUND(AVERAGE(E6:E17)/100,4))</f>
        <v>0</v>
      </c>
      <c r="AA6" s="3386">
        <f t="shared" ref="AA6" si="12">IF(F6=0,0,ROUND(AVERAGE(F6:F17)/100,4))</f>
        <v>0</v>
      </c>
      <c r="AB6" s="3386">
        <f t="shared" ref="AB6" si="13">IF(G6=0,0,ROUND(AVERAGE(G6:G17)/100,4))</f>
        <v>0</v>
      </c>
      <c r="AC6" s="3386">
        <f t="shared" ref="AC6" si="14">IF(H6=0,0,ROUND(AVERAGE(H6:H17)/100,4))</f>
        <v>0</v>
      </c>
      <c r="AD6" s="3386">
        <f t="shared" ref="AD6" si="15">AA6</f>
        <v>0</v>
      </c>
    </row>
    <row r="7" spans="1:30">
      <c r="A7" s="3659" t="s">
        <v>3261</v>
      </c>
      <c r="B7" s="3399">
        <v>2023</v>
      </c>
      <c r="C7" s="3400">
        <v>3</v>
      </c>
      <c r="D7" s="3400">
        <v>0.25</v>
      </c>
      <c r="E7" s="3400">
        <v>0</v>
      </c>
      <c r="F7" s="3400">
        <v>0</v>
      </c>
      <c r="G7" s="3400">
        <v>0</v>
      </c>
      <c r="H7" s="3406">
        <v>0</v>
      </c>
      <c r="I7" s="3401">
        <f t="shared" ref="I7" si="16">F7</f>
        <v>0</v>
      </c>
      <c r="J7" s="3361"/>
      <c r="K7" s="3362">
        <f t="shared" si="1"/>
        <v>2.5000000000000001E-3</v>
      </c>
      <c r="L7" s="3363">
        <f t="shared" si="1"/>
        <v>0</v>
      </c>
      <c r="M7" s="3363">
        <f t="shared" si="1"/>
        <v>0</v>
      </c>
      <c r="N7" s="3363">
        <f t="shared" si="1"/>
        <v>0</v>
      </c>
      <c r="O7" s="3363">
        <f t="shared" si="1"/>
        <v>0</v>
      </c>
      <c r="P7" s="3363">
        <f t="shared" ref="P7" si="17">M7</f>
        <v>0</v>
      </c>
      <c r="Q7" s="3361"/>
      <c r="R7" s="3377">
        <f>ROUND(IF(项目基本情况!$B$8="出让",SUMPRODUCT(PRODUCT(1+K7:$K$18)),SUMPRODUCT(PRODUCT(1+K7:$K$17))),4)</f>
        <v>1.0914999999999999</v>
      </c>
      <c r="S7" s="3377">
        <f>ROUND(IF(项目基本情况!$B$8="出让",SUMPRODUCT(PRODUCT(1+L7:$L$18)),SUMPRODUCT(PRODUCT(1+L7:$L$17))),4)</f>
        <v>1.0463</v>
      </c>
      <c r="T7" s="3377">
        <f>ROUND(IF(项目基本情况!$B$8="出让",SUMPRODUCT(PRODUCT(1+M7:$M$18)),SUMPRODUCT(PRODUCT(1+M7:$M$17))),4)</f>
        <v>1.0257000000000001</v>
      </c>
      <c r="U7" s="3377">
        <f>ROUND(IF(项目基本情况!$B$8="出让",SUMPRODUCT(PRODUCT(1+N7:$N$18)),SUMPRODUCT(PRODUCT(1+N7:$N$17))),4)</f>
        <v>1.0961000000000001</v>
      </c>
      <c r="V7" s="3377">
        <f>ROUND(IF(项目基本情况!$B$8="出让",SUMPRODUCT(PRODUCT(1+O7:$O$18)),SUMPRODUCT(PRODUCT(1+O7:$O$17))),4)</f>
        <v>1.0713999999999999</v>
      </c>
      <c r="W7" s="3377">
        <f t="shared" ref="W7" si="18">T7</f>
        <v>1.0257000000000001</v>
      </c>
      <c r="X7" s="3361"/>
      <c r="Y7" s="3386">
        <f t="shared" ref="Y7" si="19">IF(D7=0,0,ROUND(AVERAGE(D7:D18)/100,4))</f>
        <v>7.3000000000000001E-3</v>
      </c>
      <c r="Z7" s="3386">
        <f t="shared" ref="Z7" si="20">IF(E7=0,0,ROUND(AVERAGE(E7:E18)/100,4))</f>
        <v>0</v>
      </c>
      <c r="AA7" s="3386">
        <f t="shared" ref="AA7" si="21">IF(F7=0,0,ROUND(AVERAGE(F7:F18)/100,4))</f>
        <v>0</v>
      </c>
      <c r="AB7" s="3386">
        <f t="shared" ref="AB7" si="22">IF(G7=0,0,ROUND(AVERAGE(G7:G18)/100,4))</f>
        <v>0</v>
      </c>
      <c r="AC7" s="3386">
        <f t="shared" ref="AC7" si="23">IF(H7=0,0,ROUND(AVERAGE(H7:H18)/100,4))</f>
        <v>0</v>
      </c>
      <c r="AD7" s="3386">
        <f t="shared" si="2"/>
        <v>0</v>
      </c>
    </row>
    <row r="8" spans="1:30">
      <c r="A8" s="3341" t="s">
        <v>3255</v>
      </c>
      <c r="B8" s="3402">
        <v>2023</v>
      </c>
      <c r="C8" s="3403">
        <v>3</v>
      </c>
      <c r="D8" s="3403">
        <v>0.25</v>
      </c>
      <c r="E8" s="3403">
        <v>0.5</v>
      </c>
      <c r="F8" s="3403">
        <v>0.31</v>
      </c>
      <c r="G8" s="3403">
        <v>0.21</v>
      </c>
      <c r="H8" s="3404">
        <v>0.43</v>
      </c>
      <c r="I8" s="3405">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64">
        <f>ROUND(IF(项目基本情况!$B$8="出让",SUMPRODUCT(PRODUCT(1+K8:$K$18)),SUMPRODUCT(PRODUCT(1+K8:$K$17))),4)</f>
        <v>1.0888</v>
      </c>
      <c r="S8" s="3364">
        <f>ROUND(IF(项目基本情况!$B$8="出让",SUMPRODUCT(PRODUCT(1+L8:$L$18)),SUMPRODUCT(PRODUCT(1+L8:$L$17))),4)</f>
        <v>1.0463</v>
      </c>
      <c r="T8" s="3364">
        <f>ROUND(IF(项目基本情况!$B$8="出让",SUMPRODUCT(PRODUCT(1+M8:$M$18)),SUMPRODUCT(PRODUCT(1+M8:$M$17))),4)</f>
        <v>1.0257000000000001</v>
      </c>
      <c r="U8" s="3364">
        <f>ROUND(IF(项目基本情况!$B$8="出让",SUMPRODUCT(PRODUCT(1+N8:$N$18)),SUMPRODUCT(PRODUCT(1+N8:$N$17))),4)</f>
        <v>1.0961000000000001</v>
      </c>
      <c r="V8" s="3364">
        <f>ROUND(IF(项目基本情况!$B$8="出让",SUMPRODUCT(PRODUCT(1+O8:$O$18)),SUMPRODUCT(PRODUCT(1+O8:$O$17))),4)</f>
        <v>1.0713999999999999</v>
      </c>
      <c r="W8" s="3364">
        <f t="shared" ref="W8:W10" si="30">T8</f>
        <v>1.0257000000000001</v>
      </c>
      <c r="X8" s="3364"/>
      <c r="Y8" s="3366">
        <f t="shared" ref="Y8:AC8" si="31">IF(D8=0,0,ROUND(AVERAGE(D8:D19)/100,4))</f>
        <v>7.7999999999999996E-3</v>
      </c>
      <c r="Z8" s="3366">
        <f t="shared" si="31"/>
        <v>4.1000000000000003E-3</v>
      </c>
      <c r="AA8" s="3366">
        <f t="shared" si="31"/>
        <v>2.3E-3</v>
      </c>
      <c r="AB8" s="3366">
        <f t="shared" si="31"/>
        <v>8.3999999999999995E-3</v>
      </c>
      <c r="AC8" s="3366">
        <f t="shared" si="31"/>
        <v>6.3E-3</v>
      </c>
      <c r="AD8" s="3366">
        <f t="shared" ref="AD8:AD10" si="32">AA8</f>
        <v>2.3E-3</v>
      </c>
    </row>
    <row r="9" spans="1:30">
      <c r="A9" s="3340" t="s">
        <v>3256</v>
      </c>
      <c r="B9" s="3399">
        <v>2023</v>
      </c>
      <c r="C9" s="3400">
        <v>2</v>
      </c>
      <c r="D9" s="3400">
        <v>0.91</v>
      </c>
      <c r="E9" s="3400">
        <v>0.66</v>
      </c>
      <c r="F9" s="3400">
        <v>0.47</v>
      </c>
      <c r="G9" s="3400">
        <v>0.96</v>
      </c>
      <c r="H9" s="3406">
        <v>0.71</v>
      </c>
      <c r="I9" s="3401">
        <f t="shared" si="0"/>
        <v>0.47</v>
      </c>
      <c r="J9" s="3361"/>
      <c r="K9" s="3362">
        <f t="shared" si="24"/>
        <v>9.1000000000000004E-3</v>
      </c>
      <c r="L9" s="3363">
        <f t="shared" si="25"/>
        <v>6.6E-3</v>
      </c>
      <c r="M9" s="3363">
        <f t="shared" si="26"/>
        <v>4.6999999999999993E-3</v>
      </c>
      <c r="N9" s="3363">
        <f t="shared" si="27"/>
        <v>9.5999999999999992E-3</v>
      </c>
      <c r="O9" s="3363">
        <f t="shared" si="28"/>
        <v>7.0999999999999995E-3</v>
      </c>
      <c r="P9" s="3363">
        <f t="shared" si="29"/>
        <v>4.6999999999999993E-3</v>
      </c>
      <c r="Q9" s="3361"/>
      <c r="R9" s="3377">
        <f>ROUND(IF(项目基本情况!$B$8="出让",SUMPRODUCT(PRODUCT(1+K9:$K$18)),SUMPRODUCT(PRODUCT(1+K9:$K$17))),4)</f>
        <v>1.0860000000000001</v>
      </c>
      <c r="S9" s="3377">
        <f>ROUND(IF(项目基本情况!$B$8="出让",SUMPRODUCT(PRODUCT(1+L9:$L$18)),SUMPRODUCT(PRODUCT(1+L9:$L$17))),4)</f>
        <v>1.0410999999999999</v>
      </c>
      <c r="T9" s="3377">
        <f>ROUND(IF(项目基本情况!$B$8="出让",SUMPRODUCT(PRODUCT(1+M9:$M$18)),SUMPRODUCT(PRODUCT(1+M9:$M$17))),4)</f>
        <v>1.0225</v>
      </c>
      <c r="U9" s="3377">
        <f>ROUND(IF(项目基本情况!$B$8="出让",SUMPRODUCT(PRODUCT(1+N9:$N$18)),SUMPRODUCT(PRODUCT(1+N9:$N$17))),4)</f>
        <v>1.0938000000000001</v>
      </c>
      <c r="V9" s="3377">
        <f>ROUND(IF(项目基本情况!$B$8="出让",SUMPRODUCT(PRODUCT(1+O9:$O$18)),SUMPRODUCT(PRODUCT(1+O9:$O$17))),4)</f>
        <v>1.0668</v>
      </c>
      <c r="W9" s="3377">
        <f t="shared" si="30"/>
        <v>1.0225</v>
      </c>
      <c r="X9" s="3361"/>
      <c r="Y9" s="3386">
        <f t="shared" ref="Y9:AC9" si="33">IF(D9=0,0,ROUND(AVERAGE(D9:D20)/100,4))</f>
        <v>8.3000000000000001E-3</v>
      </c>
      <c r="Z9" s="3386">
        <f t="shared" si="33"/>
        <v>4.0000000000000001E-3</v>
      </c>
      <c r="AA9" s="3386">
        <f t="shared" si="33"/>
        <v>2.2000000000000001E-3</v>
      </c>
      <c r="AB9" s="3386">
        <f t="shared" si="33"/>
        <v>8.9999999999999993E-3</v>
      </c>
      <c r="AC9" s="3386">
        <f t="shared" si="33"/>
        <v>6.4999999999999997E-3</v>
      </c>
      <c r="AD9" s="3386">
        <f t="shared" si="32"/>
        <v>2.2000000000000001E-3</v>
      </c>
    </row>
    <row r="10" spans="1:30">
      <c r="A10" s="3340" t="s">
        <v>3253</v>
      </c>
      <c r="B10" s="3399">
        <v>2023</v>
      </c>
      <c r="C10" s="3400">
        <v>1</v>
      </c>
      <c r="D10" s="3400">
        <v>0.89</v>
      </c>
      <c r="E10" s="3400">
        <v>0.74</v>
      </c>
      <c r="F10" s="3400">
        <v>0.56999999999999995</v>
      </c>
      <c r="G10" s="3400">
        <v>0.92</v>
      </c>
      <c r="H10" s="3406">
        <v>0.5</v>
      </c>
      <c r="I10" s="3401">
        <f t="shared" si="0"/>
        <v>0.56999999999999995</v>
      </c>
      <c r="J10" s="3361"/>
      <c r="K10" s="3362">
        <f t="shared" si="24"/>
        <v>8.8999999999999999E-3</v>
      </c>
      <c r="L10" s="3363">
        <f t="shared" si="25"/>
        <v>7.4000000000000003E-3</v>
      </c>
      <c r="M10" s="3363">
        <f t="shared" si="26"/>
        <v>5.6999999999999993E-3</v>
      </c>
      <c r="N10" s="3363">
        <f t="shared" si="27"/>
        <v>9.1999999999999998E-3</v>
      </c>
      <c r="O10" s="3363">
        <f t="shared" si="28"/>
        <v>5.0000000000000001E-3</v>
      </c>
      <c r="P10" s="3363">
        <f t="shared" si="29"/>
        <v>5.6999999999999993E-3</v>
      </c>
      <c r="Q10" s="3361"/>
      <c r="R10" s="3377">
        <f>ROUND(IF(项目基本情况!$B$8="出让",SUMPRODUCT(PRODUCT(1+K10:$K$18)),SUMPRODUCT(PRODUCT(1+K10:$K$17))),4)</f>
        <v>1.0763</v>
      </c>
      <c r="S10" s="3377">
        <f>ROUND(IF(项目基本情况!$B$8="出让",SUMPRODUCT(PRODUCT(1+L10:$L$18)),SUMPRODUCT(PRODUCT(1+L10:$L$17))),4)</f>
        <v>1.0343</v>
      </c>
      <c r="T10" s="3377">
        <f>ROUND(IF(项目基本情况!$B$8="出让",SUMPRODUCT(PRODUCT(1+M10:$M$18)),SUMPRODUCT(PRODUCT(1+M10:$M$17))),4)</f>
        <v>1.0177</v>
      </c>
      <c r="U10" s="3377">
        <f>ROUND(IF(项目基本情况!$B$8="出让",SUMPRODUCT(PRODUCT(1+N10:$N$18)),SUMPRODUCT(PRODUCT(1+N10:$N$17))),4)</f>
        <v>1.0833999999999999</v>
      </c>
      <c r="V10" s="3377">
        <f>ROUND(IF(项目基本情况!$B$8="出让",SUMPRODUCT(PRODUCT(1+O10:$O$18)),SUMPRODUCT(PRODUCT(1+O10:$O$17))),4)</f>
        <v>1.0592999999999999</v>
      </c>
      <c r="W10" s="3377">
        <f t="shared" si="30"/>
        <v>1.0177</v>
      </c>
      <c r="X10" s="3361"/>
      <c r="Y10" s="3386">
        <f t="shared" ref="Y10:AC10" si="34">IF(D10=0,0,ROUND(AVERAGE(D10:D21)/100,4))</f>
        <v>8.2000000000000007E-3</v>
      </c>
      <c r="Z10" s="3386">
        <f t="shared" si="34"/>
        <v>3.8E-3</v>
      </c>
      <c r="AA10" s="3386">
        <f t="shared" si="34"/>
        <v>2E-3</v>
      </c>
      <c r="AB10" s="3386">
        <f t="shared" si="34"/>
        <v>8.8999999999999999E-3</v>
      </c>
      <c r="AC10" s="3386">
        <f t="shared" si="34"/>
        <v>6.4000000000000003E-3</v>
      </c>
      <c r="AD10" s="3386">
        <f t="shared" si="32"/>
        <v>2E-3</v>
      </c>
    </row>
    <row r="11" spans="1:30">
      <c r="A11" s="3340" t="s">
        <v>3251</v>
      </c>
      <c r="B11" s="3399">
        <v>2022</v>
      </c>
      <c r="C11" s="3400">
        <v>4</v>
      </c>
      <c r="D11" s="3400">
        <v>0.62</v>
      </c>
      <c r="E11" s="3400">
        <v>0.2</v>
      </c>
      <c r="F11" s="3400">
        <v>0.11</v>
      </c>
      <c r="G11" s="3400">
        <v>0.69</v>
      </c>
      <c r="H11" s="3406">
        <v>0.53</v>
      </c>
      <c r="I11" s="3401">
        <f t="shared" si="0"/>
        <v>0.11</v>
      </c>
      <c r="J11" s="3361"/>
      <c r="K11" s="3362">
        <f t="shared" si="1"/>
        <v>6.1999999999999998E-3</v>
      </c>
      <c r="L11" s="3363">
        <f t="shared" si="1"/>
        <v>2E-3</v>
      </c>
      <c r="M11" s="3363">
        <f t="shared" si="1"/>
        <v>1.1000000000000001E-3</v>
      </c>
      <c r="N11" s="3363">
        <f t="shared" si="1"/>
        <v>6.8999999999999999E-3</v>
      </c>
      <c r="O11" s="3363">
        <f t="shared" si="1"/>
        <v>5.3E-3</v>
      </c>
      <c r="P11" s="3363">
        <f t="shared" ref="P11:P18" si="35">M11</f>
        <v>1.1000000000000001E-3</v>
      </c>
      <c r="Q11" s="3361"/>
      <c r="R11" s="3377">
        <f>ROUND(IF(项目基本情况!B8="出让",SUMPRODUCT(PRODUCT(1+K11:K18)),SUMPRODUCT(PRODUCT(1+K11:K17))),4)</f>
        <v>1.0668</v>
      </c>
      <c r="S11" s="3377">
        <f>ROUND(IF(项目基本情况!B8="出让",SUMPRODUCT(PRODUCT(1+L11:L18)),SUMPRODUCT(PRODUCT(1+L11:L17))),4)</f>
        <v>1.0266999999999999</v>
      </c>
      <c r="T11" s="3377">
        <f>ROUND(IF(项目基本情况!B8="出让",SUMPRODUCT(PRODUCT(1+M11:M18)),SUMPRODUCT(PRODUCT(1+M11:M17))),4)</f>
        <v>1.0119</v>
      </c>
      <c r="U11" s="3377">
        <f>ROUND(IF(项目基本情况!B8="出让",SUMPRODUCT(PRODUCT(1+N11:N18)),SUMPRODUCT(PRODUCT(1+N11:N17))),4)</f>
        <v>1.0734999999999999</v>
      </c>
      <c r="V11" s="3377">
        <f>ROUND(IF(项目基本情况!B8="出让",SUMPRODUCT(PRODUCT(1+O11:O18)),SUMPRODUCT(PRODUCT(1+O11:O17))),4)</f>
        <v>1.054</v>
      </c>
      <c r="W11" s="3377">
        <f t="shared" ref="W11:W18" si="36">T11</f>
        <v>1.0119</v>
      </c>
      <c r="X11" s="3361"/>
      <c r="Y11" s="3386">
        <f>IF(D11=0,0,ROUND(AVERAGE(D11:D19)/100,4))</f>
        <v>8.0999999999999996E-3</v>
      </c>
      <c r="Z11" s="3386">
        <f>IF(E11=0,0,ROUND(AVERAGE(E11:E18)/100,4))</f>
        <v>3.3E-3</v>
      </c>
      <c r="AA11" s="3386">
        <f>IF(F11=0,0,ROUND(AVERAGE(F11:F18)/100,4))</f>
        <v>1.5E-3</v>
      </c>
      <c r="AB11" s="3386">
        <f>IF(G11=0,0,ROUND(AVERAGE(G11:G18)/100,4))</f>
        <v>8.8999999999999999E-3</v>
      </c>
      <c r="AC11" s="3386">
        <f>IF(H11=0,0,ROUND(AVERAGE(H11:H18)/100,4))</f>
        <v>6.6E-3</v>
      </c>
      <c r="AD11" s="3386">
        <f t="shared" si="2"/>
        <v>1.5E-3</v>
      </c>
    </row>
    <row r="12" spans="1:30">
      <c r="A12" s="3340" t="s">
        <v>3246</v>
      </c>
      <c r="B12" s="3399">
        <v>2022</v>
      </c>
      <c r="C12" s="3400">
        <v>3</v>
      </c>
      <c r="D12" s="3400">
        <v>0.66</v>
      </c>
      <c r="E12" s="3400">
        <v>0.32</v>
      </c>
      <c r="F12" s="3400">
        <v>0.23</v>
      </c>
      <c r="G12" s="3400">
        <v>0.72</v>
      </c>
      <c r="H12" s="3406">
        <v>0.63</v>
      </c>
      <c r="I12" s="3401">
        <f t="shared" si="0"/>
        <v>0.23</v>
      </c>
      <c r="J12" s="3361"/>
      <c r="K12" s="3362">
        <f t="shared" si="1"/>
        <v>6.6E-3</v>
      </c>
      <c r="L12" s="3363">
        <f t="shared" si="1"/>
        <v>3.2000000000000002E-3</v>
      </c>
      <c r="M12" s="3363">
        <f t="shared" si="1"/>
        <v>2.3E-3</v>
      </c>
      <c r="N12" s="3363">
        <f t="shared" si="1"/>
        <v>7.1999999999999998E-3</v>
      </c>
      <c r="O12" s="3363">
        <f t="shared" si="1"/>
        <v>6.3E-3</v>
      </c>
      <c r="P12" s="3363">
        <f t="shared" si="35"/>
        <v>2.3E-3</v>
      </c>
      <c r="Q12" s="3361"/>
      <c r="R12" s="3377">
        <f>ROUND(IF(项目基本情况!B8="出让",SUMPRODUCT(PRODUCT(1+K12:K18)),SUMPRODUCT(PRODUCT(1+K12:K17))),4)</f>
        <v>1.0602</v>
      </c>
      <c r="S12" s="3377">
        <f>ROUND(IF(项目基本情况!B8="出让",SUMPRODUCT(PRODUCT(1+L12:L18)),SUMPRODUCT(PRODUCT(1+L12:L17))),4)</f>
        <v>1.0246</v>
      </c>
      <c r="T12" s="3377">
        <f>ROUND(IF(项目基本情况!B8="出让",SUMPRODUCT(PRODUCT(1+M12:M18)),SUMPRODUCT(PRODUCT(1+M12:M17))),4)</f>
        <v>1.0107999999999999</v>
      </c>
      <c r="U12" s="3377">
        <f>ROUND(IF(项目基本情况!B8="出让",SUMPRODUCT(PRODUCT(1+N12:N18)),SUMPRODUCT(PRODUCT(1+N12:N17))),4)</f>
        <v>1.0662</v>
      </c>
      <c r="V12" s="3377">
        <f>ROUND(IF(项目基本情况!B8="出让",SUMPRODUCT(PRODUCT(1+O12:O18)),SUMPRODUCT(PRODUCT(1+O12:O17))),4)</f>
        <v>1.0485</v>
      </c>
      <c r="W12" s="3377">
        <f t="shared" si="36"/>
        <v>1.0107999999999999</v>
      </c>
      <c r="X12" s="3361"/>
      <c r="Y12" s="3386">
        <f>IF(D12=0,0,ROUND(AVERAGE(D12:D18)/100,4))</f>
        <v>8.3999999999999995E-3</v>
      </c>
      <c r="Z12" s="3386">
        <f>IF(E12=0,0,ROUND(AVERAGE(E12:E18)/100,4))</f>
        <v>3.5000000000000001E-3</v>
      </c>
      <c r="AA12" s="3386">
        <f>IF(F12=0,0,ROUND(AVERAGE(F12:F18)/100,4))</f>
        <v>1.5E-3</v>
      </c>
      <c r="AB12" s="3386">
        <f>IF(G12=0,0,ROUND(AVERAGE(G12:G18)/100,4))</f>
        <v>9.1999999999999998E-3</v>
      </c>
      <c r="AC12" s="3386">
        <f>IF(H12=0,0,ROUND(AVERAGE(H12:H18)/100,4))</f>
        <v>6.7999999999999996E-3</v>
      </c>
      <c r="AD12" s="3386">
        <f t="shared" si="2"/>
        <v>1.5E-3</v>
      </c>
    </row>
    <row r="13" spans="1:30">
      <c r="A13" s="3340" t="s">
        <v>3247</v>
      </c>
      <c r="B13" s="3399">
        <v>2022</v>
      </c>
      <c r="C13" s="3400">
        <v>2</v>
      </c>
      <c r="D13" s="3400">
        <v>0.93</v>
      </c>
      <c r="E13" s="3400">
        <v>0.15</v>
      </c>
      <c r="F13" s="3400">
        <v>0.01</v>
      </c>
      <c r="G13" s="3400">
        <v>1.05</v>
      </c>
      <c r="H13" s="3406">
        <v>1.08</v>
      </c>
      <c r="I13" s="3401">
        <f t="shared" si="0"/>
        <v>0.01</v>
      </c>
      <c r="J13" s="3361"/>
      <c r="K13" s="3362">
        <f t="shared" si="1"/>
        <v>9.300000000000001E-3</v>
      </c>
      <c r="L13" s="3363">
        <f t="shared" si="1"/>
        <v>1.5E-3</v>
      </c>
      <c r="M13" s="3363">
        <f t="shared" si="1"/>
        <v>1E-4</v>
      </c>
      <c r="N13" s="3363">
        <f t="shared" si="1"/>
        <v>1.0500000000000001E-2</v>
      </c>
      <c r="O13" s="3363">
        <f t="shared" si="1"/>
        <v>1.0800000000000001E-2</v>
      </c>
      <c r="P13" s="3363">
        <f t="shared" si="35"/>
        <v>1E-4</v>
      </c>
      <c r="Q13" s="3361"/>
      <c r="R13" s="3377">
        <f>ROUND(IF(项目基本情况!B8="出让",SUMPRODUCT(PRODUCT(1+K13:K18)),SUMPRODUCT(PRODUCT(1+K13:K17))),4)</f>
        <v>1.0531999999999999</v>
      </c>
      <c r="S13" s="3377">
        <f>ROUND(IF(项目基本情况!B8="出让",SUMPRODUCT(PRODUCT(1+L13:L18)),SUMPRODUCT(PRODUCT(1+L13:L17))),4)</f>
        <v>1.0214000000000001</v>
      </c>
      <c r="T13" s="3377">
        <f>ROUND(IF(项目基本情况!B8="出让",SUMPRODUCT(PRODUCT(1+M13:M18)),SUMPRODUCT(PRODUCT(1+M13:M17))),4)</f>
        <v>1.0085</v>
      </c>
      <c r="U13" s="3377">
        <f>ROUND(IF(项目基本情况!B8="出让",SUMPRODUCT(PRODUCT(1+N13:N18)),SUMPRODUCT(PRODUCT(1+N13:N17))),4)</f>
        <v>1.0586</v>
      </c>
      <c r="V13" s="3377">
        <f>ROUND(IF(项目基本情况!B8="出让",SUMPRODUCT(PRODUCT(1+O13:O18)),SUMPRODUCT(PRODUCT(1+O13:O17))),4)</f>
        <v>1.0419</v>
      </c>
      <c r="W13" s="3377">
        <f t="shared" si="36"/>
        <v>1.0085</v>
      </c>
      <c r="X13" s="3361"/>
      <c r="Y13" s="3386">
        <f>IF(D13=0,0,ROUND(AVERAGE(D13:D18)/100,4))</f>
        <v>8.6999999999999994E-3</v>
      </c>
      <c r="Z13" s="3386">
        <f>IF(E13=0,0,ROUND(AVERAGE(E13:E18)/100,4))</f>
        <v>3.5000000000000001E-3</v>
      </c>
      <c r="AA13" s="3386">
        <f>IF(F13=0,0,ROUND(AVERAGE(F13:F18)/100,4))</f>
        <v>1.4E-3</v>
      </c>
      <c r="AB13" s="3386">
        <f>IF(G13=0,0,ROUND(AVERAGE(G13:G18)/100,4))</f>
        <v>9.4999999999999998E-3</v>
      </c>
      <c r="AC13" s="3386">
        <f>IF(H13=0,0,ROUND(AVERAGE(H13:H18)/100,4))</f>
        <v>6.8999999999999999E-3</v>
      </c>
      <c r="AD13" s="3386">
        <f t="shared" si="2"/>
        <v>1.4E-3</v>
      </c>
    </row>
    <row r="14" spans="1:30">
      <c r="A14" s="3340" t="s">
        <v>2782</v>
      </c>
      <c r="B14" s="3399">
        <v>2022</v>
      </c>
      <c r="C14" s="3400">
        <v>1</v>
      </c>
      <c r="D14" s="3400">
        <v>0.89</v>
      </c>
      <c r="E14" s="3400">
        <v>0.44</v>
      </c>
      <c r="F14" s="3400">
        <v>0.37</v>
      </c>
      <c r="G14" s="3400">
        <v>0.96</v>
      </c>
      <c r="H14" s="3406">
        <v>0.64</v>
      </c>
      <c r="I14" s="3401">
        <f t="shared" si="0"/>
        <v>0.37</v>
      </c>
      <c r="J14" s="3361"/>
      <c r="K14" s="3362">
        <f t="shared" si="1"/>
        <v>8.8999999999999999E-3</v>
      </c>
      <c r="L14" s="3363">
        <f t="shared" si="1"/>
        <v>4.4000000000000003E-3</v>
      </c>
      <c r="M14" s="3363">
        <f t="shared" si="1"/>
        <v>3.7000000000000002E-3</v>
      </c>
      <c r="N14" s="3363">
        <f t="shared" si="1"/>
        <v>9.5999999999999992E-3</v>
      </c>
      <c r="O14" s="3363">
        <f t="shared" si="1"/>
        <v>6.4000000000000003E-3</v>
      </c>
      <c r="P14" s="3363">
        <f t="shared" si="35"/>
        <v>3.7000000000000002E-3</v>
      </c>
      <c r="Q14" s="3361"/>
      <c r="R14" s="3377">
        <f>ROUND(IF(项目基本情况!B8="出让",SUMPRODUCT(PRODUCT(1+K14:K18)),SUMPRODUCT(PRODUCT(1+K14:K17))),4)</f>
        <v>1.0435000000000001</v>
      </c>
      <c r="S14" s="3377">
        <f>ROUND(IF(项目基本情况!B8="出让",SUMPRODUCT(PRODUCT(1+L14:L18)),SUMPRODUCT(PRODUCT(1+L14:L17))),4)</f>
        <v>1.0198</v>
      </c>
      <c r="T14" s="3377">
        <f>ROUND(IF(项目基本情况!B8="出让",SUMPRODUCT(PRODUCT(1+M14:M18)),SUMPRODUCT(PRODUCT(1+M14:M17))),4)</f>
        <v>1.0084</v>
      </c>
      <c r="U14" s="3377">
        <f>ROUND(IF(项目基本情况!B8="出让",SUMPRODUCT(PRODUCT(1+N14:N18)),SUMPRODUCT(PRODUCT(1+N14:N17))),4)</f>
        <v>1.0476000000000001</v>
      </c>
      <c r="V14" s="3377">
        <f>ROUND(IF(项目基本情况!B8="出让",SUMPRODUCT(PRODUCT(1+O14:O18)),SUMPRODUCT(PRODUCT(1+O14:O17))),4)</f>
        <v>1.0307999999999999</v>
      </c>
      <c r="W14" s="3377">
        <f t="shared" si="36"/>
        <v>1.0084</v>
      </c>
      <c r="X14" s="3361"/>
      <c r="Y14" s="3386">
        <f>IF(D14=0,0,ROUND(AVERAGE(D14:D18)/100,4))</f>
        <v>8.6E-3</v>
      </c>
      <c r="Z14" s="3386">
        <f>IF(E14=0,0,ROUND(AVERAGE(E14:E18)/100,4))</f>
        <v>3.8999999999999998E-3</v>
      </c>
      <c r="AA14" s="3386">
        <f>IF(F14=0,0,ROUND(AVERAGE(F14:F18)/100,4))</f>
        <v>1.6999999999999999E-3</v>
      </c>
      <c r="AB14" s="3386">
        <f>IF(G14=0,0,ROUND(AVERAGE(G14:G18)/100,4))</f>
        <v>9.2999999999999992E-3</v>
      </c>
      <c r="AC14" s="3386">
        <f>IF(H14=0,0,ROUND(AVERAGE(H14:H18)/100,4))</f>
        <v>6.1000000000000004E-3</v>
      </c>
      <c r="AD14" s="3386">
        <f t="shared" si="2"/>
        <v>1.6999999999999999E-3</v>
      </c>
    </row>
    <row r="15" spans="1:30">
      <c r="A15" s="3340" t="s">
        <v>2783</v>
      </c>
      <c r="B15" s="3399">
        <v>2021</v>
      </c>
      <c r="C15" s="3400">
        <v>4</v>
      </c>
      <c r="D15" s="3400">
        <v>1.03</v>
      </c>
      <c r="E15" s="3400">
        <v>0.24</v>
      </c>
      <c r="F15" s="3400">
        <v>7.0000000000000007E-2</v>
      </c>
      <c r="G15" s="3400">
        <v>1.17</v>
      </c>
      <c r="H15" s="3406">
        <v>0.55000000000000004</v>
      </c>
      <c r="I15" s="3401">
        <f t="shared" si="0"/>
        <v>7.0000000000000007E-2</v>
      </c>
      <c r="J15" s="3361"/>
      <c r="K15" s="3362">
        <f t="shared" si="1"/>
        <v>1.03E-2</v>
      </c>
      <c r="L15" s="3363">
        <f t="shared" si="1"/>
        <v>2.3999999999999998E-3</v>
      </c>
      <c r="M15" s="3363">
        <f t="shared" si="1"/>
        <v>7.000000000000001E-4</v>
      </c>
      <c r="N15" s="3363">
        <f t="shared" si="1"/>
        <v>1.1699999999999999E-2</v>
      </c>
      <c r="O15" s="3363">
        <f t="shared" si="1"/>
        <v>5.5000000000000005E-3</v>
      </c>
      <c r="P15" s="3363">
        <f t="shared" si="35"/>
        <v>7.000000000000001E-4</v>
      </c>
      <c r="Q15" s="3361"/>
      <c r="R15" s="3377">
        <f>ROUND(IF(项目基本情况!B8="出让",SUMPRODUCT(PRODUCT(1+K15:K18)),SUMPRODUCT(PRODUCT(1+K15:K17))),4)</f>
        <v>1.0343</v>
      </c>
      <c r="S15" s="3377">
        <f>ROUND(IF(项目基本情况!B8="出让",SUMPRODUCT(PRODUCT(1+L15:L18)),SUMPRODUCT(PRODUCT(1+L15:L17))),4)</f>
        <v>1.0154000000000001</v>
      </c>
      <c r="T15" s="3377">
        <f>ROUND(IF(项目基本情况!B8="出让",SUMPRODUCT(PRODUCT(1+M15:M18)),SUMPRODUCT(PRODUCT(1+M15:M17))),4)</f>
        <v>1.0046999999999999</v>
      </c>
      <c r="U15" s="3377">
        <f>ROUND(IF(项目基本情况!B8="出让",SUMPRODUCT(PRODUCT(1+N15:N18)),SUMPRODUCT(PRODUCT(1+N15:N17))),4)</f>
        <v>1.0376000000000001</v>
      </c>
      <c r="V15" s="3377">
        <f>ROUND(IF(项目基本情况!B8="出让",SUMPRODUCT(PRODUCT(1+O15:O18)),SUMPRODUCT(PRODUCT(1+O15:O17))),4)</f>
        <v>1.0242</v>
      </c>
      <c r="W15" s="3377">
        <f t="shared" si="36"/>
        <v>1.0046999999999999</v>
      </c>
      <c r="X15" s="3361"/>
      <c r="Y15" s="3386">
        <f>IF(D15=0,0,ROUND(AVERAGE(D15:D18)/100,4))</f>
        <v>8.5000000000000006E-3</v>
      </c>
      <c r="Z15" s="3386">
        <f>IF(E15=0,0,ROUND(AVERAGE(E15:E18)/100,4))</f>
        <v>3.8E-3</v>
      </c>
      <c r="AA15" s="3386">
        <f>IF(F15=0,0,ROUND(AVERAGE(F15:F18)/100,4))</f>
        <v>1.1999999999999999E-3</v>
      </c>
      <c r="AB15" s="3386">
        <f>IF(G15=0,0,ROUND(AVERAGE(G15:G18)/100,4))</f>
        <v>9.2999999999999992E-3</v>
      </c>
      <c r="AC15" s="3386">
        <f>IF(H15=0,0,ROUND(AVERAGE(H15:H18)/100,4))</f>
        <v>6.0000000000000001E-3</v>
      </c>
      <c r="AD15" s="3386">
        <f t="shared" si="2"/>
        <v>1.1999999999999999E-3</v>
      </c>
    </row>
    <row r="16" spans="1:30">
      <c r="A16" s="3340" t="s">
        <v>2784</v>
      </c>
      <c r="B16" s="3399">
        <v>2021</v>
      </c>
      <c r="C16" s="3400">
        <v>3</v>
      </c>
      <c r="D16" s="3400">
        <v>0.47</v>
      </c>
      <c r="E16" s="3400">
        <v>0.41</v>
      </c>
      <c r="F16" s="3400">
        <v>0.24</v>
      </c>
      <c r="G16" s="3400">
        <v>0.48</v>
      </c>
      <c r="H16" s="3406">
        <v>0.48</v>
      </c>
      <c r="I16" s="3401">
        <f t="shared" si="0"/>
        <v>0.24</v>
      </c>
      <c r="J16" s="3361"/>
      <c r="K16" s="3362">
        <f t="shared" si="1"/>
        <v>4.6999999999999993E-3</v>
      </c>
      <c r="L16" s="3363">
        <f t="shared" si="1"/>
        <v>4.0999999999999995E-3</v>
      </c>
      <c r="M16" s="3363">
        <f t="shared" si="1"/>
        <v>2.3999999999999998E-3</v>
      </c>
      <c r="N16" s="3363">
        <f t="shared" si="1"/>
        <v>4.7999999999999996E-3</v>
      </c>
      <c r="O16" s="3363">
        <f t="shared" si="1"/>
        <v>4.7999999999999996E-3</v>
      </c>
      <c r="P16" s="3363">
        <f t="shared" si="35"/>
        <v>2.3999999999999998E-3</v>
      </c>
      <c r="Q16" s="3361"/>
      <c r="R16" s="3377">
        <f>ROUND(IF(项目基本情况!B8="出让",SUMPRODUCT(PRODUCT(1+K16:K18)),SUMPRODUCT(PRODUCT(1+K16:K17))),4)</f>
        <v>1.0238</v>
      </c>
      <c r="S16" s="3377">
        <f>ROUND(IF(项目基本情况!B8="出让",SUMPRODUCT(PRODUCT(1+L16:L18)),SUMPRODUCT(PRODUCT(1+L16:L17))),4)</f>
        <v>1.0128999999999999</v>
      </c>
      <c r="T16" s="3377">
        <f>ROUND(IF(项目基本情况!B8="出让",SUMPRODUCT(PRODUCT(1+M16:M18)),SUMPRODUCT(PRODUCT(1+M16:M17))),4)</f>
        <v>1.004</v>
      </c>
      <c r="U16" s="3377">
        <f>ROUND(IF(项目基本情况!B8="出让",SUMPRODUCT(PRODUCT(1+N16:N18)),SUMPRODUCT(PRODUCT(1+N16:N17))),4)</f>
        <v>1.0256000000000001</v>
      </c>
      <c r="V16" s="3377">
        <f>ROUND(IF(项目基本情况!B8="出让",SUMPRODUCT(PRODUCT(1+O16:O18)),SUMPRODUCT(PRODUCT(1+O16:O17))),4)</f>
        <v>1.0185999999999999</v>
      </c>
      <c r="W16" s="3377">
        <f t="shared" si="36"/>
        <v>1.004</v>
      </c>
      <c r="X16" s="3361"/>
      <c r="Y16" s="3386">
        <f>IF(D16=0,0,ROUND(AVERAGE(D16:D18)/100,4))</f>
        <v>7.9000000000000008E-3</v>
      </c>
      <c r="Z16" s="3386">
        <f>IF(E16=0,0,ROUND(AVERAGE(E16:E18)/100,4))</f>
        <v>4.3E-3</v>
      </c>
      <c r="AA16" s="3386">
        <f>IF(F16=0,0,ROUND(AVERAGE(F16:F18)/100,4))</f>
        <v>1.2999999999999999E-3</v>
      </c>
      <c r="AB16" s="3386">
        <f>IF(G16=0,0,ROUND(AVERAGE(G16:G18)/100,4))</f>
        <v>8.5000000000000006E-3</v>
      </c>
      <c r="AC16" s="3386">
        <f>IF(H16=0,0,ROUND(AVERAGE(H16:H18)/100,4))</f>
        <v>6.1999999999999998E-3</v>
      </c>
      <c r="AD16" s="3386">
        <f t="shared" si="2"/>
        <v>1.2999999999999999E-3</v>
      </c>
    </row>
    <row r="17" spans="1:30">
      <c r="A17" s="3340" t="s">
        <v>2785</v>
      </c>
      <c r="B17" s="3399">
        <v>2021</v>
      </c>
      <c r="C17" s="3400">
        <v>2</v>
      </c>
      <c r="D17" s="3400">
        <v>0.92</v>
      </c>
      <c r="E17" s="3400">
        <v>0.72</v>
      </c>
      <c r="F17" s="3400">
        <v>0.41</v>
      </c>
      <c r="G17" s="3400">
        <v>0.95</v>
      </c>
      <c r="H17" s="3406">
        <v>1.01</v>
      </c>
      <c r="I17" s="3401">
        <f t="shared" si="0"/>
        <v>0.41</v>
      </c>
      <c r="J17" s="3361"/>
      <c r="K17" s="3362">
        <f t="shared" si="1"/>
        <v>9.1999999999999998E-3</v>
      </c>
      <c r="L17" s="3363">
        <f t="shared" si="1"/>
        <v>7.1999999999999998E-3</v>
      </c>
      <c r="M17" s="3363">
        <f t="shared" si="1"/>
        <v>4.0999999999999995E-3</v>
      </c>
      <c r="N17" s="3363">
        <f t="shared" si="1"/>
        <v>9.4999999999999998E-3</v>
      </c>
      <c r="O17" s="3363">
        <f t="shared" si="1"/>
        <v>1.01E-2</v>
      </c>
      <c r="P17" s="3363">
        <f t="shared" si="35"/>
        <v>4.0999999999999995E-3</v>
      </c>
      <c r="Q17" s="3361"/>
      <c r="R17" s="3377">
        <f>ROUND(IF(项目基本情况!B8="出让",SUMPRODUCT(PRODUCT(1+K17:K18)),SUMPRODUCT(PRODUCT(1+K17:K17))),4)</f>
        <v>1.0189999999999999</v>
      </c>
      <c r="S17" s="3377">
        <f>ROUND(IF(项目基本情况!B8="出让",SUMPRODUCT(PRODUCT(1+L17:L18)),SUMPRODUCT(PRODUCT(1+L17:L17))),4)</f>
        <v>1.0087999999999999</v>
      </c>
      <c r="T17" s="3377">
        <f>ROUND(IF(项目基本情况!B8="出让",SUMPRODUCT(PRODUCT(1+M17:M18)),SUMPRODUCT(PRODUCT(1+M17:M17))),4)</f>
        <v>1.0016</v>
      </c>
      <c r="U17" s="3377">
        <f>ROUND(IF(项目基本情况!B8="出让",SUMPRODUCT(PRODUCT(1+N17:N18)),SUMPRODUCT(PRODUCT(1+N17:N17))),4)</f>
        <v>1.0206999999999999</v>
      </c>
      <c r="V17" s="3377">
        <f>ROUND(IF(项目基本情况!B8="出让",SUMPRODUCT(PRODUCT(1+O17:O18)),SUMPRODUCT(PRODUCT(1+O17:O17))),4)</f>
        <v>1.0137</v>
      </c>
      <c r="W17" s="3377">
        <f t="shared" si="36"/>
        <v>1.0016</v>
      </c>
      <c r="X17" s="3361"/>
      <c r="Y17" s="3386">
        <f>IF(D17=0,0,ROUND(AVERAGE(D17:D18)/100,4))</f>
        <v>9.4999999999999998E-3</v>
      </c>
      <c r="Z17" s="3386">
        <f>IF(E17=0,0,ROUND(AVERAGE(E17:E18)/100,4))</f>
        <v>4.4000000000000003E-3</v>
      </c>
      <c r="AA17" s="3386">
        <f>IF(F17=0,0,ROUND(AVERAGE(F17:F18)/100,4))</f>
        <v>8.0000000000000004E-4</v>
      </c>
      <c r="AB17" s="3386">
        <f>IF(G17=0,0,ROUND(AVERAGE(G17:G18)/100,4))</f>
        <v>1.03E-2</v>
      </c>
      <c r="AC17" s="3386">
        <f>IF(H17=0,0,ROUND(AVERAGE(H17:H18)/100,4))</f>
        <v>6.8999999999999999E-3</v>
      </c>
      <c r="AD17" s="3386">
        <f t="shared" si="2"/>
        <v>8.0000000000000004E-4</v>
      </c>
    </row>
    <row r="18" spans="1:30" ht="15" thickBot="1">
      <c r="A18" s="3342" t="s">
        <v>2786</v>
      </c>
      <c r="B18" s="3407">
        <v>2021</v>
      </c>
      <c r="C18" s="3408">
        <v>1</v>
      </c>
      <c r="D18" s="3408">
        <v>0.97</v>
      </c>
      <c r="E18" s="3408">
        <v>0.16</v>
      </c>
      <c r="F18" s="3408">
        <v>-0.25</v>
      </c>
      <c r="G18" s="3408">
        <v>1.1100000000000001</v>
      </c>
      <c r="H18" s="3409">
        <v>0.36</v>
      </c>
      <c r="I18" s="3410">
        <f t="shared" si="0"/>
        <v>-0.25</v>
      </c>
      <c r="J18" s="3367"/>
      <c r="K18" s="3368">
        <f t="shared" si="1"/>
        <v>9.7000000000000003E-3</v>
      </c>
      <c r="L18" s="3369">
        <f t="shared" si="1"/>
        <v>1.6000000000000001E-3</v>
      </c>
      <c r="M18" s="3369">
        <f>F18/100</f>
        <v>-2.5000000000000001E-3</v>
      </c>
      <c r="N18" s="3369">
        <f t="shared" si="1"/>
        <v>1.11E-2</v>
      </c>
      <c r="O18" s="3369">
        <f t="shared" si="1"/>
        <v>3.5999999999999999E-3</v>
      </c>
      <c r="P18" s="3369">
        <f t="shared" si="35"/>
        <v>-2.5000000000000001E-3</v>
      </c>
      <c r="Q18" s="3367"/>
      <c r="R18" s="3378">
        <v>1</v>
      </c>
      <c r="S18" s="3378">
        <v>1</v>
      </c>
      <c r="T18" s="3378">
        <v>1</v>
      </c>
      <c r="U18" s="3378">
        <v>1</v>
      </c>
      <c r="V18" s="3378">
        <v>1</v>
      </c>
      <c r="W18" s="3378">
        <f t="shared" si="36"/>
        <v>1</v>
      </c>
      <c r="X18" s="3367"/>
      <c r="Y18" s="3369">
        <f>IF(D18=0,0,ROUND(AVERAGE(D18:D18)/100,4))</f>
        <v>9.7000000000000003E-3</v>
      </c>
      <c r="Z18" s="3369">
        <f>IF(E18=0,0,ROUND(AVERAGE(E18:E18)/100,4))</f>
        <v>1.6000000000000001E-3</v>
      </c>
      <c r="AA18" s="3369">
        <f>IF(F18=0,0,ROUND(AVERAGE(F18:F18)/100,4))</f>
        <v>-2.5000000000000001E-3</v>
      </c>
      <c r="AB18" s="3369">
        <f>IF(G18=0,0,ROUND(AVERAGE(G18:G18)/100,4))</f>
        <v>1.11E-2</v>
      </c>
      <c r="AC18" s="3369">
        <f>IF(H18=0,0,ROUND(AVERAGE(H18:H18)/100,4))</f>
        <v>3.5999999999999999E-3</v>
      </c>
      <c r="AD18" s="3369">
        <f>AA18</f>
        <v>-2.5000000000000001E-3</v>
      </c>
    </row>
    <row r="19" spans="1:30" ht="15" thickTop="1">
      <c r="A19" s="3277"/>
      <c r="B19" s="3277"/>
      <c r="C19" s="3277"/>
      <c r="D19" s="3277"/>
      <c r="E19" s="3277"/>
      <c r="F19" s="3277"/>
      <c r="G19" s="3277"/>
      <c r="H19" s="3277"/>
      <c r="I19" s="3277"/>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658" t="s">
        <v>3249</v>
      </c>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277"/>
      <c r="B21" s="3277"/>
      <c r="C21" s="3277"/>
      <c r="D21" s="3277"/>
      <c r="E21" s="3277"/>
      <c r="F21" s="3277"/>
      <c r="G21" s="3277"/>
      <c r="H21" s="3277"/>
      <c r="I21" s="3370" t="s">
        <v>2798</v>
      </c>
      <c r="J21" s="3277"/>
      <c r="K21" s="3277"/>
      <c r="L21" s="3277"/>
      <c r="M21" s="3277"/>
      <c r="N21" s="3277"/>
      <c r="O21" s="3277"/>
      <c r="P21" s="3277"/>
      <c r="Q21" s="3277"/>
      <c r="R21" s="3277"/>
      <c r="S21" s="3277"/>
      <c r="T21" s="3277"/>
      <c r="U21" s="3277"/>
      <c r="V21" s="3277"/>
      <c r="W21" s="3277"/>
      <c r="X21" s="3277"/>
      <c r="Y21" s="3277"/>
      <c r="Z21" s="3277"/>
      <c r="AA21" s="3277"/>
      <c r="AB21" s="3277"/>
      <c r="AC21" s="3277"/>
      <c r="AD21" s="3277"/>
    </row>
    <row r="22" spans="1:30">
      <c r="A22" s="3277"/>
      <c r="B22" s="3277"/>
      <c r="C22" s="3277"/>
      <c r="D22" s="3277"/>
      <c r="E22" s="3277"/>
      <c r="F22" s="3277"/>
      <c r="G22" s="3277"/>
      <c r="H22" s="3277"/>
      <c r="I22" s="3277"/>
      <c r="J22" s="3277"/>
      <c r="K22" s="3277"/>
      <c r="L22" s="3277"/>
      <c r="M22" s="3277"/>
      <c r="N22" s="3277"/>
      <c r="O22" s="3277"/>
      <c r="P22" s="3277"/>
      <c r="Q22" s="3277"/>
      <c r="R22" s="3277"/>
      <c r="S22" s="3277"/>
      <c r="T22" s="3277"/>
      <c r="U22" s="3277"/>
      <c r="V22" s="3277"/>
      <c r="W22" s="3277"/>
      <c r="X22" s="3277"/>
      <c r="Y22" s="3277"/>
      <c r="Z22" s="3277"/>
      <c r="AA22" s="3277"/>
      <c r="AB22" s="3277"/>
      <c r="AC22" s="3277"/>
      <c r="AD22" s="3277"/>
    </row>
    <row r="23" spans="1:30">
      <c r="A23" s="3343"/>
      <c r="B23" s="3344" t="s">
        <v>2799</v>
      </c>
      <c r="C23" s="3345"/>
      <c r="D23" s="3345"/>
      <c r="E23" s="3345"/>
      <c r="F23" s="3345"/>
      <c r="G23" s="3345"/>
      <c r="H23" s="3345"/>
      <c r="I23" s="3345"/>
      <c r="J23" s="3346"/>
      <c r="K23" s="3345" t="s">
        <v>2791</v>
      </c>
      <c r="L23" s="3345"/>
      <c r="M23" s="3345"/>
      <c r="N23" s="3345"/>
      <c r="O23" s="3345"/>
      <c r="P23" s="3345"/>
      <c r="Q23" s="3346"/>
      <c r="R23" s="4205" t="s">
        <v>2807</v>
      </c>
      <c r="S23" s="4206"/>
      <c r="T23" s="4206"/>
      <c r="U23" s="4206"/>
      <c r="V23" s="4206"/>
      <c r="W23" s="4206"/>
      <c r="X23" s="3346"/>
      <c r="Y23" s="4205" t="s">
        <v>1925</v>
      </c>
      <c r="Z23" s="4206"/>
      <c r="AA23" s="4206"/>
      <c r="AB23" s="4206"/>
      <c r="AC23" s="4206"/>
      <c r="AD23" s="4206"/>
    </row>
    <row r="24" spans="1:30" ht="15" thickBot="1">
      <c r="A24" s="3337"/>
      <c r="B24" s="3347"/>
      <c r="C24" s="3348"/>
      <c r="D24" s="3349" t="s">
        <v>2793</v>
      </c>
      <c r="E24" s="3350" t="s">
        <v>2794</v>
      </c>
      <c r="F24" s="3350" t="s">
        <v>2795</v>
      </c>
      <c r="G24" s="3350" t="s">
        <v>1469</v>
      </c>
      <c r="H24" s="3350"/>
      <c r="I24" s="3350" t="s">
        <v>2738</v>
      </c>
      <c r="J24" s="3351"/>
      <c r="K24" s="3349" t="s">
        <v>2793</v>
      </c>
      <c r="L24" s="3350" t="s">
        <v>2794</v>
      </c>
      <c r="M24" s="3350" t="s">
        <v>2795</v>
      </c>
      <c r="N24" s="3350" t="s">
        <v>2796</v>
      </c>
      <c r="O24" s="3350"/>
      <c r="P24" s="3350" t="s">
        <v>2738</v>
      </c>
      <c r="Q24" s="3351"/>
      <c r="R24" s="3349" t="s">
        <v>2808</v>
      </c>
      <c r="S24" s="3350" t="s">
        <v>2809</v>
      </c>
      <c r="T24" s="3350" t="s">
        <v>2795</v>
      </c>
      <c r="U24" s="3350" t="s">
        <v>1469</v>
      </c>
      <c r="V24" s="3350"/>
      <c r="W24" s="3350" t="s">
        <v>2810</v>
      </c>
      <c r="X24" s="3351"/>
      <c r="Y24" s="3349" t="s">
        <v>2792</v>
      </c>
      <c r="Z24" s="3350" t="s">
        <v>2794</v>
      </c>
      <c r="AA24" s="3350" t="s">
        <v>2795</v>
      </c>
      <c r="AB24" s="3350" t="s">
        <v>1469</v>
      </c>
      <c r="AC24" s="3350"/>
      <c r="AD24" s="3350" t="s">
        <v>2813</v>
      </c>
    </row>
    <row r="25" spans="1:30">
      <c r="A25" s="3338" t="s">
        <v>2787</v>
      </c>
      <c r="B25" s="3352"/>
      <c r="C25" s="3353"/>
      <c r="D25" s="3353"/>
      <c r="E25" s="3353">
        <f>ROUND(AVERAGEIF(E26:E40,"&lt;&gt;0"),2)</f>
        <v>0.42</v>
      </c>
      <c r="F25" s="3353">
        <f>ROUND(AVERAGEIF(F26:F40,"&lt;&gt;0"),2)</f>
        <v>0.3</v>
      </c>
      <c r="G25" s="3353">
        <f>ROUND(AVERAGEIF(G26:G40,"&lt;&gt;0"),2)</f>
        <v>0.73</v>
      </c>
      <c r="H25" s="3353"/>
      <c r="I25" s="3353">
        <f>F25</f>
        <v>0.3</v>
      </c>
      <c r="J25" s="3354"/>
      <c r="K25" s="3355"/>
      <c r="L25" s="3356">
        <f>ROUND(AVERAGEIF(L26:L40,"&lt;&gt;0"),4)</f>
        <v>4.1999999999999997E-3</v>
      </c>
      <c r="M25" s="3356">
        <f>ROUND(AVERAGEIF(M26:M40,"&lt;&gt;0"),4)</f>
        <v>3.0000000000000001E-3</v>
      </c>
      <c r="N25" s="3356">
        <f>ROUND(AVERAGEIF(N26:N40,"&lt;&gt;0"),4)</f>
        <v>7.3000000000000001E-3</v>
      </c>
      <c r="O25" s="3356"/>
      <c r="P25" s="3356">
        <f>M25</f>
        <v>3.0000000000000001E-3</v>
      </c>
      <c r="Q25" s="3354"/>
      <c r="R25" s="3371"/>
      <c r="S25" s="3372">
        <f>ROUND(SUMPRODUCT(PRODUCT(1+L26:L40)),4)</f>
        <v>1.0468</v>
      </c>
      <c r="T25" s="3372">
        <f>ROUND(SUMPRODUCT(PRODUCT(1+M26:M40)),4)</f>
        <v>1.0337000000000001</v>
      </c>
      <c r="U25" s="3372">
        <f>ROUND(SUMPRODUCT(PRODUCT(1+N26:N40)),4)</f>
        <v>1.0828</v>
      </c>
      <c r="V25" s="3372"/>
      <c r="W25" s="3371">
        <f>T25</f>
        <v>1.0337000000000001</v>
      </c>
      <c r="X25" s="3354"/>
      <c r="Y25" s="3379"/>
      <c r="Z25" s="3380">
        <f>ROUND(AVERAGEIF(Z26:Z40,"&lt;&gt;0"),4)</f>
        <v>4.3E-3</v>
      </c>
      <c r="AA25" s="3381">
        <f>ROUND(AVERAGEIF(AA26:AA40,"&lt;&gt;0"),4)</f>
        <v>3.3999999999999998E-3</v>
      </c>
      <c r="AB25" s="3379">
        <f>ROUND(AVERAGEIF(AB26:AB40,"&lt;&gt;0"),4)</f>
        <v>8.5000000000000006E-3</v>
      </c>
      <c r="AC25" s="3382"/>
      <c r="AD25" s="3379">
        <f>AA25</f>
        <v>3.3999999999999998E-3</v>
      </c>
    </row>
    <row r="26" spans="1:30">
      <c r="A26" s="3339"/>
      <c r="B26" s="3357"/>
      <c r="C26" s="3358"/>
      <c r="D26" s="3358"/>
      <c r="E26" s="3358"/>
      <c r="F26" s="3358"/>
      <c r="G26" s="3358"/>
      <c r="H26" s="3358"/>
      <c r="I26" s="3358"/>
      <c r="J26" s="3346"/>
      <c r="K26" s="3359"/>
      <c r="L26" s="3360"/>
      <c r="M26" s="3360"/>
      <c r="N26" s="3360"/>
      <c r="O26" s="3360"/>
      <c r="P26" s="3360"/>
      <c r="Q26" s="3346"/>
      <c r="R26" s="3373"/>
      <c r="S26" s="3374"/>
      <c r="T26" s="3375"/>
      <c r="U26" s="3373"/>
      <c r="V26" s="3376"/>
      <c r="W26" s="3373"/>
      <c r="X26" s="3346"/>
      <c r="Y26" s="3363"/>
      <c r="Z26" s="3383"/>
      <c r="AA26" s="3384"/>
      <c r="AB26" s="3363"/>
      <c r="AC26" s="3385"/>
      <c r="AD26" s="3363"/>
    </row>
    <row r="27" spans="1:30">
      <c r="A27" s="3659" t="s">
        <v>3259</v>
      </c>
      <c r="B27" s="3399">
        <v>2023</v>
      </c>
      <c r="C27" s="3400">
        <v>4</v>
      </c>
      <c r="D27" s="3400"/>
      <c r="E27" s="3400">
        <v>0</v>
      </c>
      <c r="F27" s="3400">
        <v>0</v>
      </c>
      <c r="G27" s="3400">
        <v>0</v>
      </c>
      <c r="H27" s="3400"/>
      <c r="I27" s="3401">
        <f t="shared" ref="I27:I40" si="37">F27</f>
        <v>0</v>
      </c>
      <c r="J27" s="3361"/>
      <c r="K27" s="3362"/>
      <c r="L27" s="3363">
        <f t="shared" ref="L27:N40" si="38">E27/100</f>
        <v>0</v>
      </c>
      <c r="M27" s="3363">
        <f t="shared" si="38"/>
        <v>0</v>
      </c>
      <c r="N27" s="3363">
        <f t="shared" si="38"/>
        <v>0</v>
      </c>
      <c r="O27" s="3363"/>
      <c r="P27" s="3363">
        <f>M27</f>
        <v>0</v>
      </c>
      <c r="Q27" s="3361"/>
      <c r="R27" s="3377"/>
      <c r="S27" s="3377">
        <f>ROUND(IF(项目基本情况!$B$8="出让",SUMPRODUCT(PRODUCT(1+L27:L$40)),SUMPRODUCT(PRODUCT(1+L27:L$39))),4)</f>
        <v>1.0468</v>
      </c>
      <c r="T27" s="3377">
        <f>ROUND(IF(项目基本情况!$B$8="出让",SUMPRODUCT(PRODUCT(1+M27:M$40)),SUMPRODUCT(PRODUCT(1+M27:M$39))),4)</f>
        <v>1.0337000000000001</v>
      </c>
      <c r="U27" s="3377">
        <f>ROUND(IF(项目基本情况!$B$8="出让",SUMPRODUCT(PRODUCT(1+N27:N$40)),SUMPRODUCT(PRODUCT(1+N27:N$39))),4)</f>
        <v>1.0828</v>
      </c>
      <c r="V27" s="3377"/>
      <c r="W27" s="3377">
        <f>T27</f>
        <v>1.0337000000000001</v>
      </c>
      <c r="X27" s="3361"/>
      <c r="Y27" s="3386"/>
      <c r="Z27" s="3387">
        <f>IF(E27=0,0,ROUND(AVERAGE(E27:E40)/100,4))</f>
        <v>0</v>
      </c>
      <c r="AA27" s="3387">
        <f>IF(F27=0,0,ROUND(AVERAGE(F27:F40)/100,4))</f>
        <v>0</v>
      </c>
      <c r="AB27" s="3387">
        <f>IF(G27=0,0,ROUND(AVERAGE(G27:G40)/100,4))</f>
        <v>0</v>
      </c>
      <c r="AC27" s="3388"/>
      <c r="AD27" s="3386">
        <f>IF(I27=0,0,ROUND(AVERAGE(I27:I40)/100,4))</f>
        <v>0</v>
      </c>
    </row>
    <row r="28" spans="1:30">
      <c r="A28" s="3659" t="s">
        <v>3260</v>
      </c>
      <c r="B28" s="3399">
        <v>2023</v>
      </c>
      <c r="C28" s="3400">
        <v>3</v>
      </c>
      <c r="D28" s="3400"/>
      <c r="E28" s="3400">
        <v>0</v>
      </c>
      <c r="F28" s="3400">
        <v>0</v>
      </c>
      <c r="G28" s="3400">
        <v>0</v>
      </c>
      <c r="H28" s="3406"/>
      <c r="I28" s="3401">
        <f t="shared" si="37"/>
        <v>0</v>
      </c>
      <c r="J28" s="3361"/>
      <c r="K28" s="3362"/>
      <c r="L28" s="3363">
        <f t="shared" ref="L28" si="39">E28/100</f>
        <v>0</v>
      </c>
      <c r="M28" s="3363">
        <f t="shared" ref="M28" si="40">F28/100</f>
        <v>0</v>
      </c>
      <c r="N28" s="3363">
        <f t="shared" ref="N28" si="41">G28/100</f>
        <v>0</v>
      </c>
      <c r="O28" s="3363"/>
      <c r="P28" s="3363">
        <f t="shared" ref="P28" si="42">M28</f>
        <v>0</v>
      </c>
      <c r="Q28" s="3361"/>
      <c r="R28" s="3377"/>
      <c r="S28" s="3377">
        <f>ROUND(IF(项目基本情况!$B$8="出让",SUMPRODUCT(PRODUCT(1+L28:L$40)),SUMPRODUCT(PRODUCT(1+L28:L$39))),4)</f>
        <v>1.0468</v>
      </c>
      <c r="T28" s="3377">
        <f>ROUND(IF(项目基本情况!$B$8="出让",SUMPRODUCT(PRODUCT(1+M28:M$40)),SUMPRODUCT(PRODUCT(1+M28:M$39))),4)</f>
        <v>1.0337000000000001</v>
      </c>
      <c r="U28" s="3377">
        <f>ROUND(IF(项目基本情况!$B$8="出让",SUMPRODUCT(PRODUCT(1+N28:N$40)),SUMPRODUCT(PRODUCT(1+N28:N$39))),4)</f>
        <v>1.0828</v>
      </c>
      <c r="V28" s="3377"/>
      <c r="W28" s="3377">
        <f t="shared" ref="W28" si="43">T28</f>
        <v>1.0337000000000001</v>
      </c>
      <c r="X28" s="3361"/>
      <c r="Y28" s="3386"/>
      <c r="Z28" s="3387">
        <f t="shared" ref="Z28" si="44">IF(E28=0,0,ROUND(AVERAGE(E28:E39)/100,4))</f>
        <v>0</v>
      </c>
      <c r="AA28" s="3389">
        <f t="shared" ref="AA28" si="45">IF(F28=0,0,ROUND(AVERAGE(F28:F39)/100,4))</f>
        <v>0</v>
      </c>
      <c r="AB28" s="3386">
        <f t="shared" ref="AB28" si="46">IF(G28=0,0,ROUND(AVERAGE(G28:G39)/100,4))</f>
        <v>0</v>
      </c>
      <c r="AC28" s="3388"/>
      <c r="AD28" s="3386">
        <f t="shared" ref="AD28" si="47">IF(I28=0,0,ROUND(AVERAGE(I28:I39)/100,4))</f>
        <v>0</v>
      </c>
    </row>
    <row r="29" spans="1:30">
      <c r="A29" s="3659" t="s">
        <v>3261</v>
      </c>
      <c r="B29" s="3399">
        <v>2023</v>
      </c>
      <c r="C29" s="3400">
        <v>3</v>
      </c>
      <c r="D29" s="3400"/>
      <c r="E29" s="3400">
        <v>0</v>
      </c>
      <c r="F29" s="3400">
        <v>0</v>
      </c>
      <c r="G29" s="3400">
        <v>0</v>
      </c>
      <c r="H29" s="3406"/>
      <c r="I29" s="3401">
        <f t="shared" ref="I29" si="48">F29</f>
        <v>0</v>
      </c>
      <c r="J29" s="3361"/>
      <c r="K29" s="3362"/>
      <c r="L29" s="3363">
        <f t="shared" si="38"/>
        <v>0</v>
      </c>
      <c r="M29" s="3363">
        <f t="shared" si="38"/>
        <v>0</v>
      </c>
      <c r="N29" s="3363">
        <f t="shared" si="38"/>
        <v>0</v>
      </c>
      <c r="O29" s="3363"/>
      <c r="P29" s="3363">
        <f t="shared" ref="P29" si="49">M29</f>
        <v>0</v>
      </c>
      <c r="Q29" s="3361"/>
      <c r="R29" s="3377"/>
      <c r="S29" s="3377">
        <f>ROUND(IF(项目基本情况!$B$8="出让",SUMPRODUCT(PRODUCT(1+L29:L$40)),SUMPRODUCT(PRODUCT(1+L29:L$39))),4)</f>
        <v>1.0468</v>
      </c>
      <c r="T29" s="3377">
        <f>ROUND(IF(项目基本情况!$B$8="出让",SUMPRODUCT(PRODUCT(1+M29:M$40)),SUMPRODUCT(PRODUCT(1+M29:M$39))),4)</f>
        <v>1.0337000000000001</v>
      </c>
      <c r="U29" s="3377">
        <f>ROUND(IF(项目基本情况!$B$8="出让",SUMPRODUCT(PRODUCT(1+N29:N$40)),SUMPRODUCT(PRODUCT(1+N29:N$39))),4)</f>
        <v>1.0828</v>
      </c>
      <c r="V29" s="3377"/>
      <c r="W29" s="3377">
        <f t="shared" ref="W29" si="50">T29</f>
        <v>1.0337000000000001</v>
      </c>
      <c r="X29" s="3361"/>
      <c r="Y29" s="3386"/>
      <c r="Z29" s="3387">
        <f t="shared" ref="Z29" si="51">IF(E29=0,0,ROUND(AVERAGE(E29:E40)/100,4))</f>
        <v>0</v>
      </c>
      <c r="AA29" s="3389">
        <f t="shared" ref="AA29" si="52">IF(F29=0,0,ROUND(AVERAGE(F29:F40)/100,4))</f>
        <v>0</v>
      </c>
      <c r="AB29" s="3386">
        <f t="shared" ref="AB29" si="53">IF(G29=0,0,ROUND(AVERAGE(G29:G40)/100,4))</f>
        <v>0</v>
      </c>
      <c r="AC29" s="3388"/>
      <c r="AD29" s="3386">
        <f t="shared" ref="AD29" si="54">IF(I29=0,0,ROUND(AVERAGE(I29:I40)/100,4))</f>
        <v>0</v>
      </c>
    </row>
    <row r="30" spans="1:30">
      <c r="A30" s="3341" t="s">
        <v>3257</v>
      </c>
      <c r="B30" s="3402">
        <v>2023</v>
      </c>
      <c r="C30" s="3403">
        <v>3</v>
      </c>
      <c r="D30" s="3403"/>
      <c r="E30" s="3403">
        <v>0.35</v>
      </c>
      <c r="F30" s="3403">
        <v>0.17</v>
      </c>
      <c r="G30" s="3403">
        <v>0.52</v>
      </c>
      <c r="H30" s="3404"/>
      <c r="I30" s="3405">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64"/>
      <c r="S30" s="3364">
        <f>ROUND(IF(项目基本情况!$B$8="出让",SUMPRODUCT(PRODUCT(1+L30:L$40)),SUMPRODUCT(PRODUCT(1+L30:L$39))),4)</f>
        <v>1.0468</v>
      </c>
      <c r="T30" s="3364">
        <f>ROUND(IF(项目基本情况!$B$8="出让",SUMPRODUCT(PRODUCT(1+M30:M$40)),SUMPRODUCT(PRODUCT(1+M30:M$39))),4)</f>
        <v>1.0337000000000001</v>
      </c>
      <c r="U30" s="3364">
        <f>ROUND(IF(项目基本情况!$B$8="出让",SUMPRODUCT(PRODUCT(1+N30:N$40)),SUMPRODUCT(PRODUCT(1+N30:N$39))),4)</f>
        <v>1.0828</v>
      </c>
      <c r="V30" s="3364"/>
      <c r="W30" s="3364">
        <f t="shared" ref="W30:W32" si="59">T30</f>
        <v>1.0337000000000001</v>
      </c>
      <c r="X30" s="3364"/>
      <c r="Y30" s="3366"/>
      <c r="Z30" s="3390">
        <f t="shared" ref="Z30:AB30" si="60">IF(E30=0,0,ROUND(AVERAGE(E30:E41)/100,4))</f>
        <v>4.1999999999999997E-3</v>
      </c>
      <c r="AA30" s="3391">
        <f t="shared" si="60"/>
        <v>3.0000000000000001E-3</v>
      </c>
      <c r="AB30" s="3366">
        <f t="shared" si="60"/>
        <v>7.3000000000000001E-3</v>
      </c>
      <c r="AC30" s="3392"/>
      <c r="AD30" s="3366">
        <f t="shared" ref="AD30:AD32" si="61">IF(I30=0,0,ROUND(AVERAGE(I30:I41)/100,4))</f>
        <v>3.0000000000000001E-3</v>
      </c>
    </row>
    <row r="31" spans="1:30">
      <c r="A31" s="3340" t="s">
        <v>3258</v>
      </c>
      <c r="B31" s="3399">
        <v>2023</v>
      </c>
      <c r="C31" s="3400">
        <v>2</v>
      </c>
      <c r="D31" s="3400"/>
      <c r="E31" s="3400">
        <v>0.5</v>
      </c>
      <c r="F31" s="3400">
        <v>0.45</v>
      </c>
      <c r="G31" s="3400">
        <v>0.89</v>
      </c>
      <c r="H31" s="3406"/>
      <c r="I31" s="3401">
        <f t="shared" si="37"/>
        <v>0.45</v>
      </c>
      <c r="J31" s="3361"/>
      <c r="K31" s="3362"/>
      <c r="L31" s="3363">
        <f t="shared" si="55"/>
        <v>5.0000000000000001E-3</v>
      </c>
      <c r="M31" s="3363">
        <f t="shared" si="56"/>
        <v>4.5000000000000005E-3</v>
      </c>
      <c r="N31" s="3363">
        <f t="shared" si="57"/>
        <v>8.8999999999999999E-3</v>
      </c>
      <c r="O31" s="3363"/>
      <c r="P31" s="3363">
        <f t="shared" si="58"/>
        <v>4.5000000000000005E-3</v>
      </c>
      <c r="Q31" s="3361"/>
      <c r="R31" s="3377"/>
      <c r="S31" s="3377">
        <f>ROUND(IF(项目基本情况!$B$8="出让",SUMPRODUCT(PRODUCT(1+L31:L$40)),SUMPRODUCT(PRODUCT(1+L31:L$39))),4)</f>
        <v>1.0431999999999999</v>
      </c>
      <c r="T31" s="3377">
        <f>ROUND(IF(项目基本情况!$B$8="出让",SUMPRODUCT(PRODUCT(1+M31:M$40)),SUMPRODUCT(PRODUCT(1+M31:M$39))),4)</f>
        <v>1.0319</v>
      </c>
      <c r="U31" s="3377">
        <f>ROUND(IF(项目基本情况!$B$8="出让",SUMPRODUCT(PRODUCT(1+N31:N$40)),SUMPRODUCT(PRODUCT(1+N31:N$39))),4)</f>
        <v>1.0771999999999999</v>
      </c>
      <c r="V31" s="3377"/>
      <c r="W31" s="3377">
        <f t="shared" si="59"/>
        <v>1.0319</v>
      </c>
      <c r="X31" s="3361"/>
      <c r="Y31" s="3386"/>
      <c r="Z31" s="3387">
        <f t="shared" ref="Z31:AB31" si="62">IF(E31=0,0,ROUND(AVERAGE(E31:E42)/100,4))</f>
        <v>4.1999999999999997E-3</v>
      </c>
      <c r="AA31" s="3389">
        <f t="shared" si="62"/>
        <v>3.2000000000000002E-3</v>
      </c>
      <c r="AB31" s="3386">
        <f t="shared" si="62"/>
        <v>7.4999999999999997E-3</v>
      </c>
      <c r="AC31" s="3388"/>
      <c r="AD31" s="3386">
        <f t="shared" si="61"/>
        <v>3.2000000000000002E-3</v>
      </c>
    </row>
    <row r="32" spans="1:30">
      <c r="A32" s="3340" t="s">
        <v>3254</v>
      </c>
      <c r="B32" s="3399">
        <v>2023</v>
      </c>
      <c r="C32" s="3400">
        <v>1</v>
      </c>
      <c r="D32" s="3400"/>
      <c r="E32" s="3400">
        <v>0.55000000000000004</v>
      </c>
      <c r="F32" s="3400">
        <v>0.59</v>
      </c>
      <c r="G32" s="3400">
        <v>0.64</v>
      </c>
      <c r="H32" s="3406"/>
      <c r="I32" s="3401">
        <f t="shared" si="37"/>
        <v>0.59</v>
      </c>
      <c r="J32" s="3361"/>
      <c r="K32" s="3362"/>
      <c r="L32" s="3363">
        <f t="shared" si="55"/>
        <v>5.5000000000000005E-3</v>
      </c>
      <c r="M32" s="3363">
        <f t="shared" si="56"/>
        <v>5.8999999999999999E-3</v>
      </c>
      <c r="N32" s="3363">
        <f t="shared" si="57"/>
        <v>6.4000000000000003E-3</v>
      </c>
      <c r="O32" s="3363"/>
      <c r="P32" s="3363">
        <f t="shared" si="58"/>
        <v>5.8999999999999999E-3</v>
      </c>
      <c r="Q32" s="3361"/>
      <c r="R32" s="3377"/>
      <c r="S32" s="3377">
        <f>ROUND(IF(项目基本情况!$B$8="出让",SUMPRODUCT(PRODUCT(1+L32:L$40)),SUMPRODUCT(PRODUCT(1+L32:L$39))),4)</f>
        <v>1.038</v>
      </c>
      <c r="T32" s="3377">
        <f>ROUND(IF(项目基本情况!$B$8="出让",SUMPRODUCT(PRODUCT(1+M32:M$40)),SUMPRODUCT(PRODUCT(1+M32:M$39))),4)</f>
        <v>1.0273000000000001</v>
      </c>
      <c r="U32" s="3377">
        <f>ROUND(IF(项目基本情况!$B$8="出让",SUMPRODUCT(PRODUCT(1+N32:N$40)),SUMPRODUCT(PRODUCT(1+N32:N$39))),4)</f>
        <v>1.0677000000000001</v>
      </c>
      <c r="V32" s="3377"/>
      <c r="W32" s="3377">
        <f t="shared" si="59"/>
        <v>1.0273000000000001</v>
      </c>
      <c r="X32" s="3361"/>
      <c r="Y32" s="3386"/>
      <c r="Z32" s="3387">
        <f t="shared" ref="Z32:AB32" si="63">IF(E32=0,0,ROUND(AVERAGE(E32:E43)/100,4))</f>
        <v>4.1999999999999997E-3</v>
      </c>
      <c r="AA32" s="3389">
        <f t="shared" si="63"/>
        <v>3.0000000000000001E-3</v>
      </c>
      <c r="AB32" s="3386">
        <f t="shared" si="63"/>
        <v>7.3000000000000001E-3</v>
      </c>
      <c r="AC32" s="3388"/>
      <c r="AD32" s="3386">
        <f t="shared" si="61"/>
        <v>3.0000000000000001E-3</v>
      </c>
    </row>
    <row r="33" spans="1:30">
      <c r="A33" s="3340" t="s">
        <v>3252</v>
      </c>
      <c r="B33" s="3399">
        <v>2022</v>
      </c>
      <c r="C33" s="3400">
        <v>4</v>
      </c>
      <c r="D33" s="3400"/>
      <c r="E33" s="3400">
        <v>0.45</v>
      </c>
      <c r="F33" s="3400">
        <v>0.2</v>
      </c>
      <c r="G33" s="3400">
        <v>0.38</v>
      </c>
      <c r="H33" s="3406"/>
      <c r="I33" s="3401">
        <f t="shared" si="37"/>
        <v>0.2</v>
      </c>
      <c r="J33" s="3361"/>
      <c r="K33" s="3362"/>
      <c r="L33" s="3363">
        <f t="shared" si="38"/>
        <v>4.5000000000000005E-3</v>
      </c>
      <c r="M33" s="3363">
        <f t="shared" si="38"/>
        <v>2E-3</v>
      </c>
      <c r="N33" s="3363">
        <f t="shared" si="38"/>
        <v>3.8E-3</v>
      </c>
      <c r="O33" s="3363"/>
      <c r="P33" s="3363">
        <f t="shared" ref="P33:P40" si="64">M33</f>
        <v>2E-3</v>
      </c>
      <c r="Q33" s="3361"/>
      <c r="R33" s="3377"/>
      <c r="S33" s="3377">
        <f>ROUND(IF(项目基本情况!$B$8="出让",SUMPRODUCT(PRODUCT(1+L33:L$40)),SUMPRODUCT(PRODUCT(1+L33:L$39))),4)</f>
        <v>1.0323</v>
      </c>
      <c r="T33" s="3377">
        <f>ROUND(IF(项目基本情况!$B$8="出让",SUMPRODUCT(PRODUCT(1+M33:M$40)),SUMPRODUCT(PRODUCT(1+M33:M$39))),4)</f>
        <v>1.0213000000000001</v>
      </c>
      <c r="U33" s="3377">
        <f>ROUND(IF(项目基本情况!$B$8="出让",SUMPRODUCT(PRODUCT(1+N33:N$40)),SUMPRODUCT(PRODUCT(1+N33:N$39))),4)</f>
        <v>1.0609</v>
      </c>
      <c r="V33" s="3377"/>
      <c r="W33" s="3377">
        <f t="shared" ref="W33:W40" si="65">T33</f>
        <v>1.0213000000000001</v>
      </c>
      <c r="X33" s="3361"/>
      <c r="Y33" s="3386"/>
      <c r="Z33" s="3387">
        <f t="shared" ref="Z33:AD40" si="66">IF(E33=0,0,ROUND(AVERAGE(E33:E41)/100,4))</f>
        <v>4.0000000000000001E-3</v>
      </c>
      <c r="AA33" s="3389">
        <f t="shared" si="66"/>
        <v>2.5999999999999999E-3</v>
      </c>
      <c r="AB33" s="3386">
        <f t="shared" si="66"/>
        <v>7.4000000000000003E-3</v>
      </c>
      <c r="AC33" s="3388"/>
      <c r="AD33" s="3386">
        <f t="shared" si="66"/>
        <v>2.5999999999999999E-3</v>
      </c>
    </row>
    <row r="34" spans="1:30">
      <c r="A34" s="3340" t="s">
        <v>3248</v>
      </c>
      <c r="B34" s="3399">
        <v>2022</v>
      </c>
      <c r="C34" s="3400">
        <v>3</v>
      </c>
      <c r="D34" s="3400"/>
      <c r="E34" s="3400">
        <v>0.3</v>
      </c>
      <c r="F34" s="3400">
        <v>0.28999999999999998</v>
      </c>
      <c r="G34" s="3400">
        <v>0.83</v>
      </c>
      <c r="H34" s="3406"/>
      <c r="I34" s="3401">
        <f t="shared" si="37"/>
        <v>0.28999999999999998</v>
      </c>
      <c r="J34" s="3361"/>
      <c r="K34" s="3362"/>
      <c r="L34" s="3363">
        <f t="shared" si="38"/>
        <v>3.0000000000000001E-3</v>
      </c>
      <c r="M34" s="3363">
        <f t="shared" si="38"/>
        <v>2.8999999999999998E-3</v>
      </c>
      <c r="N34" s="3363">
        <f t="shared" si="38"/>
        <v>8.3000000000000001E-3</v>
      </c>
      <c r="O34" s="3363"/>
      <c r="P34" s="3363">
        <f t="shared" si="64"/>
        <v>2.8999999999999998E-3</v>
      </c>
      <c r="Q34" s="3361"/>
      <c r="R34" s="3377"/>
      <c r="S34" s="3377">
        <f>ROUND(IF(项目基本情况!$B$8="出让",SUMPRODUCT(PRODUCT(1+L34:L$40)),SUMPRODUCT(PRODUCT(1+L34:L$39))),4)</f>
        <v>1.0277000000000001</v>
      </c>
      <c r="T34" s="3377">
        <f>ROUND(IF(项目基本情况!$B$8="出让",SUMPRODUCT(PRODUCT(1+M34:M$40)),SUMPRODUCT(PRODUCT(1+M34:M$39))),4)</f>
        <v>1.0192000000000001</v>
      </c>
      <c r="U34" s="3377">
        <f>ROUND(IF(项目基本情况!$B$8="出让",SUMPRODUCT(PRODUCT(1+N34:N$40)),SUMPRODUCT(PRODUCT(1+N34:N$39))),4)</f>
        <v>1.0569</v>
      </c>
      <c r="V34" s="3377"/>
      <c r="W34" s="3377">
        <f t="shared" si="65"/>
        <v>1.0192000000000001</v>
      </c>
      <c r="X34" s="3361"/>
      <c r="Y34" s="3386"/>
      <c r="Z34" s="3387">
        <f t="shared" si="66"/>
        <v>3.8999999999999998E-3</v>
      </c>
      <c r="AA34" s="3389">
        <f t="shared" si="66"/>
        <v>2.7000000000000001E-3</v>
      </c>
      <c r="AB34" s="3386">
        <f t="shared" si="66"/>
        <v>7.9000000000000008E-3</v>
      </c>
      <c r="AC34" s="3388"/>
      <c r="AD34" s="3386">
        <f t="shared" si="66"/>
        <v>2.7000000000000001E-3</v>
      </c>
    </row>
    <row r="35" spans="1:30">
      <c r="A35" s="3340" t="s">
        <v>3247</v>
      </c>
      <c r="B35" s="3399">
        <v>2022</v>
      </c>
      <c r="C35" s="3400">
        <v>2</v>
      </c>
      <c r="D35" s="3400"/>
      <c r="E35" s="3400">
        <v>-0.11</v>
      </c>
      <c r="F35" s="3400">
        <v>-0.13</v>
      </c>
      <c r="G35" s="3400">
        <v>0.53</v>
      </c>
      <c r="H35" s="3406"/>
      <c r="I35" s="3401">
        <f t="shared" si="37"/>
        <v>-0.13</v>
      </c>
      <c r="J35" s="3361"/>
      <c r="K35" s="3362"/>
      <c r="L35" s="3363">
        <f t="shared" si="38"/>
        <v>-1.1000000000000001E-3</v>
      </c>
      <c r="M35" s="3363">
        <f t="shared" si="38"/>
        <v>-1.2999999999999999E-3</v>
      </c>
      <c r="N35" s="3363">
        <f t="shared" si="38"/>
        <v>5.3E-3</v>
      </c>
      <c r="O35" s="3363"/>
      <c r="P35" s="3363">
        <f t="shared" si="64"/>
        <v>-1.2999999999999999E-3</v>
      </c>
      <c r="Q35" s="3361"/>
      <c r="R35" s="3377"/>
      <c r="S35" s="3377">
        <f>ROUND(IF(项目基本情况!$B$8="出让",SUMPRODUCT(PRODUCT(1+L35:L$40)),SUMPRODUCT(PRODUCT(1+L35:L$39))),4)</f>
        <v>1.0246</v>
      </c>
      <c r="T35" s="3377">
        <f>ROUND(IF(项目基本情况!$B$8="出让",SUMPRODUCT(PRODUCT(1+M35:M$40)),SUMPRODUCT(PRODUCT(1+M35:M$39))),4)</f>
        <v>1.0163</v>
      </c>
      <c r="U35" s="3377">
        <f>ROUND(IF(项目基本情况!$B$8="出让",SUMPRODUCT(PRODUCT(1+N35:N$40)),SUMPRODUCT(PRODUCT(1+N35:N$39))),4)</f>
        <v>1.0482</v>
      </c>
      <c r="V35" s="3377"/>
      <c r="W35" s="3377">
        <f t="shared" si="65"/>
        <v>1.0163</v>
      </c>
      <c r="X35" s="3361"/>
      <c r="Y35" s="3386"/>
      <c r="Z35" s="3387">
        <f t="shared" si="66"/>
        <v>4.1000000000000003E-3</v>
      </c>
      <c r="AA35" s="3389">
        <f t="shared" si="66"/>
        <v>2.7000000000000001E-3</v>
      </c>
      <c r="AB35" s="3386">
        <f t="shared" si="66"/>
        <v>7.9000000000000008E-3</v>
      </c>
      <c r="AC35" s="3388"/>
      <c r="AD35" s="3386">
        <f t="shared" si="66"/>
        <v>2.7000000000000001E-3</v>
      </c>
    </row>
    <row r="36" spans="1:30">
      <c r="A36" s="3340" t="s">
        <v>2782</v>
      </c>
      <c r="B36" s="3399">
        <v>2022</v>
      </c>
      <c r="C36" s="3400">
        <v>1</v>
      </c>
      <c r="D36" s="3400"/>
      <c r="E36" s="3400">
        <v>0.6</v>
      </c>
      <c r="F36" s="3400">
        <v>0.45</v>
      </c>
      <c r="G36" s="3400">
        <v>0.53</v>
      </c>
      <c r="H36" s="3406"/>
      <c r="I36" s="3401">
        <f t="shared" si="37"/>
        <v>0.45</v>
      </c>
      <c r="J36" s="3361"/>
      <c r="K36" s="3362"/>
      <c r="L36" s="3363">
        <f t="shared" si="38"/>
        <v>6.0000000000000001E-3</v>
      </c>
      <c r="M36" s="3363">
        <f t="shared" si="38"/>
        <v>4.5000000000000005E-3</v>
      </c>
      <c r="N36" s="3363">
        <f t="shared" si="38"/>
        <v>5.3E-3</v>
      </c>
      <c r="O36" s="3363"/>
      <c r="P36" s="3363">
        <f t="shared" si="64"/>
        <v>4.5000000000000005E-3</v>
      </c>
      <c r="Q36" s="3361"/>
      <c r="R36" s="3377"/>
      <c r="S36" s="3377">
        <f>ROUND(IF(项目基本情况!$B$8="出让",SUMPRODUCT(PRODUCT(1+L36:L$40)),SUMPRODUCT(PRODUCT(1+L36:L$39))),4)</f>
        <v>1.0258</v>
      </c>
      <c r="T36" s="3377">
        <f>ROUND(IF(项目基本情况!$B$8="出让",SUMPRODUCT(PRODUCT(1+M36:M$40)),SUMPRODUCT(PRODUCT(1+M36:M$39))),4)</f>
        <v>1.0176000000000001</v>
      </c>
      <c r="U36" s="3377">
        <f>ROUND(IF(项目基本情况!$B$8="出让",SUMPRODUCT(PRODUCT(1+N36:N$40)),SUMPRODUCT(PRODUCT(1+N36:N$39))),4)</f>
        <v>1.0427</v>
      </c>
      <c r="V36" s="3377"/>
      <c r="W36" s="3377">
        <f t="shared" si="65"/>
        <v>1.0176000000000001</v>
      </c>
      <c r="X36" s="3361"/>
      <c r="Y36" s="3386"/>
      <c r="Z36" s="3387">
        <f t="shared" si="66"/>
        <v>5.1000000000000004E-3</v>
      </c>
      <c r="AA36" s="3389">
        <f t="shared" si="66"/>
        <v>3.5000000000000001E-3</v>
      </c>
      <c r="AB36" s="3386">
        <f t="shared" si="66"/>
        <v>8.3999999999999995E-3</v>
      </c>
      <c r="AC36" s="3388"/>
      <c r="AD36" s="3386">
        <f t="shared" si="66"/>
        <v>3.5000000000000001E-3</v>
      </c>
    </row>
    <row r="37" spans="1:30">
      <c r="A37" s="3340" t="s">
        <v>2783</v>
      </c>
      <c r="B37" s="3399">
        <v>2021</v>
      </c>
      <c r="C37" s="3400">
        <v>4</v>
      </c>
      <c r="D37" s="3400"/>
      <c r="E37" s="3400">
        <v>0.57999999999999996</v>
      </c>
      <c r="F37" s="3400">
        <v>0.08</v>
      </c>
      <c r="G37" s="3400">
        <v>0.68</v>
      </c>
      <c r="H37" s="3406"/>
      <c r="I37" s="3401">
        <f t="shared" si="37"/>
        <v>0.08</v>
      </c>
      <c r="J37" s="3361"/>
      <c r="K37" s="3362"/>
      <c r="L37" s="3363">
        <f t="shared" si="38"/>
        <v>5.7999999999999996E-3</v>
      </c>
      <c r="M37" s="3363">
        <f t="shared" si="38"/>
        <v>8.0000000000000004E-4</v>
      </c>
      <c r="N37" s="3363">
        <f t="shared" si="38"/>
        <v>6.8000000000000005E-3</v>
      </c>
      <c r="O37" s="3363"/>
      <c r="P37" s="3363">
        <f t="shared" si="64"/>
        <v>8.0000000000000004E-4</v>
      </c>
      <c r="Q37" s="3361"/>
      <c r="R37" s="3377"/>
      <c r="S37" s="3377">
        <f>ROUND(IF(项目基本情况!$B$8="出让",SUMPRODUCT(PRODUCT(1+L37:L$40)),SUMPRODUCT(PRODUCT(1+L37:L$39))),4)</f>
        <v>1.0196000000000001</v>
      </c>
      <c r="T37" s="3377">
        <f>ROUND(IF(项目基本情况!$B$8="出让",SUMPRODUCT(PRODUCT(1+M37:M$40)),SUMPRODUCT(PRODUCT(1+M37:M$39))),4)</f>
        <v>1.0130999999999999</v>
      </c>
      <c r="U37" s="3377">
        <f>ROUND(IF(项目基本情况!$B$8="出让",SUMPRODUCT(PRODUCT(1+N37:N$40)),SUMPRODUCT(PRODUCT(1+N37:N$39))),4)</f>
        <v>1.0371999999999999</v>
      </c>
      <c r="V37" s="3377"/>
      <c r="W37" s="3377">
        <f t="shared" si="65"/>
        <v>1.0130999999999999</v>
      </c>
      <c r="X37" s="3361"/>
      <c r="Y37" s="3386"/>
      <c r="Z37" s="3387">
        <f t="shared" si="66"/>
        <v>4.8999999999999998E-3</v>
      </c>
      <c r="AA37" s="3389">
        <f t="shared" si="66"/>
        <v>3.3E-3</v>
      </c>
      <c r="AB37" s="3386">
        <f t="shared" si="66"/>
        <v>9.1999999999999998E-3</v>
      </c>
      <c r="AC37" s="3388"/>
      <c r="AD37" s="3386">
        <f t="shared" si="66"/>
        <v>3.3E-3</v>
      </c>
    </row>
    <row r="38" spans="1:30">
      <c r="A38" s="3340" t="s">
        <v>2784</v>
      </c>
      <c r="B38" s="3399">
        <v>2021</v>
      </c>
      <c r="C38" s="3400">
        <v>3</v>
      </c>
      <c r="D38" s="3400"/>
      <c r="E38" s="3400">
        <v>0.47</v>
      </c>
      <c r="F38" s="3400">
        <v>0.28000000000000003</v>
      </c>
      <c r="G38" s="3400">
        <v>0.91</v>
      </c>
      <c r="H38" s="3406"/>
      <c r="I38" s="3401">
        <f t="shared" si="37"/>
        <v>0.28000000000000003</v>
      </c>
      <c r="J38" s="3361"/>
      <c r="K38" s="3362"/>
      <c r="L38" s="3363">
        <f t="shared" si="38"/>
        <v>4.6999999999999993E-3</v>
      </c>
      <c r="M38" s="3363">
        <f t="shared" si="38"/>
        <v>2.8000000000000004E-3</v>
      </c>
      <c r="N38" s="3363">
        <f t="shared" si="38"/>
        <v>9.1000000000000004E-3</v>
      </c>
      <c r="O38" s="3363"/>
      <c r="P38" s="3363">
        <f t="shared" si="64"/>
        <v>2.8000000000000004E-3</v>
      </c>
      <c r="Q38" s="3361"/>
      <c r="R38" s="3377"/>
      <c r="S38" s="3377">
        <f>ROUND(IF(项目基本情况!$B$8="出让",SUMPRODUCT(PRODUCT(1+L38:L$40)),SUMPRODUCT(PRODUCT(1+L38:L$39))),4)</f>
        <v>1.0138</v>
      </c>
      <c r="T38" s="3377">
        <f>ROUND(IF(项目基本情况!$B$8="出让",SUMPRODUCT(PRODUCT(1+M38:M$40)),SUMPRODUCT(PRODUCT(1+M38:M$39))),4)</f>
        <v>1.0122</v>
      </c>
      <c r="U38" s="3377">
        <f>ROUND(IF(项目基本情况!$B$8="出让",SUMPRODUCT(PRODUCT(1+N38:N$40)),SUMPRODUCT(PRODUCT(1+N38:N$39))),4)</f>
        <v>1.0302</v>
      </c>
      <c r="V38" s="3377"/>
      <c r="W38" s="3377">
        <f t="shared" si="65"/>
        <v>1.0122</v>
      </c>
      <c r="X38" s="3361"/>
      <c r="Y38" s="3386"/>
      <c r="Z38" s="3387">
        <f t="shared" si="66"/>
        <v>4.5999999999999999E-3</v>
      </c>
      <c r="AA38" s="3389">
        <f t="shared" si="66"/>
        <v>4.1000000000000003E-3</v>
      </c>
      <c r="AB38" s="3386">
        <f t="shared" si="66"/>
        <v>0.01</v>
      </c>
      <c r="AC38" s="3388"/>
      <c r="AD38" s="3386">
        <f t="shared" si="66"/>
        <v>4.1000000000000003E-3</v>
      </c>
    </row>
    <row r="39" spans="1:30">
      <c r="A39" s="3340" t="s">
        <v>2788</v>
      </c>
      <c r="B39" s="3399">
        <v>2021</v>
      </c>
      <c r="C39" s="3400">
        <v>2</v>
      </c>
      <c r="D39" s="3400"/>
      <c r="E39" s="3400">
        <v>0.55000000000000004</v>
      </c>
      <c r="F39" s="3400">
        <v>0.46</v>
      </c>
      <c r="G39" s="3400">
        <v>1.1000000000000001</v>
      </c>
      <c r="H39" s="3406"/>
      <c r="I39" s="3401">
        <f t="shared" si="37"/>
        <v>0.46</v>
      </c>
      <c r="J39" s="3361"/>
      <c r="K39" s="3362"/>
      <c r="L39" s="3363">
        <f t="shared" si="38"/>
        <v>5.5000000000000005E-3</v>
      </c>
      <c r="M39" s="3363">
        <f t="shared" si="38"/>
        <v>4.5999999999999999E-3</v>
      </c>
      <c r="N39" s="3363">
        <f t="shared" si="38"/>
        <v>1.1000000000000001E-2</v>
      </c>
      <c r="O39" s="3363"/>
      <c r="P39" s="3363">
        <f t="shared" si="64"/>
        <v>4.5999999999999999E-3</v>
      </c>
      <c r="Q39" s="3361"/>
      <c r="R39" s="3377"/>
      <c r="S39" s="3377">
        <f>ROUND(IF(项目基本情况!$B$8="出让",SUMPRODUCT(PRODUCT(1+L39:L$40)),SUMPRODUCT(PRODUCT(1+L39:L$39))),4)</f>
        <v>1.0089999999999999</v>
      </c>
      <c r="T39" s="3377">
        <f>ROUND(IF(项目基本情况!$B$8="出让",SUMPRODUCT(PRODUCT(1+M39:M$40)),SUMPRODUCT(PRODUCT(1+M39:M$39))),4)</f>
        <v>1.0094000000000001</v>
      </c>
      <c r="U39" s="3377">
        <f>ROUND(IF(项目基本情况!$B$8="出让",SUMPRODUCT(PRODUCT(1+N39:N$40)),SUMPRODUCT(PRODUCT(1+N39:N$39))),4)</f>
        <v>1.0208999999999999</v>
      </c>
      <c r="V39" s="3377"/>
      <c r="W39" s="3377">
        <f t="shared" si="65"/>
        <v>1.0094000000000001</v>
      </c>
      <c r="X39" s="3361"/>
      <c r="Y39" s="3386"/>
      <c r="Z39" s="3387">
        <f t="shared" si="66"/>
        <v>4.4999999999999997E-3</v>
      </c>
      <c r="AA39" s="3389">
        <f t="shared" si="66"/>
        <v>4.7000000000000002E-3</v>
      </c>
      <c r="AB39" s="3386">
        <f t="shared" si="66"/>
        <v>1.04E-2</v>
      </c>
      <c r="AC39" s="3388"/>
      <c r="AD39" s="3386">
        <f t="shared" si="66"/>
        <v>4.7000000000000002E-3</v>
      </c>
    </row>
    <row r="40" spans="1:30" ht="15" thickBot="1">
      <c r="A40" s="3342" t="s">
        <v>2789</v>
      </c>
      <c r="B40" s="3407">
        <v>2021</v>
      </c>
      <c r="C40" s="3408">
        <v>1</v>
      </c>
      <c r="D40" s="3408"/>
      <c r="E40" s="3408">
        <v>0.35</v>
      </c>
      <c r="F40" s="3408">
        <v>0.48</v>
      </c>
      <c r="G40" s="3408">
        <v>0.98</v>
      </c>
      <c r="H40" s="3409"/>
      <c r="I40" s="3410">
        <f t="shared" si="37"/>
        <v>0.48</v>
      </c>
      <c r="J40" s="3367"/>
      <c r="K40" s="3368"/>
      <c r="L40" s="3369">
        <f t="shared" si="38"/>
        <v>3.4999999999999996E-3</v>
      </c>
      <c r="M40" s="3369">
        <f>F40/100</f>
        <v>4.7999999999999996E-3</v>
      </c>
      <c r="N40" s="3369">
        <f t="shared" si="38"/>
        <v>9.7999999999999997E-3</v>
      </c>
      <c r="O40" s="3369"/>
      <c r="P40" s="3369">
        <f t="shared" si="64"/>
        <v>4.7999999999999996E-3</v>
      </c>
      <c r="Q40" s="3367"/>
      <c r="R40" s="3378"/>
      <c r="S40" s="3378">
        <v>1</v>
      </c>
      <c r="T40" s="3378">
        <v>1</v>
      </c>
      <c r="U40" s="3378">
        <v>1</v>
      </c>
      <c r="V40" s="3378"/>
      <c r="W40" s="3378">
        <f t="shared" si="65"/>
        <v>1</v>
      </c>
      <c r="X40" s="3367"/>
      <c r="Y40" s="3369"/>
      <c r="Z40" s="3393">
        <f t="shared" si="66"/>
        <v>3.5000000000000001E-3</v>
      </c>
      <c r="AA40" s="3394">
        <f t="shared" si="66"/>
        <v>4.7999999999999996E-3</v>
      </c>
      <c r="AB40" s="3369">
        <f t="shared" si="66"/>
        <v>9.7999999999999997E-3</v>
      </c>
      <c r="AC40" s="3395"/>
      <c r="AD40" s="3369">
        <f t="shared" si="66"/>
        <v>4.7999999999999996E-3</v>
      </c>
    </row>
    <row r="41" spans="1:30" ht="15" thickTop="1"/>
    <row r="42" spans="1:30">
      <c r="A42" s="3658" t="s">
        <v>3250</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opLeftCell="A10" workbookViewId="0">
      <selection activeCell="E16" sqref="E16"/>
    </sheetView>
  </sheetViews>
  <sheetFormatPr defaultColWidth="9" defaultRowHeight="14.4"/>
  <cols>
    <col min="1" max="1" width="5.77734375" style="3670" customWidth="1"/>
    <col min="2" max="2" width="47" style="3670" customWidth="1"/>
    <col min="3" max="3" width="9" style="3670"/>
    <col min="4" max="4" width="11" style="3670" customWidth="1"/>
    <col min="5" max="5" width="11.77734375" style="3670" customWidth="1"/>
    <col min="6" max="6" width="14.109375" style="3670" customWidth="1"/>
    <col min="7" max="7" width="14.21875" style="3670" customWidth="1"/>
    <col min="8" max="8" width="12.77734375" style="3670" bestFit="1" customWidth="1"/>
    <col min="9" max="9" width="11.109375" style="3670" bestFit="1" customWidth="1"/>
    <col min="10" max="11" width="10.44140625" style="3670" customWidth="1"/>
    <col min="12" max="16384" width="9" style="3666"/>
  </cols>
  <sheetData>
    <row r="1" spans="1:11" ht="14.25" customHeight="1">
      <c r="A1" s="4207" t="s">
        <v>3267</v>
      </c>
      <c r="B1" s="4207" t="s">
        <v>2146</v>
      </c>
      <c r="C1" s="4207" t="s">
        <v>3268</v>
      </c>
      <c r="D1" s="4209" t="s">
        <v>3406</v>
      </c>
      <c r="E1" s="4210"/>
      <c r="F1" s="4211" t="s">
        <v>3269</v>
      </c>
      <c r="G1" s="4212"/>
      <c r="H1" s="4213" t="s">
        <v>3270</v>
      </c>
      <c r="I1" s="4207" t="s">
        <v>3271</v>
      </c>
      <c r="J1" s="4209" t="s">
        <v>3404</v>
      </c>
      <c r="K1" s="4210"/>
    </row>
    <row r="2" spans="1:11" ht="69.75" customHeight="1">
      <c r="A2" s="4208"/>
      <c r="B2" s="4208"/>
      <c r="C2" s="4208"/>
      <c r="D2" s="3710" t="s">
        <v>3407</v>
      </c>
      <c r="E2" s="3710" t="s">
        <v>3405</v>
      </c>
      <c r="F2" s="3667" t="s">
        <v>3272</v>
      </c>
      <c r="G2" s="3667" t="s">
        <v>3273</v>
      </c>
      <c r="H2" s="4214"/>
      <c r="I2" s="4208"/>
      <c r="J2" s="3709" t="s">
        <v>3402</v>
      </c>
      <c r="K2" s="3709" t="s">
        <v>3403</v>
      </c>
    </row>
    <row r="3" spans="1:11">
      <c r="A3" s="3668">
        <v>1</v>
      </c>
      <c r="B3" s="3680" t="s">
        <v>3274</v>
      </c>
      <c r="C3" s="3668" t="s">
        <v>3275</v>
      </c>
      <c r="D3" s="3668">
        <v>180055.75</v>
      </c>
      <c r="E3" s="3668">
        <v>114154.36</v>
      </c>
      <c r="F3" s="3668">
        <v>59468.76</v>
      </c>
      <c r="G3" s="3668">
        <v>125573.86</v>
      </c>
      <c r="H3" s="3668">
        <v>45702.91</v>
      </c>
      <c r="I3" s="3669">
        <v>44435</v>
      </c>
      <c r="J3" s="3668">
        <f>ROUND((F3+G3)/D3*10000,0)</f>
        <v>10277</v>
      </c>
      <c r="K3" s="3668">
        <f>ROUND(J3*J20*J19*J18*J17*J16*J15*J14*J13,0)</f>
        <v>10810</v>
      </c>
    </row>
    <row r="4" spans="1:11">
      <c r="A4" s="3668">
        <v>2</v>
      </c>
      <c r="B4" s="3680" t="s">
        <v>3408</v>
      </c>
      <c r="C4" s="3668" t="s">
        <v>3275</v>
      </c>
      <c r="D4" s="3668">
        <v>187577</v>
      </c>
      <c r="E4" s="3668">
        <v>158604</v>
      </c>
      <c r="F4" s="3668">
        <v>42423.81</v>
      </c>
      <c r="G4" s="3668">
        <v>124048.85</v>
      </c>
      <c r="H4" s="3668">
        <v>39104.71</v>
      </c>
      <c r="I4" s="3669">
        <v>44704</v>
      </c>
      <c r="J4" s="3668">
        <f t="shared" ref="J4:J6" si="0">ROUND((F4+G4)/D4*10000,0)</f>
        <v>8875</v>
      </c>
      <c r="K4" s="3668">
        <f>ROUND(J4*J17*J16*J15*J14*J13,0)</f>
        <v>9126</v>
      </c>
    </row>
    <row r="5" spans="1:11">
      <c r="A5" s="3668">
        <v>3</v>
      </c>
      <c r="B5" s="3668" t="s">
        <v>3276</v>
      </c>
      <c r="C5" s="3668" t="s">
        <v>3275</v>
      </c>
      <c r="D5" s="3668">
        <v>485752.79</v>
      </c>
      <c r="E5" s="3680" t="s">
        <v>3401</v>
      </c>
      <c r="F5" s="3668">
        <v>76356.42</v>
      </c>
      <c r="G5" s="3668">
        <v>274068.84999999998</v>
      </c>
      <c r="H5" s="3668">
        <v>110586.31</v>
      </c>
      <c r="I5" s="3669">
        <v>43795</v>
      </c>
      <c r="J5" s="3668">
        <f t="shared" si="0"/>
        <v>7214</v>
      </c>
      <c r="K5" s="3668">
        <f>ROUND(J5*J27*J26*J25*J24*J23*J22*J21*J20*J19*J18*J17*J16*J15*J14*J13,0)</f>
        <v>8001</v>
      </c>
    </row>
    <row r="6" spans="1:11">
      <c r="A6" s="3668">
        <v>4</v>
      </c>
      <c r="B6" s="3680" t="s">
        <v>3277</v>
      </c>
      <c r="C6" s="3668" t="s">
        <v>3275</v>
      </c>
      <c r="D6" s="3668">
        <v>156502.60800000001</v>
      </c>
      <c r="E6" s="3668">
        <v>97812.236999999994</v>
      </c>
      <c r="F6" s="3668">
        <v>5325.24</v>
      </c>
      <c r="G6" s="3668">
        <v>121777.87</v>
      </c>
      <c r="H6" s="3668">
        <v>3604.32</v>
      </c>
      <c r="I6" s="3669">
        <v>45062</v>
      </c>
      <c r="J6" s="3668">
        <f t="shared" si="0"/>
        <v>8121</v>
      </c>
      <c r="K6" s="3668">
        <f>ROUND(J6*J13,0)</f>
        <v>8156</v>
      </c>
    </row>
    <row r="11" spans="1:11">
      <c r="H11" s="3671"/>
      <c r="I11" s="3671"/>
      <c r="J11" s="3671"/>
    </row>
    <row r="12" spans="1:11">
      <c r="H12" s="3672" t="s">
        <v>3278</v>
      </c>
      <c r="I12" s="3673">
        <v>0</v>
      </c>
      <c r="J12" s="3671"/>
    </row>
    <row r="13" spans="1:11">
      <c r="H13" s="3672" t="s">
        <v>3279</v>
      </c>
      <c r="I13" s="3673">
        <v>0.43</v>
      </c>
      <c r="J13" s="3671">
        <v>1.0043</v>
      </c>
    </row>
    <row r="14" spans="1:11">
      <c r="H14" s="3674" t="s">
        <v>3280</v>
      </c>
      <c r="I14" s="3675">
        <v>0.71</v>
      </c>
      <c r="J14" s="3671">
        <v>1.0071000000000001</v>
      </c>
    </row>
    <row r="15" spans="1:11">
      <c r="H15" s="3672" t="s">
        <v>3281</v>
      </c>
      <c r="I15" s="3676">
        <v>0.5</v>
      </c>
      <c r="J15" s="3671">
        <v>1.0049999999999999</v>
      </c>
    </row>
    <row r="16" spans="1:11">
      <c r="H16" s="3672" t="s">
        <v>3282</v>
      </c>
      <c r="I16" s="3676">
        <v>0.53</v>
      </c>
      <c r="J16" s="3671">
        <v>1.0053000000000001</v>
      </c>
    </row>
    <row r="17" spans="8:10">
      <c r="H17" s="3672" t="s">
        <v>3283</v>
      </c>
      <c r="I17" s="3676">
        <v>0.63</v>
      </c>
      <c r="J17" s="3671">
        <v>1.0063</v>
      </c>
    </row>
    <row r="18" spans="8:10">
      <c r="H18" s="3672" t="s">
        <v>3284</v>
      </c>
      <c r="I18" s="3676">
        <v>1.08</v>
      </c>
      <c r="J18" s="3671">
        <v>1.0107999999999999</v>
      </c>
    </row>
    <row r="19" spans="8:10">
      <c r="H19" s="3672" t="s">
        <v>3285</v>
      </c>
      <c r="I19" s="3676">
        <v>0.64</v>
      </c>
      <c r="J19" s="3671">
        <v>1.0064</v>
      </c>
    </row>
    <row r="20" spans="8:10">
      <c r="H20" s="3672" t="s">
        <v>3286</v>
      </c>
      <c r="I20" s="3676">
        <v>0.55000000000000004</v>
      </c>
      <c r="J20" s="3671">
        <v>1.0055000000000001</v>
      </c>
    </row>
    <row r="21" spans="8:10">
      <c r="H21" s="3672" t="s">
        <v>3287</v>
      </c>
      <c r="I21" s="3676">
        <v>0.48</v>
      </c>
      <c r="J21" s="3671">
        <v>1.0047999999999999</v>
      </c>
    </row>
    <row r="22" spans="8:10">
      <c r="H22" s="3672" t="s">
        <v>3288</v>
      </c>
      <c r="I22" s="3676">
        <v>1.01</v>
      </c>
      <c r="J22" s="3671">
        <v>1.0101</v>
      </c>
    </row>
    <row r="23" spans="8:10" ht="15" thickBot="1">
      <c r="H23" s="3677" t="s">
        <v>3289</v>
      </c>
      <c r="I23" s="3678">
        <v>0.36</v>
      </c>
      <c r="J23" s="3671">
        <v>1.0036</v>
      </c>
    </row>
    <row r="24" spans="8:10" ht="15" thickTop="1">
      <c r="H24" s="3679" t="s">
        <v>3290</v>
      </c>
      <c r="I24" s="3670">
        <v>2.69</v>
      </c>
      <c r="J24" s="3670">
        <f>I24/100+1</f>
        <v>1.0268999999999999</v>
      </c>
    </row>
    <row r="25" spans="8:10">
      <c r="H25" s="3679" t="s">
        <v>3291</v>
      </c>
      <c r="I25" s="3670">
        <v>7.0000000000000007E-2</v>
      </c>
      <c r="J25" s="3670">
        <f t="shared" ref="J25:J31" si="1">I25/100+1</f>
        <v>1.0006999999999999</v>
      </c>
    </row>
    <row r="26" spans="8:10">
      <c r="H26" s="3679" t="s">
        <v>3292</v>
      </c>
      <c r="I26" s="3670">
        <v>0.47</v>
      </c>
      <c r="J26" s="3670">
        <f t="shared" si="1"/>
        <v>1.0046999999999999</v>
      </c>
    </row>
    <row r="27" spans="8:10">
      <c r="H27" s="3679" t="s">
        <v>3293</v>
      </c>
      <c r="I27" s="3670">
        <v>0.27</v>
      </c>
      <c r="J27" s="3670">
        <f t="shared" si="1"/>
        <v>1.0026999999999999</v>
      </c>
    </row>
    <row r="28" spans="8:10">
      <c r="H28" s="3679" t="s">
        <v>3294</v>
      </c>
      <c r="I28" s="3670">
        <v>0.48</v>
      </c>
      <c r="J28" s="3670">
        <f t="shared" si="1"/>
        <v>1.0047999999999999</v>
      </c>
    </row>
    <row r="29" spans="8:10">
      <c r="H29" s="3679" t="s">
        <v>3295</v>
      </c>
      <c r="I29" s="3670">
        <v>1.03</v>
      </c>
      <c r="J29" s="3670">
        <f t="shared" si="1"/>
        <v>1.0103</v>
      </c>
    </row>
    <row r="30" spans="8:10">
      <c r="H30" s="3679" t="s">
        <v>3296</v>
      </c>
      <c r="I30" s="3670">
        <v>1.25</v>
      </c>
      <c r="J30" s="3670">
        <f t="shared" si="1"/>
        <v>1.0125</v>
      </c>
    </row>
    <row r="31" spans="8:10">
      <c r="H31" s="3679" t="s">
        <v>3297</v>
      </c>
      <c r="I31" s="3670">
        <v>1.1299999999999999</v>
      </c>
      <c r="J31" s="3670">
        <f t="shared" si="1"/>
        <v>1.0113000000000001</v>
      </c>
    </row>
  </sheetData>
  <mergeCells count="8">
    <mergeCell ref="I1:I2"/>
    <mergeCell ref="D1:E1"/>
    <mergeCell ref="J1:K1"/>
    <mergeCell ref="A1:A2"/>
    <mergeCell ref="B1:B2"/>
    <mergeCell ref="C1:C2"/>
    <mergeCell ref="F1:G1"/>
    <mergeCell ref="H1:H2"/>
  </mergeCells>
  <phoneticPr fontId="22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T141"/>
  <sheetViews>
    <sheetView zoomScale="80" zoomScaleNormal="80" workbookViewId="0">
      <pane xSplit="1" ySplit="2" topLeftCell="B103" activePane="bottomRight" state="frozen"/>
      <selection pane="topRight" activeCell="B1" sqref="B1"/>
      <selection pane="bottomLeft" activeCell="A3" sqref="A3"/>
      <selection pane="bottomRight" activeCell="G148" sqref="G148"/>
    </sheetView>
  </sheetViews>
  <sheetFormatPr defaultColWidth="9" defaultRowHeight="14.4"/>
  <cols>
    <col min="1" max="1" width="6.88671875" style="3713" customWidth="1"/>
    <col min="2" max="3" width="5.33203125" style="3713" customWidth="1"/>
    <col min="4" max="4" width="6.21875" style="3713" hidden="1" customWidth="1"/>
    <col min="5" max="6" width="9" style="3713"/>
    <col min="7" max="7" width="24" style="3713" customWidth="1"/>
    <col min="8" max="8" width="18.44140625" style="3713" customWidth="1"/>
    <col min="9" max="10" width="9" style="3713"/>
    <col min="11" max="11" width="27" style="3713" customWidth="1"/>
    <col min="12" max="12" width="11" style="3713" bestFit="1" customWidth="1"/>
    <col min="13" max="13" width="10.33203125" style="3713" bestFit="1" customWidth="1"/>
    <col min="14" max="14" width="11" style="3713" bestFit="1" customWidth="1"/>
    <col min="15" max="15" width="12.109375" style="3713" bestFit="1" customWidth="1"/>
    <col min="16" max="16" width="63" style="3713" customWidth="1"/>
    <col min="17" max="17" width="49.21875" style="3713" customWidth="1"/>
    <col min="18" max="16384" width="9" style="3713"/>
  </cols>
  <sheetData>
    <row r="1" spans="1:24" ht="54" customHeight="1">
      <c r="A1" s="4220" t="s">
        <v>3425</v>
      </c>
      <c r="B1" s="4220" t="s">
        <v>3426</v>
      </c>
      <c r="C1" s="4220" t="s">
        <v>3427</v>
      </c>
      <c r="D1" s="4220" t="s">
        <v>3428</v>
      </c>
      <c r="E1" s="4220" t="s">
        <v>3429</v>
      </c>
      <c r="F1" s="4220" t="s">
        <v>3430</v>
      </c>
      <c r="G1" s="4220" t="s">
        <v>3431</v>
      </c>
      <c r="H1" s="4220" t="s">
        <v>3432</v>
      </c>
      <c r="I1" s="4220" t="s">
        <v>3433</v>
      </c>
      <c r="J1" s="4220" t="s">
        <v>3434</v>
      </c>
      <c r="K1" s="4220" t="s">
        <v>3435</v>
      </c>
      <c r="L1" s="4229" t="s">
        <v>3436</v>
      </c>
      <c r="M1" s="4229"/>
      <c r="N1" s="4220" t="s">
        <v>3437</v>
      </c>
      <c r="O1" s="4220" t="s">
        <v>3438</v>
      </c>
      <c r="P1" s="3712"/>
      <c r="Q1" s="4221" t="s">
        <v>3439</v>
      </c>
      <c r="R1" s="4220" t="s">
        <v>3440</v>
      </c>
    </row>
    <row r="2" spans="1:24" ht="69.900000000000006" hidden="1" customHeight="1">
      <c r="A2" s="4220"/>
      <c r="B2" s="4220"/>
      <c r="C2" s="4220"/>
      <c r="D2" s="4220"/>
      <c r="E2" s="4220"/>
      <c r="F2" s="4220"/>
      <c r="G2" s="4220"/>
      <c r="H2" s="4220"/>
      <c r="I2" s="4220"/>
      <c r="J2" s="4220"/>
      <c r="K2" s="4220"/>
      <c r="L2" s="3714" t="s">
        <v>3441</v>
      </c>
      <c r="M2" s="3714" t="s">
        <v>3442</v>
      </c>
      <c r="N2" s="4220"/>
      <c r="O2" s="4220"/>
      <c r="P2" s="3712"/>
      <c r="Q2" s="4221"/>
      <c r="R2" s="4220"/>
    </row>
    <row r="3" spans="1:24" ht="144" hidden="1">
      <c r="A3" s="3715">
        <v>330</v>
      </c>
      <c r="B3" s="3716">
        <v>2018</v>
      </c>
      <c r="C3" s="3716">
        <v>7</v>
      </c>
      <c r="D3" s="3718">
        <v>1</v>
      </c>
      <c r="E3" s="3718" t="s">
        <v>3462</v>
      </c>
      <c r="F3" s="3718" t="s">
        <v>3444</v>
      </c>
      <c r="G3" s="3718" t="s">
        <v>3463</v>
      </c>
      <c r="H3" s="3718" t="s">
        <v>3464</v>
      </c>
      <c r="I3" s="3718" t="s">
        <v>3455</v>
      </c>
      <c r="J3" s="3718" t="s">
        <v>3465</v>
      </c>
      <c r="K3" s="3718" t="s">
        <v>3466</v>
      </c>
      <c r="L3" s="3718">
        <v>2.12</v>
      </c>
      <c r="M3" s="3718">
        <v>1.45</v>
      </c>
      <c r="N3" s="3718">
        <v>3.12</v>
      </c>
      <c r="O3" s="3718">
        <v>19022.5</v>
      </c>
      <c r="P3" s="3716">
        <f t="shared" ref="P3:P29" si="0">ROUND(O3/L3,0)</f>
        <v>8973</v>
      </c>
      <c r="Q3" s="3719" t="s">
        <v>3467</v>
      </c>
      <c r="R3" s="3718" t="s">
        <v>3468</v>
      </c>
      <c r="S3" s="3720"/>
      <c r="T3" s="3720"/>
      <c r="U3" s="3720"/>
      <c r="V3" s="3720"/>
      <c r="W3" s="3720"/>
      <c r="X3" s="3720"/>
    </row>
    <row r="4" spans="1:24" ht="144" hidden="1">
      <c r="A4" s="3715">
        <v>331</v>
      </c>
      <c r="B4" s="3716">
        <v>2018</v>
      </c>
      <c r="C4" s="3716">
        <v>7</v>
      </c>
      <c r="D4" s="3718">
        <v>2</v>
      </c>
      <c r="E4" s="3718" t="s">
        <v>3469</v>
      </c>
      <c r="F4" s="3718" t="s">
        <v>3444</v>
      </c>
      <c r="G4" s="3718" t="s">
        <v>3470</v>
      </c>
      <c r="H4" s="3718" t="s">
        <v>3464</v>
      </c>
      <c r="I4" s="3718" t="s">
        <v>3455</v>
      </c>
      <c r="J4" s="3718" t="s">
        <v>3471</v>
      </c>
      <c r="K4" s="3718" t="s">
        <v>3472</v>
      </c>
      <c r="L4" s="3718">
        <v>18.100000000000001</v>
      </c>
      <c r="M4" s="3718">
        <v>10.06</v>
      </c>
      <c r="N4" s="3718">
        <v>18.37</v>
      </c>
      <c r="O4" s="3718">
        <v>279423.46000000002</v>
      </c>
      <c r="P4" s="3716">
        <f t="shared" si="0"/>
        <v>15438</v>
      </c>
      <c r="Q4" s="3719" t="s">
        <v>3473</v>
      </c>
      <c r="R4" s="3718" t="s">
        <v>3457</v>
      </c>
      <c r="S4" s="3720"/>
      <c r="T4" s="3720"/>
      <c r="U4" s="3720"/>
      <c r="V4" s="3720"/>
      <c r="W4" s="3720"/>
      <c r="X4" s="3720"/>
    </row>
    <row r="5" spans="1:24" ht="115.2" hidden="1">
      <c r="A5" s="3715">
        <v>338</v>
      </c>
      <c r="B5" s="3716">
        <v>2018</v>
      </c>
      <c r="C5" s="3716">
        <v>8</v>
      </c>
      <c r="D5" s="3718">
        <v>6</v>
      </c>
      <c r="E5" s="3718" t="s">
        <v>3462</v>
      </c>
      <c r="F5" s="3718" t="s">
        <v>3444</v>
      </c>
      <c r="G5" s="3718" t="s">
        <v>3474</v>
      </c>
      <c r="H5" s="3718" t="s">
        <v>3464</v>
      </c>
      <c r="I5" s="3718" t="s">
        <v>3475</v>
      </c>
      <c r="J5" s="3718" t="s">
        <v>3476</v>
      </c>
      <c r="K5" s="3718" t="s">
        <v>3477</v>
      </c>
      <c r="L5" s="3718">
        <v>2.12</v>
      </c>
      <c r="M5" s="3718">
        <v>1.45</v>
      </c>
      <c r="N5" s="3718">
        <v>3.12</v>
      </c>
      <c r="O5" s="3718">
        <v>19022.5</v>
      </c>
      <c r="P5" s="3716">
        <f t="shared" si="0"/>
        <v>8973</v>
      </c>
      <c r="Q5" s="3719" t="s">
        <v>3478</v>
      </c>
      <c r="R5" s="3718" t="s">
        <v>3479</v>
      </c>
      <c r="S5" s="3718"/>
      <c r="T5" s="3718"/>
      <c r="U5" s="3718"/>
      <c r="V5" s="3718"/>
      <c r="W5" s="3718"/>
      <c r="X5" s="3718"/>
    </row>
    <row r="6" spans="1:24" ht="100.8" hidden="1">
      <c r="A6" s="3715">
        <v>339</v>
      </c>
      <c r="B6" s="3716">
        <v>2018</v>
      </c>
      <c r="C6" s="3716">
        <v>8</v>
      </c>
      <c r="D6" s="3718">
        <v>7</v>
      </c>
      <c r="E6" s="3718" t="s">
        <v>3480</v>
      </c>
      <c r="F6" s="3718" t="s">
        <v>3444</v>
      </c>
      <c r="G6" s="3718" t="s">
        <v>3481</v>
      </c>
      <c r="H6" s="3718" t="s">
        <v>3464</v>
      </c>
      <c r="I6" s="3718" t="s">
        <v>3475</v>
      </c>
      <c r="J6" s="3718" t="s">
        <v>3476</v>
      </c>
      <c r="K6" s="3718" t="s">
        <v>3482</v>
      </c>
      <c r="L6" s="3718">
        <v>3.81</v>
      </c>
      <c r="M6" s="3718">
        <v>2.9</v>
      </c>
      <c r="N6" s="3718">
        <v>5.27</v>
      </c>
      <c r="O6" s="3718">
        <v>53088.68</v>
      </c>
      <c r="P6" s="3716">
        <f t="shared" si="0"/>
        <v>13934</v>
      </c>
      <c r="Q6" s="3719" t="s">
        <v>3483</v>
      </c>
      <c r="R6" s="3718" t="s">
        <v>3479</v>
      </c>
      <c r="S6" s="3718"/>
      <c r="T6" s="3718"/>
      <c r="U6" s="3718"/>
      <c r="V6" s="3718"/>
      <c r="W6" s="3718"/>
      <c r="X6" s="3718"/>
    </row>
    <row r="7" spans="1:24" ht="129.6" hidden="1">
      <c r="A7" s="3715">
        <v>344</v>
      </c>
      <c r="B7" s="3716">
        <v>2018</v>
      </c>
      <c r="C7" s="3716">
        <v>9</v>
      </c>
      <c r="D7" s="3718">
        <v>5</v>
      </c>
      <c r="E7" s="3718" t="s">
        <v>3484</v>
      </c>
      <c r="F7" s="3718" t="s">
        <v>3444</v>
      </c>
      <c r="G7" s="3718" t="s">
        <v>3485</v>
      </c>
      <c r="H7" s="3718" t="s">
        <v>3464</v>
      </c>
      <c r="I7" s="3718" t="s">
        <v>3455</v>
      </c>
      <c r="J7" s="3718" t="s">
        <v>3476</v>
      </c>
      <c r="K7" s="3718" t="s">
        <v>3486</v>
      </c>
      <c r="L7" s="3718">
        <v>19.25</v>
      </c>
      <c r="M7" s="3718">
        <v>18.18</v>
      </c>
      <c r="N7" s="3718">
        <v>23.09</v>
      </c>
      <c r="O7" s="3718">
        <v>104710.5</v>
      </c>
      <c r="P7" s="3716">
        <f t="shared" si="0"/>
        <v>5440</v>
      </c>
      <c r="Q7" s="3719" t="s">
        <v>3487</v>
      </c>
      <c r="R7" s="3718" t="s">
        <v>3488</v>
      </c>
      <c r="S7" s="3718"/>
      <c r="T7" s="3718"/>
      <c r="U7" s="3718"/>
      <c r="V7" s="3718"/>
      <c r="W7" s="3718"/>
      <c r="X7" s="3718"/>
    </row>
    <row r="8" spans="1:24" ht="129.6" hidden="1">
      <c r="A8" s="3715">
        <v>346</v>
      </c>
      <c r="B8" s="3716">
        <v>2018</v>
      </c>
      <c r="C8" s="3716">
        <v>10</v>
      </c>
      <c r="D8" s="3718">
        <v>2</v>
      </c>
      <c r="E8" s="3718" t="s">
        <v>3489</v>
      </c>
      <c r="F8" s="3718" t="s">
        <v>3444</v>
      </c>
      <c r="G8" s="3718" t="s">
        <v>3490</v>
      </c>
      <c r="H8" s="3718" t="s">
        <v>3491</v>
      </c>
      <c r="I8" s="3718" t="s">
        <v>3455</v>
      </c>
      <c r="J8" s="3718" t="s">
        <v>3492</v>
      </c>
      <c r="K8" s="3718" t="s">
        <v>3493</v>
      </c>
      <c r="L8" s="3718">
        <v>13.05</v>
      </c>
      <c r="M8" s="3718">
        <v>7.59</v>
      </c>
      <c r="N8" s="3718">
        <v>18.670000000000002</v>
      </c>
      <c r="O8" s="3718">
        <v>115519.49</v>
      </c>
      <c r="P8" s="3716">
        <f t="shared" si="0"/>
        <v>8852</v>
      </c>
      <c r="Q8" s="3719" t="s">
        <v>3494</v>
      </c>
      <c r="R8" s="3718" t="s">
        <v>3495</v>
      </c>
      <c r="S8" s="3718"/>
      <c r="T8" s="3718"/>
      <c r="U8" s="3718"/>
      <c r="V8" s="3718"/>
      <c r="W8" s="3718"/>
      <c r="X8" s="3718"/>
    </row>
    <row r="9" spans="1:24" ht="129.6" hidden="1">
      <c r="A9" s="3715">
        <v>347</v>
      </c>
      <c r="B9" s="3716">
        <v>2018</v>
      </c>
      <c r="C9" s="3716">
        <v>10</v>
      </c>
      <c r="D9" s="3718">
        <v>3</v>
      </c>
      <c r="E9" s="3718" t="s">
        <v>3462</v>
      </c>
      <c r="F9" s="3718" t="s">
        <v>3444</v>
      </c>
      <c r="G9" s="3718" t="s">
        <v>3496</v>
      </c>
      <c r="H9" s="3718" t="s">
        <v>3497</v>
      </c>
      <c r="I9" s="3718" t="s">
        <v>3455</v>
      </c>
      <c r="J9" s="3718" t="s">
        <v>3498</v>
      </c>
      <c r="K9" s="3718" t="s">
        <v>3499</v>
      </c>
      <c r="L9" s="3718">
        <v>6.95</v>
      </c>
      <c r="M9" s="3718">
        <v>6.95</v>
      </c>
      <c r="N9" s="3718">
        <v>14.25</v>
      </c>
      <c r="O9" s="3718">
        <v>121459.42</v>
      </c>
      <c r="P9" s="3716">
        <f t="shared" si="0"/>
        <v>17476</v>
      </c>
      <c r="Q9" s="3719" t="s">
        <v>3500</v>
      </c>
      <c r="R9" s="3718" t="s">
        <v>3501</v>
      </c>
      <c r="S9" s="3718"/>
      <c r="T9" s="3718"/>
      <c r="U9" s="3718"/>
      <c r="V9" s="3718"/>
      <c r="W9" s="3718"/>
      <c r="X9" s="3718"/>
    </row>
    <row r="10" spans="1:24" ht="129.6">
      <c r="A10" s="3715">
        <v>348</v>
      </c>
      <c r="B10" s="3716">
        <v>2018</v>
      </c>
      <c r="C10" s="3716">
        <v>11</v>
      </c>
      <c r="D10" s="3718">
        <v>1</v>
      </c>
      <c r="E10" s="3718" t="s">
        <v>3502</v>
      </c>
      <c r="F10" s="3718" t="s">
        <v>3444</v>
      </c>
      <c r="G10" s="3718" t="s">
        <v>3503</v>
      </c>
      <c r="H10" s="3718" t="s">
        <v>3491</v>
      </c>
      <c r="I10" s="3718" t="s">
        <v>3446</v>
      </c>
      <c r="J10" s="3718" t="s">
        <v>3448</v>
      </c>
      <c r="K10" s="3718" t="s">
        <v>3504</v>
      </c>
      <c r="L10" s="3718">
        <v>2.97</v>
      </c>
      <c r="M10" s="3718">
        <v>2.68</v>
      </c>
      <c r="N10" s="3718">
        <v>7.8</v>
      </c>
      <c r="O10" s="3718">
        <v>63177.98</v>
      </c>
      <c r="P10" s="3716">
        <f t="shared" si="0"/>
        <v>21272</v>
      </c>
      <c r="Q10" s="3719" t="s">
        <v>3505</v>
      </c>
      <c r="R10" s="3718" t="s">
        <v>3506</v>
      </c>
      <c r="S10" s="3718"/>
      <c r="T10" s="3718"/>
      <c r="U10" s="3718"/>
      <c r="V10" s="3718"/>
      <c r="W10" s="3718"/>
      <c r="X10" s="3718"/>
    </row>
    <row r="11" spans="1:24" ht="144">
      <c r="A11" s="3715">
        <v>355</v>
      </c>
      <c r="B11" s="3716">
        <v>2018</v>
      </c>
      <c r="C11" s="3716">
        <v>12</v>
      </c>
      <c r="D11" s="3718">
        <v>6</v>
      </c>
      <c r="E11" s="3718" t="s">
        <v>3462</v>
      </c>
      <c r="F11" s="3718" t="s">
        <v>3444</v>
      </c>
      <c r="G11" s="3718" t="s">
        <v>3507</v>
      </c>
      <c r="H11" s="3718" t="s">
        <v>3508</v>
      </c>
      <c r="I11" s="3718" t="s">
        <v>3446</v>
      </c>
      <c r="J11" s="3718" t="s">
        <v>2739</v>
      </c>
      <c r="K11" s="3718" t="s">
        <v>3509</v>
      </c>
      <c r="L11" s="3718">
        <v>4.58</v>
      </c>
      <c r="M11" s="3718">
        <v>2.17</v>
      </c>
      <c r="N11" s="3718">
        <v>6.08</v>
      </c>
      <c r="O11" s="3718">
        <v>80763.009999999995</v>
      </c>
      <c r="P11" s="3716">
        <f t="shared" si="0"/>
        <v>17634</v>
      </c>
      <c r="Q11" s="3719" t="s">
        <v>3510</v>
      </c>
      <c r="R11" s="3718" t="s">
        <v>3511</v>
      </c>
      <c r="S11" s="3718"/>
      <c r="T11" s="3718"/>
      <c r="U11" s="3718"/>
      <c r="V11" s="3718"/>
      <c r="W11" s="3718"/>
      <c r="X11" s="3718"/>
    </row>
    <row r="12" spans="1:24" ht="129.6" hidden="1">
      <c r="A12" s="3715">
        <v>359</v>
      </c>
      <c r="B12" s="3716">
        <v>2019</v>
      </c>
      <c r="C12" s="3716">
        <v>1</v>
      </c>
      <c r="D12" s="3718">
        <v>1</v>
      </c>
      <c r="E12" s="3718" t="s">
        <v>3512</v>
      </c>
      <c r="F12" s="3718" t="s">
        <v>3444</v>
      </c>
      <c r="G12" s="3718" t="s">
        <v>3513</v>
      </c>
      <c r="H12" s="3718" t="s">
        <v>3497</v>
      </c>
      <c r="I12" s="3718" t="s">
        <v>3475</v>
      </c>
      <c r="J12" s="3718" t="s">
        <v>3514</v>
      </c>
      <c r="K12" s="3718" t="s">
        <v>3515</v>
      </c>
      <c r="L12" s="3718">
        <v>3.83</v>
      </c>
      <c r="M12" s="3718">
        <v>3.79</v>
      </c>
      <c r="N12" s="3718">
        <v>8.34</v>
      </c>
      <c r="O12" s="3718">
        <v>12196.42</v>
      </c>
      <c r="P12" s="3716">
        <f t="shared" si="0"/>
        <v>3184</v>
      </c>
      <c r="Q12" s="3719" t="s">
        <v>3516</v>
      </c>
      <c r="R12" s="3718" t="s">
        <v>3479</v>
      </c>
      <c r="S12" s="3718"/>
      <c r="T12" s="3718"/>
      <c r="U12" s="3718"/>
      <c r="V12" s="3718"/>
      <c r="W12" s="3718"/>
      <c r="X12" s="3718"/>
    </row>
    <row r="13" spans="1:24" ht="115.2">
      <c r="A13" s="3715">
        <v>365</v>
      </c>
      <c r="B13" s="3716">
        <v>2019</v>
      </c>
      <c r="C13" s="3716">
        <v>2</v>
      </c>
      <c r="D13" s="3718">
        <v>6</v>
      </c>
      <c r="E13" s="3718" t="s">
        <v>3512</v>
      </c>
      <c r="F13" s="3718" t="s">
        <v>3444</v>
      </c>
      <c r="G13" s="3718" t="s">
        <v>3517</v>
      </c>
      <c r="H13" s="3718" t="s">
        <v>3518</v>
      </c>
      <c r="I13" s="3718" t="s">
        <v>3446</v>
      </c>
      <c r="J13" s="3718" t="s">
        <v>3519</v>
      </c>
      <c r="K13" s="3718" t="s">
        <v>3520</v>
      </c>
      <c r="L13" s="3718">
        <v>6.38</v>
      </c>
      <c r="M13" s="3718">
        <v>6.31</v>
      </c>
      <c r="N13" s="3718">
        <v>2.78</v>
      </c>
      <c r="O13" s="3718">
        <v>15396.7356</v>
      </c>
      <c r="P13" s="3716">
        <f t="shared" si="0"/>
        <v>2413</v>
      </c>
      <c r="Q13" s="3719" t="s">
        <v>3521</v>
      </c>
      <c r="R13" s="3718" t="s">
        <v>3522</v>
      </c>
      <c r="S13" s="3718"/>
      <c r="T13" s="3718"/>
      <c r="U13" s="3718"/>
      <c r="V13" s="3718"/>
      <c r="W13" s="3718"/>
      <c r="X13" s="3718"/>
    </row>
    <row r="14" spans="1:24" ht="144" hidden="1">
      <c r="A14" s="3715">
        <v>368</v>
      </c>
      <c r="B14" s="3716">
        <v>2019</v>
      </c>
      <c r="C14" s="3716">
        <v>3</v>
      </c>
      <c r="D14" s="3718">
        <v>3</v>
      </c>
      <c r="E14" s="3718" t="s">
        <v>3523</v>
      </c>
      <c r="F14" s="3718" t="s">
        <v>3444</v>
      </c>
      <c r="G14" s="3718" t="s">
        <v>3524</v>
      </c>
      <c r="H14" s="3718" t="s">
        <v>3525</v>
      </c>
      <c r="I14" s="3718" t="s">
        <v>3475</v>
      </c>
      <c r="J14" s="3718" t="s">
        <v>3526</v>
      </c>
      <c r="K14" s="3718" t="s">
        <v>3527</v>
      </c>
      <c r="L14" s="3718">
        <v>4.43</v>
      </c>
      <c r="M14" s="3718">
        <v>4.0599999999999996</v>
      </c>
      <c r="N14" s="3718">
        <v>9.2799999999999994</v>
      </c>
      <c r="O14" s="3718">
        <v>21396.6911</v>
      </c>
      <c r="P14" s="3716">
        <f t="shared" si="0"/>
        <v>4830</v>
      </c>
      <c r="Q14" s="3719" t="s">
        <v>3528</v>
      </c>
      <c r="R14" s="3718" t="s">
        <v>3529</v>
      </c>
      <c r="S14" s="3718"/>
      <c r="T14" s="3718"/>
      <c r="U14" s="3718"/>
      <c r="V14" s="3718"/>
      <c r="W14" s="3718"/>
      <c r="X14" s="3718"/>
    </row>
    <row r="15" spans="1:24" ht="129.6" hidden="1">
      <c r="A15" s="3715">
        <v>380</v>
      </c>
      <c r="B15" s="3716">
        <v>2019</v>
      </c>
      <c r="C15" s="3716">
        <v>5</v>
      </c>
      <c r="D15" s="3718">
        <v>8</v>
      </c>
      <c r="E15" s="3718" t="s">
        <v>3462</v>
      </c>
      <c r="F15" s="3718" t="s">
        <v>3444</v>
      </c>
      <c r="G15" s="3718" t="s">
        <v>3530</v>
      </c>
      <c r="H15" s="3718" t="s">
        <v>3525</v>
      </c>
      <c r="I15" s="3718" t="s">
        <v>3475</v>
      </c>
      <c r="J15" s="3718" t="s">
        <v>3531</v>
      </c>
      <c r="K15" s="3718" t="s">
        <v>3532</v>
      </c>
      <c r="L15" s="3718">
        <v>5.9</v>
      </c>
      <c r="M15" s="3718">
        <v>4.71</v>
      </c>
      <c r="N15" s="3718">
        <v>9.99</v>
      </c>
      <c r="O15" s="3718">
        <v>77768.62</v>
      </c>
      <c r="P15" s="3716">
        <f t="shared" si="0"/>
        <v>13181</v>
      </c>
      <c r="Q15" s="3719" t="s">
        <v>3533</v>
      </c>
      <c r="R15" s="3718" t="s">
        <v>3534</v>
      </c>
      <c r="S15" s="3718"/>
      <c r="T15" s="3718"/>
      <c r="U15" s="3718"/>
      <c r="V15" s="3718"/>
      <c r="W15" s="3718"/>
      <c r="X15" s="3718"/>
    </row>
    <row r="16" spans="1:24" ht="144" hidden="1">
      <c r="A16" s="3715">
        <v>381</v>
      </c>
      <c r="B16" s="3716">
        <v>2019</v>
      </c>
      <c r="C16" s="3716">
        <v>5</v>
      </c>
      <c r="D16" s="3718">
        <v>9</v>
      </c>
      <c r="E16" s="3718" t="s">
        <v>3462</v>
      </c>
      <c r="F16" s="3718" t="s">
        <v>3444</v>
      </c>
      <c r="G16" s="3718" t="s">
        <v>3535</v>
      </c>
      <c r="H16" s="3718" t="s">
        <v>3525</v>
      </c>
      <c r="I16" s="3718" t="s">
        <v>3475</v>
      </c>
      <c r="J16" s="3718" t="s">
        <v>3536</v>
      </c>
      <c r="K16" s="3718" t="s">
        <v>3537</v>
      </c>
      <c r="L16" s="3718">
        <v>1.63</v>
      </c>
      <c r="M16" s="3718">
        <v>0.6</v>
      </c>
      <c r="N16" s="3718">
        <v>1.5</v>
      </c>
      <c r="O16" s="3718">
        <v>13772.45</v>
      </c>
      <c r="P16" s="3716">
        <f t="shared" si="0"/>
        <v>8449</v>
      </c>
      <c r="Q16" s="3719" t="s">
        <v>3538</v>
      </c>
      <c r="R16" s="3718" t="s">
        <v>3534</v>
      </c>
      <c r="S16" s="3718"/>
      <c r="T16" s="3718"/>
      <c r="U16" s="3718"/>
      <c r="V16" s="3718"/>
      <c r="W16" s="3718"/>
      <c r="X16" s="3718"/>
    </row>
    <row r="17" spans="1:44" ht="129.6" hidden="1">
      <c r="A17" s="3715">
        <v>382</v>
      </c>
      <c r="B17" s="3716">
        <v>2019</v>
      </c>
      <c r="C17" s="3716">
        <v>5</v>
      </c>
      <c r="D17" s="3718">
        <v>10</v>
      </c>
      <c r="E17" s="3718" t="s">
        <v>3480</v>
      </c>
      <c r="F17" s="3718" t="s">
        <v>3444</v>
      </c>
      <c r="G17" s="3718" t="s">
        <v>3539</v>
      </c>
      <c r="H17" s="3718" t="s">
        <v>3525</v>
      </c>
      <c r="I17" s="3718" t="s">
        <v>3475</v>
      </c>
      <c r="J17" s="3718" t="s">
        <v>3540</v>
      </c>
      <c r="K17" s="3718" t="s">
        <v>3541</v>
      </c>
      <c r="L17" s="3718">
        <v>11.04</v>
      </c>
      <c r="M17" s="3718">
        <v>2.91</v>
      </c>
      <c r="N17" s="3718">
        <v>8.15</v>
      </c>
      <c r="O17" s="3718">
        <v>106099.19</v>
      </c>
      <c r="P17" s="3716">
        <f t="shared" si="0"/>
        <v>9610</v>
      </c>
      <c r="Q17" s="3719" t="s">
        <v>3542</v>
      </c>
      <c r="R17" s="3718" t="s">
        <v>3534</v>
      </c>
      <c r="S17" s="3718"/>
      <c r="T17" s="3718"/>
      <c r="U17" s="3718"/>
      <c r="V17" s="3718"/>
      <c r="W17" s="3718"/>
      <c r="X17" s="3718"/>
    </row>
    <row r="18" spans="1:44" ht="129.6">
      <c r="A18" s="3715">
        <v>383</v>
      </c>
      <c r="B18" s="3716">
        <v>2019</v>
      </c>
      <c r="C18" s="3716">
        <v>5</v>
      </c>
      <c r="D18" s="3718">
        <v>11</v>
      </c>
      <c r="E18" s="3718" t="s">
        <v>3543</v>
      </c>
      <c r="F18" s="3718" t="s">
        <v>3444</v>
      </c>
      <c r="G18" s="3718" t="s">
        <v>3544</v>
      </c>
      <c r="H18" s="3718" t="s">
        <v>3545</v>
      </c>
      <c r="I18" s="3718" t="s">
        <v>3546</v>
      </c>
      <c r="J18" s="3718" t="s">
        <v>3547</v>
      </c>
      <c r="K18" s="3718" t="s">
        <v>3548</v>
      </c>
      <c r="L18" s="3718">
        <v>2.52</v>
      </c>
      <c r="M18" s="3718">
        <v>2.52</v>
      </c>
      <c r="N18" s="3718">
        <v>3.71</v>
      </c>
      <c r="O18" s="3718">
        <v>20580</v>
      </c>
      <c r="P18" s="3716">
        <f t="shared" si="0"/>
        <v>8167</v>
      </c>
      <c r="Q18" s="3719" t="s">
        <v>3549</v>
      </c>
      <c r="R18" s="3718" t="s">
        <v>3529</v>
      </c>
      <c r="S18" s="3718"/>
      <c r="T18" s="3718"/>
      <c r="U18" s="3718"/>
      <c r="V18" s="3718"/>
      <c r="W18" s="3718"/>
      <c r="X18" s="3718"/>
    </row>
    <row r="19" spans="1:44" s="3730" customFormat="1" ht="116.25" customHeight="1">
      <c r="A19" s="3715">
        <v>392</v>
      </c>
      <c r="B19" s="3724">
        <v>2020</v>
      </c>
      <c r="C19" s="3724">
        <v>1</v>
      </c>
      <c r="D19" s="3725">
        <v>2</v>
      </c>
      <c r="E19" s="3725" t="s">
        <v>3550</v>
      </c>
      <c r="F19" s="3725" t="s">
        <v>3264</v>
      </c>
      <c r="G19" s="3725" t="s">
        <v>3451</v>
      </c>
      <c r="H19" s="3725" t="s">
        <v>3491</v>
      </c>
      <c r="I19" s="3725" t="s">
        <v>3446</v>
      </c>
      <c r="J19" s="3725" t="s">
        <v>3551</v>
      </c>
      <c r="K19" s="3725" t="s">
        <v>3504</v>
      </c>
      <c r="L19" s="3726">
        <v>1.24</v>
      </c>
      <c r="M19" s="3726">
        <v>1.19</v>
      </c>
      <c r="N19" s="3724">
        <v>1.78</v>
      </c>
      <c r="O19" s="3724">
        <v>69189.69</v>
      </c>
      <c r="P19" s="3716">
        <f t="shared" si="0"/>
        <v>55798</v>
      </c>
      <c r="Q19" s="3727" t="s">
        <v>3552</v>
      </c>
      <c r="R19" s="3725" t="s">
        <v>3553</v>
      </c>
      <c r="S19" s="3723"/>
      <c r="T19" s="3723"/>
      <c r="U19" s="3728"/>
      <c r="V19" s="3728"/>
      <c r="W19" s="3723"/>
      <c r="X19" s="3723"/>
      <c r="Y19" s="3729"/>
      <c r="Z19" s="3724"/>
      <c r="AA19" s="3724"/>
      <c r="AB19" s="3724"/>
      <c r="AC19" s="3724"/>
      <c r="AD19" s="3724"/>
      <c r="AE19" s="3724"/>
      <c r="AF19" s="3724"/>
      <c r="AG19" s="3724"/>
      <c r="AH19" s="3724"/>
      <c r="AI19" s="3724"/>
      <c r="AJ19" s="3724"/>
      <c r="AK19" s="3724"/>
      <c r="AL19" s="3724"/>
      <c r="AM19" s="3724"/>
      <c r="AN19" s="3724"/>
      <c r="AO19" s="3724"/>
      <c r="AP19" s="3724"/>
      <c r="AQ19" s="3724"/>
      <c r="AR19" s="3724"/>
    </row>
    <row r="20" spans="1:44" ht="129.6">
      <c r="A20" s="3715">
        <v>398</v>
      </c>
      <c r="B20" s="3715">
        <v>2020</v>
      </c>
      <c r="C20" s="3715">
        <v>2</v>
      </c>
      <c r="D20" s="3725">
        <v>6</v>
      </c>
      <c r="E20" s="3718" t="s">
        <v>3543</v>
      </c>
      <c r="F20" s="3718" t="s">
        <v>3444</v>
      </c>
      <c r="G20" s="3718" t="s">
        <v>3554</v>
      </c>
      <c r="H20" s="3718" t="s">
        <v>3545</v>
      </c>
      <c r="I20" s="3718" t="s">
        <v>3446</v>
      </c>
      <c r="J20" s="3718" t="s">
        <v>3555</v>
      </c>
      <c r="K20" s="3717" t="s">
        <v>3556</v>
      </c>
      <c r="L20" s="3718">
        <v>0.55000000000000004</v>
      </c>
      <c r="M20" s="3718">
        <v>0.55000000000000004</v>
      </c>
      <c r="N20" s="3718">
        <v>1.54</v>
      </c>
      <c r="O20" s="3718">
        <v>8299.32</v>
      </c>
      <c r="P20" s="3716">
        <f t="shared" si="0"/>
        <v>15090</v>
      </c>
      <c r="Q20" s="3719" t="s">
        <v>3557</v>
      </c>
      <c r="R20" s="3718" t="s">
        <v>3558</v>
      </c>
    </row>
    <row r="21" spans="1:44" ht="145.5" customHeight="1">
      <c r="A21" s="3715">
        <v>413</v>
      </c>
      <c r="B21" s="3725">
        <v>2020</v>
      </c>
      <c r="C21" s="3725">
        <v>5</v>
      </c>
      <c r="D21" s="3724">
        <v>9</v>
      </c>
      <c r="E21" s="3724" t="s">
        <v>3469</v>
      </c>
      <c r="F21" s="3724" t="s">
        <v>3444</v>
      </c>
      <c r="G21" s="3724" t="s">
        <v>3559</v>
      </c>
      <c r="H21" s="3724" t="s">
        <v>3458</v>
      </c>
      <c r="I21" s="3724" t="s">
        <v>3446</v>
      </c>
      <c r="J21" s="3724" t="s">
        <v>3560</v>
      </c>
      <c r="K21" s="3721" t="s">
        <v>3561</v>
      </c>
      <c r="L21" s="3731">
        <v>49.33</v>
      </c>
      <c r="M21" s="3731">
        <v>10.67</v>
      </c>
      <c r="N21" s="3732">
        <v>26.67</v>
      </c>
      <c r="O21" s="3718">
        <v>380047.5</v>
      </c>
      <c r="P21" s="3716">
        <f t="shared" si="0"/>
        <v>7704</v>
      </c>
      <c r="Q21" s="3733" t="s">
        <v>3562</v>
      </c>
      <c r="R21" s="3722" t="s">
        <v>3563</v>
      </c>
    </row>
    <row r="22" spans="1:44" ht="216" hidden="1">
      <c r="A22" s="3715">
        <v>414</v>
      </c>
      <c r="B22" s="3725">
        <v>2020</v>
      </c>
      <c r="C22" s="3725">
        <v>5</v>
      </c>
      <c r="D22" s="3724">
        <v>10</v>
      </c>
      <c r="E22" s="3724" t="s">
        <v>3523</v>
      </c>
      <c r="F22" s="3724" t="s">
        <v>3444</v>
      </c>
      <c r="G22" s="3724" t="s">
        <v>3564</v>
      </c>
      <c r="H22" s="3724" t="s">
        <v>3525</v>
      </c>
      <c r="I22" s="3724" t="s">
        <v>3455</v>
      </c>
      <c r="J22" s="3724" t="s">
        <v>3565</v>
      </c>
      <c r="K22" s="3721" t="s">
        <v>3566</v>
      </c>
      <c r="L22" s="3731">
        <v>4.43</v>
      </c>
      <c r="M22" s="3731">
        <v>4.0599999999999996</v>
      </c>
      <c r="N22" s="3732">
        <v>9.2799999999999994</v>
      </c>
      <c r="O22" s="3716">
        <v>21448.106400000001</v>
      </c>
      <c r="P22" s="3716">
        <f t="shared" si="0"/>
        <v>4842</v>
      </c>
      <c r="Q22" s="3733" t="s">
        <v>3567</v>
      </c>
      <c r="R22" s="3722" t="s">
        <v>3563</v>
      </c>
    </row>
    <row r="23" spans="1:44" ht="156">
      <c r="A23" s="3715">
        <v>428</v>
      </c>
      <c r="B23" s="3725">
        <v>2021</v>
      </c>
      <c r="C23" s="3715">
        <v>3</v>
      </c>
      <c r="D23" s="3724">
        <v>8</v>
      </c>
      <c r="E23" s="3724" t="s">
        <v>3523</v>
      </c>
      <c r="F23" s="3724" t="s">
        <v>3444</v>
      </c>
      <c r="G23" s="3724" t="s">
        <v>3568</v>
      </c>
      <c r="H23" s="3724" t="s">
        <v>3460</v>
      </c>
      <c r="I23" s="3724" t="s">
        <v>3446</v>
      </c>
      <c r="J23" s="3724" t="s">
        <v>3569</v>
      </c>
      <c r="K23" s="3724" t="s">
        <v>3570</v>
      </c>
      <c r="L23" s="3724">
        <v>7.19</v>
      </c>
      <c r="M23" s="3724">
        <v>7.19</v>
      </c>
      <c r="N23" s="3724">
        <v>16.989999999999998</v>
      </c>
      <c r="O23" s="3724">
        <v>110624.08</v>
      </c>
      <c r="P23" s="3716">
        <f t="shared" si="0"/>
        <v>15386</v>
      </c>
      <c r="Q23" s="3734" t="s">
        <v>3571</v>
      </c>
      <c r="R23" s="3725" t="s">
        <v>3572</v>
      </c>
    </row>
    <row r="24" spans="1:44" ht="158.4">
      <c r="A24" s="3715">
        <v>432</v>
      </c>
      <c r="B24" s="3725">
        <v>2021</v>
      </c>
      <c r="C24" s="3715">
        <v>4</v>
      </c>
      <c r="D24" s="3724">
        <v>1</v>
      </c>
      <c r="E24" s="3724" t="s">
        <v>3573</v>
      </c>
      <c r="F24" s="3724" t="s">
        <v>3444</v>
      </c>
      <c r="G24" s="3724" t="s">
        <v>3574</v>
      </c>
      <c r="H24" s="3724" t="s">
        <v>3525</v>
      </c>
      <c r="I24" s="3724" t="s">
        <v>3446</v>
      </c>
      <c r="J24" s="3724" t="s">
        <v>3461</v>
      </c>
      <c r="K24" s="3732" t="s">
        <v>3575</v>
      </c>
      <c r="L24" s="3718">
        <v>3.78</v>
      </c>
      <c r="M24" s="3735">
        <v>3.07</v>
      </c>
      <c r="N24" s="3732">
        <v>7.67</v>
      </c>
      <c r="O24" s="3724" t="s">
        <v>3576</v>
      </c>
      <c r="P24" s="3716">
        <f t="shared" si="0"/>
        <v>1893</v>
      </c>
      <c r="Q24" s="3736" t="s">
        <v>3577</v>
      </c>
      <c r="R24" s="3725" t="s">
        <v>3578</v>
      </c>
    </row>
    <row r="25" spans="1:44" ht="172.8">
      <c r="A25" s="3715">
        <v>436</v>
      </c>
      <c r="B25" s="3725">
        <v>2021</v>
      </c>
      <c r="C25" s="3715">
        <v>4</v>
      </c>
      <c r="D25" s="3724">
        <v>5</v>
      </c>
      <c r="E25" s="3724" t="s">
        <v>3502</v>
      </c>
      <c r="F25" s="3724" t="s">
        <v>3444</v>
      </c>
      <c r="G25" s="3718" t="s">
        <v>3503</v>
      </c>
      <c r="H25" s="3718" t="s">
        <v>3525</v>
      </c>
      <c r="I25" s="3718" t="s">
        <v>3446</v>
      </c>
      <c r="J25" s="3718" t="s">
        <v>3461</v>
      </c>
      <c r="K25" s="3718" t="s">
        <v>3579</v>
      </c>
      <c r="L25" s="3718">
        <v>2.97</v>
      </c>
      <c r="M25" s="3718">
        <v>2.7077627</v>
      </c>
      <c r="N25" s="3718">
        <v>5.3072150000000002</v>
      </c>
      <c r="O25" s="3718">
        <v>63083.48</v>
      </c>
      <c r="P25" s="3716">
        <f t="shared" si="0"/>
        <v>21240</v>
      </c>
      <c r="Q25" s="3734" t="s">
        <v>3580</v>
      </c>
      <c r="R25" s="3725" t="s">
        <v>3581</v>
      </c>
    </row>
    <row r="26" spans="1:44" ht="172.8" hidden="1">
      <c r="A26" s="3715">
        <v>443</v>
      </c>
      <c r="B26" s="3725">
        <v>2021</v>
      </c>
      <c r="C26" s="3715">
        <v>5</v>
      </c>
      <c r="D26" s="3725">
        <v>3</v>
      </c>
      <c r="E26" s="3725" t="s">
        <v>3462</v>
      </c>
      <c r="F26" s="3725" t="s">
        <v>3444</v>
      </c>
      <c r="G26" s="3737" t="s">
        <v>3582</v>
      </c>
      <c r="H26" s="3725" t="s">
        <v>3525</v>
      </c>
      <c r="I26" s="3725" t="s">
        <v>3455</v>
      </c>
      <c r="J26" s="3725" t="s">
        <v>3583</v>
      </c>
      <c r="K26" s="3737" t="s">
        <v>3584</v>
      </c>
      <c r="L26" s="3726">
        <v>1.63</v>
      </c>
      <c r="M26" s="3726">
        <v>0.6</v>
      </c>
      <c r="N26" s="3726">
        <v>1.5</v>
      </c>
      <c r="O26" s="3726">
        <v>13978.26</v>
      </c>
      <c r="P26" s="3716">
        <f t="shared" si="0"/>
        <v>8576</v>
      </c>
      <c r="Q26" s="3738" t="s">
        <v>3585</v>
      </c>
      <c r="R26" s="3725" t="s">
        <v>3586</v>
      </c>
    </row>
    <row r="27" spans="1:44" ht="172.8" hidden="1">
      <c r="A27" s="3715">
        <v>446</v>
      </c>
      <c r="B27" s="3725">
        <v>2021</v>
      </c>
      <c r="C27" s="3715">
        <v>5</v>
      </c>
      <c r="D27" s="3725">
        <v>6</v>
      </c>
      <c r="E27" s="3725" t="s">
        <v>3573</v>
      </c>
      <c r="F27" s="3725" t="s">
        <v>3444</v>
      </c>
      <c r="G27" s="3737" t="s">
        <v>3574</v>
      </c>
      <c r="H27" s="3725" t="s">
        <v>3525</v>
      </c>
      <c r="I27" s="3725" t="s">
        <v>3455</v>
      </c>
      <c r="J27" s="3725" t="s">
        <v>3587</v>
      </c>
      <c r="K27" s="3737" t="s">
        <v>3588</v>
      </c>
      <c r="L27" s="3726">
        <v>4.29</v>
      </c>
      <c r="M27" s="3726">
        <v>3.07</v>
      </c>
      <c r="N27" s="3726">
        <v>7.67</v>
      </c>
      <c r="O27" s="3726" t="s">
        <v>3589</v>
      </c>
      <c r="P27" s="3716">
        <f t="shared" si="0"/>
        <v>1719</v>
      </c>
      <c r="Q27" s="3738" t="s">
        <v>3590</v>
      </c>
      <c r="R27" s="3725" t="s">
        <v>3586</v>
      </c>
    </row>
    <row r="28" spans="1:44" s="3730" customFormat="1" ht="165.9" customHeight="1">
      <c r="A28" s="3715">
        <v>447</v>
      </c>
      <c r="B28" s="3725">
        <v>2021</v>
      </c>
      <c r="C28" s="3725">
        <v>6</v>
      </c>
      <c r="D28" s="3725">
        <v>1</v>
      </c>
      <c r="E28" s="3724" t="s">
        <v>3591</v>
      </c>
      <c r="F28" s="3724" t="s">
        <v>3444</v>
      </c>
      <c r="G28" s="3724" t="s">
        <v>3592</v>
      </c>
      <c r="H28" s="3724" t="s">
        <v>3593</v>
      </c>
      <c r="I28" s="3724" t="s">
        <v>3446</v>
      </c>
      <c r="J28" s="3724" t="s">
        <v>3594</v>
      </c>
      <c r="K28" s="3718" t="s">
        <v>3595</v>
      </c>
      <c r="L28" s="3724">
        <v>1.52</v>
      </c>
      <c r="M28" s="3724">
        <v>1.52</v>
      </c>
      <c r="N28" s="3724">
        <v>3.04</v>
      </c>
      <c r="O28" s="3724">
        <v>28927.01</v>
      </c>
      <c r="P28" s="3716">
        <f t="shared" si="0"/>
        <v>19031</v>
      </c>
      <c r="Q28" s="3739" t="s">
        <v>3596</v>
      </c>
      <c r="R28" s="3725" t="s">
        <v>3597</v>
      </c>
    </row>
    <row r="29" spans="1:44" s="3730" customFormat="1" ht="165" customHeight="1">
      <c r="A29" s="3715">
        <v>451</v>
      </c>
      <c r="B29" s="3715">
        <v>2021</v>
      </c>
      <c r="C29" s="3715">
        <v>8</v>
      </c>
      <c r="D29" s="3715">
        <v>3</v>
      </c>
      <c r="E29" s="3725" t="s">
        <v>3523</v>
      </c>
      <c r="F29" s="3725" t="s">
        <v>3444</v>
      </c>
      <c r="G29" s="3725" t="s">
        <v>3598</v>
      </c>
      <c r="H29" s="3725" t="s">
        <v>3460</v>
      </c>
      <c r="I29" s="3725" t="s">
        <v>3446</v>
      </c>
      <c r="J29" s="3722" t="s">
        <v>3599</v>
      </c>
      <c r="K29" s="3725" t="s">
        <v>3600</v>
      </c>
      <c r="L29" s="3725">
        <v>13.09</v>
      </c>
      <c r="M29" s="3725">
        <v>7.81</v>
      </c>
      <c r="N29" s="3737">
        <v>17.05</v>
      </c>
      <c r="O29" s="3726">
        <v>110624.08</v>
      </c>
      <c r="P29" s="3716">
        <f t="shared" si="0"/>
        <v>8451</v>
      </c>
      <c r="Q29" s="3740" t="s">
        <v>3601</v>
      </c>
      <c r="R29" s="3731" t="s">
        <v>3572</v>
      </c>
      <c r="S29" s="3731"/>
      <c r="T29" s="3741"/>
      <c r="U29" s="3742"/>
    </row>
    <row r="30" spans="1:44" ht="249.6">
      <c r="A30" s="3715">
        <v>462</v>
      </c>
      <c r="B30" s="3715">
        <v>2021</v>
      </c>
      <c r="C30" s="3715">
        <v>10</v>
      </c>
      <c r="D30" s="3743">
        <v>6</v>
      </c>
      <c r="E30" s="3743" t="s">
        <v>3573</v>
      </c>
      <c r="F30" s="3743" t="s">
        <v>3444</v>
      </c>
      <c r="G30" s="3743" t="s">
        <v>3602</v>
      </c>
      <c r="H30" s="3743" t="s">
        <v>3603</v>
      </c>
      <c r="I30" s="3743" t="s">
        <v>3446</v>
      </c>
      <c r="J30" s="3743" t="s">
        <v>3604</v>
      </c>
      <c r="K30" s="3744" t="s">
        <v>3605</v>
      </c>
      <c r="L30" s="3745">
        <v>4.05</v>
      </c>
      <c r="M30" s="3745">
        <v>3.18</v>
      </c>
      <c r="N30" s="3745">
        <v>7.66</v>
      </c>
      <c r="O30" s="3745">
        <v>57025.57</v>
      </c>
      <c r="P30" s="3716">
        <f t="shared" ref="P30:P31" si="1">ROUND(O30/L30,0)</f>
        <v>14080</v>
      </c>
      <c r="Q30" s="3746" t="s">
        <v>3606</v>
      </c>
      <c r="R30" s="3747" t="s">
        <v>3607</v>
      </c>
    </row>
    <row r="31" spans="1:44" ht="153" customHeight="1">
      <c r="A31" s="3748">
        <v>489</v>
      </c>
      <c r="B31" s="3749">
        <v>2023</v>
      </c>
      <c r="C31" s="3750">
        <v>2</v>
      </c>
      <c r="D31" s="3750">
        <v>1</v>
      </c>
      <c r="E31" s="3750" t="s">
        <v>3480</v>
      </c>
      <c r="F31" s="3750" t="s">
        <v>3444</v>
      </c>
      <c r="G31" s="3751" t="s">
        <v>3608</v>
      </c>
      <c r="H31" s="3751" t="s">
        <v>3609</v>
      </c>
      <c r="I31" s="3751" t="s">
        <v>3446</v>
      </c>
      <c r="J31" s="3751" t="s">
        <v>3610</v>
      </c>
      <c r="K31" s="3751" t="s">
        <v>3611</v>
      </c>
      <c r="L31" s="3752">
        <v>6.84</v>
      </c>
      <c r="M31" s="3752">
        <v>6.84</v>
      </c>
      <c r="N31" s="3752">
        <v>19.14</v>
      </c>
      <c r="O31" s="3745">
        <v>89422.94</v>
      </c>
      <c r="P31" s="3716">
        <f t="shared" si="1"/>
        <v>13074</v>
      </c>
      <c r="Q31" s="3753" t="s">
        <v>3612</v>
      </c>
      <c r="R31" s="3753" t="s">
        <v>3613</v>
      </c>
    </row>
    <row r="32" spans="1:44" s="3764" customFormat="1" ht="116.25" hidden="1" customHeight="1">
      <c r="A32" s="3754">
        <v>391</v>
      </c>
      <c r="B32" s="3754">
        <v>2020</v>
      </c>
      <c r="C32" s="3755">
        <v>1</v>
      </c>
      <c r="D32" s="3756">
        <v>1</v>
      </c>
      <c r="E32" s="3757" t="s">
        <v>3614</v>
      </c>
      <c r="F32" s="3757" t="s">
        <v>3444</v>
      </c>
      <c r="G32" s="3756" t="s">
        <v>3615</v>
      </c>
      <c r="H32" s="3756" t="s">
        <v>3616</v>
      </c>
      <c r="I32" s="3756" t="s">
        <v>3617</v>
      </c>
      <c r="J32" s="3756" t="s">
        <v>3618</v>
      </c>
      <c r="K32" s="3756" t="s">
        <v>3619</v>
      </c>
      <c r="L32" s="3758">
        <v>2.77</v>
      </c>
      <c r="M32" s="3758">
        <v>2.62</v>
      </c>
      <c r="N32" s="3759">
        <v>2.64</v>
      </c>
      <c r="O32" s="3759">
        <v>18955.349999999999</v>
      </c>
      <c r="P32" s="3760" t="s">
        <v>3620</v>
      </c>
      <c r="Q32" s="3756" t="s">
        <v>3621</v>
      </c>
      <c r="R32" s="3761"/>
      <c r="S32" s="3761"/>
      <c r="T32" s="3762">
        <v>6</v>
      </c>
      <c r="U32" s="3762">
        <v>210</v>
      </c>
      <c r="V32" s="3761"/>
      <c r="W32" s="3761"/>
      <c r="X32" s="3763"/>
      <c r="Y32" s="3763"/>
      <c r="Z32" s="3763"/>
      <c r="AA32" s="3763"/>
      <c r="AB32" s="3763"/>
      <c r="AC32" s="3763"/>
      <c r="AD32" s="3763"/>
      <c r="AE32" s="3763"/>
      <c r="AF32" s="3763"/>
      <c r="AG32" s="3763"/>
      <c r="AH32" s="3763"/>
      <c r="AI32" s="3763"/>
      <c r="AJ32" s="3763"/>
      <c r="AK32" s="3763"/>
      <c r="AL32" s="3763"/>
      <c r="AM32" s="3763"/>
      <c r="AN32" s="3763"/>
      <c r="AO32" s="3763"/>
      <c r="AP32" s="3763"/>
      <c r="AQ32" s="3763"/>
    </row>
    <row r="33" spans="1:43" s="3770" customFormat="1" ht="116.25" customHeight="1">
      <c r="A33" s="3754">
        <v>392</v>
      </c>
      <c r="B33" s="3765">
        <v>2020</v>
      </c>
      <c r="C33" s="3766">
        <v>1</v>
      </c>
      <c r="D33" s="3756">
        <v>2</v>
      </c>
      <c r="E33" s="3757" t="s">
        <v>3550</v>
      </c>
      <c r="F33" s="3757" t="s">
        <v>3264</v>
      </c>
      <c r="G33" s="3756" t="s">
        <v>3451</v>
      </c>
      <c r="H33" s="3756" t="s">
        <v>3491</v>
      </c>
      <c r="I33" s="3756" t="s">
        <v>3446</v>
      </c>
      <c r="J33" s="3756" t="s">
        <v>3551</v>
      </c>
      <c r="K33" s="3756" t="s">
        <v>3504</v>
      </c>
      <c r="L33" s="3758">
        <v>1.24</v>
      </c>
      <c r="M33" s="3758">
        <v>1.19</v>
      </c>
      <c r="N33" s="3759">
        <v>1.78</v>
      </c>
      <c r="O33" s="3759">
        <v>69189.69</v>
      </c>
      <c r="P33" s="3760" t="s">
        <v>3552</v>
      </c>
      <c r="Q33" s="3756" t="s">
        <v>3553</v>
      </c>
      <c r="R33" s="3761"/>
      <c r="S33" s="3761"/>
      <c r="T33" s="3767"/>
      <c r="U33" s="3767"/>
      <c r="V33" s="3761"/>
      <c r="W33" s="3761"/>
      <c r="X33" s="3768"/>
      <c r="Y33" s="3769"/>
      <c r="Z33" s="3769"/>
      <c r="AA33" s="3769"/>
      <c r="AB33" s="3769"/>
      <c r="AC33" s="3769"/>
      <c r="AD33" s="3769"/>
      <c r="AE33" s="3769"/>
      <c r="AF33" s="3769"/>
      <c r="AG33" s="3769"/>
      <c r="AH33" s="3769"/>
      <c r="AI33" s="3769"/>
      <c r="AJ33" s="3769"/>
      <c r="AK33" s="3769"/>
      <c r="AL33" s="3769"/>
      <c r="AM33" s="3769"/>
      <c r="AN33" s="3769"/>
      <c r="AO33" s="3769"/>
      <c r="AP33" s="3769"/>
      <c r="AQ33" s="3769"/>
    </row>
    <row r="34" spans="1:43" s="3774" customFormat="1" ht="129.6" hidden="1">
      <c r="A34" s="3754">
        <v>393</v>
      </c>
      <c r="B34" s="3754">
        <v>2020</v>
      </c>
      <c r="C34" s="3755">
        <v>2</v>
      </c>
      <c r="D34" s="3756">
        <v>1</v>
      </c>
      <c r="E34" s="3757" t="s">
        <v>3573</v>
      </c>
      <c r="F34" s="3757" t="s">
        <v>3444</v>
      </c>
      <c r="G34" s="3756" t="s">
        <v>3622</v>
      </c>
      <c r="H34" s="3756" t="s">
        <v>3603</v>
      </c>
      <c r="I34" s="3756" t="s">
        <v>3617</v>
      </c>
      <c r="J34" s="3756" t="s">
        <v>3461</v>
      </c>
      <c r="K34" s="3771" t="s">
        <v>3623</v>
      </c>
      <c r="L34" s="3772">
        <v>3.65</v>
      </c>
      <c r="M34" s="3772">
        <v>3.65</v>
      </c>
      <c r="N34" s="3772">
        <v>8.57</v>
      </c>
      <c r="O34" s="3772">
        <v>111410</v>
      </c>
      <c r="P34" s="3773" t="s">
        <v>3624</v>
      </c>
      <c r="Q34" s="3756" t="s">
        <v>3625</v>
      </c>
    </row>
    <row r="35" spans="1:43" s="3774" customFormat="1" ht="180" hidden="1">
      <c r="A35" s="3754">
        <v>394</v>
      </c>
      <c r="B35" s="3754">
        <v>2020</v>
      </c>
      <c r="C35" s="3755">
        <v>2</v>
      </c>
      <c r="D35" s="3775">
        <v>2</v>
      </c>
      <c r="E35" s="3776" t="s">
        <v>3573</v>
      </c>
      <c r="F35" s="3776" t="s">
        <v>3444</v>
      </c>
      <c r="G35" s="3776" t="s">
        <v>3626</v>
      </c>
      <c r="H35" s="3776" t="s">
        <v>3627</v>
      </c>
      <c r="I35" s="3776" t="s">
        <v>3617</v>
      </c>
      <c r="J35" s="3776" t="s">
        <v>3628</v>
      </c>
      <c r="K35" s="3776" t="s">
        <v>3629</v>
      </c>
      <c r="L35" s="3776">
        <v>19.54</v>
      </c>
      <c r="M35" s="3776">
        <v>19.54</v>
      </c>
      <c r="N35" s="3776">
        <v>26.1</v>
      </c>
      <c r="O35" s="3776">
        <v>117450.07</v>
      </c>
      <c r="P35" s="3777" t="s">
        <v>3630</v>
      </c>
      <c r="Q35" s="3776" t="s">
        <v>3625</v>
      </c>
    </row>
    <row r="36" spans="1:43" s="3774" customFormat="1" ht="144" hidden="1">
      <c r="A36" s="3754">
        <v>395</v>
      </c>
      <c r="B36" s="3754">
        <v>2020</v>
      </c>
      <c r="C36" s="3755">
        <v>2</v>
      </c>
      <c r="D36" s="3778">
        <v>3</v>
      </c>
      <c r="E36" s="3759" t="s">
        <v>3502</v>
      </c>
      <c r="F36" s="3759" t="s">
        <v>3444</v>
      </c>
      <c r="G36" s="3759" t="s">
        <v>3631</v>
      </c>
      <c r="H36" s="3759" t="s">
        <v>3632</v>
      </c>
      <c r="I36" s="3759" t="s">
        <v>3617</v>
      </c>
      <c r="J36" s="3759" t="s">
        <v>3633</v>
      </c>
      <c r="K36" s="3771" t="s">
        <v>3634</v>
      </c>
      <c r="L36" s="3772">
        <v>3.74</v>
      </c>
      <c r="M36" s="3772">
        <v>3.74</v>
      </c>
      <c r="N36" s="3772">
        <v>14.2</v>
      </c>
      <c r="O36" s="3772" t="s">
        <v>3635</v>
      </c>
      <c r="P36" s="3773" t="s">
        <v>3636</v>
      </c>
      <c r="Q36" s="3756" t="s">
        <v>3637</v>
      </c>
    </row>
    <row r="37" spans="1:43" s="3774" customFormat="1" ht="252" hidden="1">
      <c r="A37" s="3754">
        <v>396</v>
      </c>
      <c r="B37" s="3754">
        <v>2020</v>
      </c>
      <c r="C37" s="3755">
        <v>2</v>
      </c>
      <c r="D37" s="3778">
        <v>4</v>
      </c>
      <c r="E37" s="3759" t="s">
        <v>3449</v>
      </c>
      <c r="F37" s="3759" t="s">
        <v>3444</v>
      </c>
      <c r="G37" s="3759" t="s">
        <v>3638</v>
      </c>
      <c r="H37" s="3759" t="s">
        <v>3639</v>
      </c>
      <c r="I37" s="3759" t="s">
        <v>3617</v>
      </c>
      <c r="J37" s="3759" t="s">
        <v>3640</v>
      </c>
      <c r="K37" s="3756" t="s">
        <v>3641</v>
      </c>
      <c r="L37" s="3779">
        <v>17.7</v>
      </c>
      <c r="M37" s="3779">
        <v>17.7</v>
      </c>
      <c r="N37" s="3779">
        <v>25.1</v>
      </c>
      <c r="O37" s="3772">
        <v>862961.97100000002</v>
      </c>
      <c r="P37" s="3773" t="s">
        <v>3642</v>
      </c>
      <c r="Q37" s="3756" t="s">
        <v>3643</v>
      </c>
    </row>
    <row r="38" spans="1:43" s="3774" customFormat="1" ht="162.75" hidden="1" customHeight="1">
      <c r="A38" s="3754">
        <v>397</v>
      </c>
      <c r="B38" s="3754">
        <v>2020</v>
      </c>
      <c r="C38" s="3755">
        <v>2</v>
      </c>
      <c r="D38" s="3756">
        <v>5</v>
      </c>
      <c r="E38" s="3757" t="s">
        <v>3543</v>
      </c>
      <c r="F38" s="3757" t="s">
        <v>3444</v>
      </c>
      <c r="G38" s="3756" t="s">
        <v>3644</v>
      </c>
      <c r="H38" s="3756" t="s">
        <v>3545</v>
      </c>
      <c r="I38" s="3756" t="s">
        <v>3617</v>
      </c>
      <c r="J38" s="3756" t="s">
        <v>3645</v>
      </c>
      <c r="K38" s="3771" t="s">
        <v>3646</v>
      </c>
      <c r="L38" s="3772">
        <v>12.63</v>
      </c>
      <c r="M38" s="3772">
        <v>6.82</v>
      </c>
      <c r="N38" s="3772">
        <v>21.8</v>
      </c>
      <c r="O38" s="3772">
        <v>63515.65</v>
      </c>
      <c r="P38" s="3780" t="s">
        <v>3647</v>
      </c>
      <c r="Q38" s="3776" t="s">
        <v>3625</v>
      </c>
    </row>
    <row r="39" spans="1:43" s="3774" customFormat="1" ht="115.2">
      <c r="A39" s="3754">
        <v>398</v>
      </c>
      <c r="B39" s="3754">
        <v>2020</v>
      </c>
      <c r="C39" s="3755">
        <v>2</v>
      </c>
      <c r="D39" s="3756">
        <v>6</v>
      </c>
      <c r="E39" s="3781" t="s">
        <v>3543</v>
      </c>
      <c r="F39" s="3781" t="s">
        <v>3444</v>
      </c>
      <c r="G39" s="3781" t="s">
        <v>3554</v>
      </c>
      <c r="H39" s="3781" t="s">
        <v>3545</v>
      </c>
      <c r="I39" s="3781" t="s">
        <v>3446</v>
      </c>
      <c r="J39" s="3781" t="s">
        <v>3555</v>
      </c>
      <c r="K39" s="3782" t="s">
        <v>3556</v>
      </c>
      <c r="L39" s="3781">
        <v>0.55000000000000004</v>
      </c>
      <c r="M39" s="3781">
        <v>0.55000000000000004</v>
      </c>
      <c r="N39" s="3781">
        <v>1.54</v>
      </c>
      <c r="O39" s="3781">
        <v>8299.32</v>
      </c>
      <c r="P39" s="3783" t="s">
        <v>3557</v>
      </c>
      <c r="Q39" s="3781" t="s">
        <v>3558</v>
      </c>
    </row>
    <row r="40" spans="1:43" s="3774" customFormat="1" ht="168.75" hidden="1" customHeight="1">
      <c r="A40" s="3754">
        <v>399</v>
      </c>
      <c r="B40" s="3756">
        <v>2020</v>
      </c>
      <c r="C40" s="3784">
        <v>3</v>
      </c>
      <c r="D40" s="3756">
        <v>1</v>
      </c>
      <c r="E40" s="3776" t="s">
        <v>3449</v>
      </c>
      <c r="F40" s="3776" t="s">
        <v>3444</v>
      </c>
      <c r="G40" s="3775" t="s">
        <v>3648</v>
      </c>
      <c r="H40" s="3775" t="s">
        <v>3639</v>
      </c>
      <c r="I40" s="3775" t="s">
        <v>3617</v>
      </c>
      <c r="J40" s="3775" t="s">
        <v>3649</v>
      </c>
      <c r="K40" s="3775" t="s">
        <v>3650</v>
      </c>
      <c r="L40" s="3785">
        <v>11.8453</v>
      </c>
      <c r="M40" s="3785">
        <v>9.2689023000000006</v>
      </c>
      <c r="N40" s="3785">
        <v>30.674299999999999</v>
      </c>
      <c r="O40" s="3785">
        <v>272092.21999999997</v>
      </c>
      <c r="P40" s="3786" t="s">
        <v>3651</v>
      </c>
      <c r="Q40" s="3771" t="s">
        <v>3652</v>
      </c>
    </row>
    <row r="41" spans="1:43" s="3774" customFormat="1" ht="162.75" hidden="1" customHeight="1">
      <c r="A41" s="3754">
        <v>400</v>
      </c>
      <c r="B41" s="3756">
        <v>2020</v>
      </c>
      <c r="C41" s="3784">
        <v>3</v>
      </c>
      <c r="D41" s="3756">
        <v>2</v>
      </c>
      <c r="E41" s="3757" t="s">
        <v>3512</v>
      </c>
      <c r="F41" s="3757" t="s">
        <v>3444</v>
      </c>
      <c r="G41" s="3756" t="s">
        <v>3653</v>
      </c>
      <c r="H41" s="3756" t="s">
        <v>3654</v>
      </c>
      <c r="I41" s="3756" t="s">
        <v>3617</v>
      </c>
      <c r="J41" s="3756" t="s">
        <v>3655</v>
      </c>
      <c r="K41" s="3756" t="s">
        <v>3656</v>
      </c>
      <c r="L41" s="3772">
        <v>10.81</v>
      </c>
      <c r="M41" s="3772">
        <v>6.32</v>
      </c>
      <c r="N41" s="3772">
        <v>12.02</v>
      </c>
      <c r="O41" s="3772">
        <v>73839</v>
      </c>
      <c r="P41" s="3760" t="s">
        <v>3657</v>
      </c>
      <c r="Q41" s="3771" t="s">
        <v>3652</v>
      </c>
    </row>
    <row r="42" spans="1:43" s="3774" customFormat="1" ht="171" hidden="1" customHeight="1">
      <c r="A42" s="3754">
        <v>401</v>
      </c>
      <c r="B42" s="3787">
        <v>2020</v>
      </c>
      <c r="C42" s="3784">
        <v>4</v>
      </c>
      <c r="D42" s="3778">
        <v>1</v>
      </c>
      <c r="E42" s="3759" t="s">
        <v>3591</v>
      </c>
      <c r="F42" s="3759" t="s">
        <v>3444</v>
      </c>
      <c r="G42" s="3759" t="s">
        <v>3658</v>
      </c>
      <c r="H42" s="3759" t="s">
        <v>3659</v>
      </c>
      <c r="I42" s="3759" t="s">
        <v>3617</v>
      </c>
      <c r="J42" s="3759" t="s">
        <v>3660</v>
      </c>
      <c r="K42" s="3788" t="s">
        <v>3661</v>
      </c>
      <c r="L42" s="3789" t="s">
        <v>3662</v>
      </c>
      <c r="M42" s="3789" t="str">
        <f>L42</f>
        <v xml:space="preserve">4.80
</v>
      </c>
      <c r="N42" s="3790" t="s">
        <v>3663</v>
      </c>
      <c r="O42" s="3790" t="s">
        <v>3664</v>
      </c>
      <c r="P42" s="3773" t="s">
        <v>3665</v>
      </c>
      <c r="Q42" s="3756" t="s">
        <v>3625</v>
      </c>
    </row>
    <row r="43" spans="1:43" s="3774" customFormat="1" ht="210" hidden="1" customHeight="1">
      <c r="A43" s="3754">
        <v>402</v>
      </c>
      <c r="B43" s="3756">
        <v>2020</v>
      </c>
      <c r="C43" s="3784">
        <v>4</v>
      </c>
      <c r="D43" s="3756">
        <v>2</v>
      </c>
      <c r="E43" s="3757" t="s">
        <v>3591</v>
      </c>
      <c r="F43" s="3757" t="s">
        <v>3444</v>
      </c>
      <c r="G43" s="3756" t="s">
        <v>3666</v>
      </c>
      <c r="H43" s="3756" t="s">
        <v>3593</v>
      </c>
      <c r="I43" s="3756" t="s">
        <v>3617</v>
      </c>
      <c r="J43" s="3756" t="s">
        <v>3667</v>
      </c>
      <c r="K43" s="3791" t="s">
        <v>3668</v>
      </c>
      <c r="L43" s="3772">
        <v>25.67</v>
      </c>
      <c r="M43" s="3772">
        <v>25.67</v>
      </c>
      <c r="N43" s="3772">
        <v>53.89</v>
      </c>
      <c r="O43" s="3792">
        <v>855684.32</v>
      </c>
      <c r="P43" s="3793" t="s">
        <v>3669</v>
      </c>
      <c r="Q43" s="3756" t="s">
        <v>3625</v>
      </c>
    </row>
    <row r="44" spans="1:43" s="3774" customFormat="1" ht="168.75" hidden="1" customHeight="1">
      <c r="A44" s="3754">
        <v>403</v>
      </c>
      <c r="B44" s="3756">
        <v>2020</v>
      </c>
      <c r="C44" s="3784">
        <v>4</v>
      </c>
      <c r="D44" s="3756">
        <v>3</v>
      </c>
      <c r="E44" s="3759" t="s">
        <v>3591</v>
      </c>
      <c r="F44" s="3757" t="s">
        <v>3444</v>
      </c>
      <c r="G44" s="3759" t="s">
        <v>3670</v>
      </c>
      <c r="H44" s="3759" t="s">
        <v>3659</v>
      </c>
      <c r="I44" s="3756" t="s">
        <v>3617</v>
      </c>
      <c r="J44" s="3759" t="s">
        <v>3671</v>
      </c>
      <c r="K44" s="3788" t="s">
        <v>3672</v>
      </c>
      <c r="L44" s="3794">
        <v>28.31</v>
      </c>
      <c r="M44" s="3759">
        <v>28.31</v>
      </c>
      <c r="N44" s="3759">
        <v>41.59</v>
      </c>
      <c r="O44" s="3792">
        <v>302337.65999999997</v>
      </c>
      <c r="P44" s="3760" t="s">
        <v>3673</v>
      </c>
      <c r="Q44" s="3775" t="s">
        <v>3674</v>
      </c>
    </row>
    <row r="45" spans="1:43" s="3774" customFormat="1" ht="147" hidden="1" customHeight="1">
      <c r="A45" s="3754">
        <v>404</v>
      </c>
      <c r="B45" s="3756">
        <v>2020</v>
      </c>
      <c r="C45" s="3784">
        <v>4</v>
      </c>
      <c r="D45" s="3756">
        <v>4</v>
      </c>
      <c r="E45" s="3757" t="s">
        <v>3543</v>
      </c>
      <c r="F45" s="3757" t="s">
        <v>3444</v>
      </c>
      <c r="G45" s="3756" t="s">
        <v>3675</v>
      </c>
      <c r="H45" s="3756" t="s">
        <v>3545</v>
      </c>
      <c r="I45" s="3756" t="s">
        <v>3617</v>
      </c>
      <c r="J45" s="3756" t="s">
        <v>3676</v>
      </c>
      <c r="K45" s="3795" t="s">
        <v>3677</v>
      </c>
      <c r="L45" s="3772" t="s">
        <v>3678</v>
      </c>
      <c r="M45" s="3772">
        <v>4.46</v>
      </c>
      <c r="N45" s="3772">
        <v>9.61</v>
      </c>
      <c r="O45" s="3772">
        <v>59799.884129700498</v>
      </c>
      <c r="P45" s="3760" t="s">
        <v>3679</v>
      </c>
      <c r="Q45" s="3756" t="s">
        <v>3625</v>
      </c>
    </row>
    <row r="46" spans="1:43" s="3774" customFormat="1" ht="201.6" hidden="1">
      <c r="A46" s="3754">
        <v>405</v>
      </c>
      <c r="B46" s="3756">
        <v>2020</v>
      </c>
      <c r="C46" s="3784">
        <v>5</v>
      </c>
      <c r="D46" s="3778">
        <v>1</v>
      </c>
      <c r="E46" s="3759" t="s">
        <v>3680</v>
      </c>
      <c r="F46" s="3759" t="s">
        <v>3444</v>
      </c>
      <c r="G46" s="3759" t="s">
        <v>3681</v>
      </c>
      <c r="H46" s="3759" t="s">
        <v>3682</v>
      </c>
      <c r="I46" s="3759" t="s">
        <v>3617</v>
      </c>
      <c r="J46" s="3759" t="s">
        <v>3683</v>
      </c>
      <c r="K46" s="3788" t="s">
        <v>3684</v>
      </c>
      <c r="L46" s="3796">
        <v>18.47</v>
      </c>
      <c r="M46" s="3796">
        <v>18.47</v>
      </c>
      <c r="N46" s="3790">
        <v>39.54</v>
      </c>
      <c r="O46" s="3781">
        <v>1490076</v>
      </c>
      <c r="P46" s="3797" t="s">
        <v>3685</v>
      </c>
      <c r="Q46" s="3775" t="s">
        <v>3686</v>
      </c>
    </row>
    <row r="47" spans="1:43" s="3774" customFormat="1" ht="228" hidden="1">
      <c r="A47" s="3754">
        <v>406</v>
      </c>
      <c r="B47" s="3756">
        <v>2020</v>
      </c>
      <c r="C47" s="3784">
        <v>5</v>
      </c>
      <c r="D47" s="3756">
        <v>2</v>
      </c>
      <c r="E47" s="3757" t="s">
        <v>3680</v>
      </c>
      <c r="F47" s="3757" t="s">
        <v>3444</v>
      </c>
      <c r="G47" s="3798" t="s">
        <v>3687</v>
      </c>
      <c r="H47" s="3756" t="s">
        <v>3688</v>
      </c>
      <c r="I47" s="3756" t="s">
        <v>3617</v>
      </c>
      <c r="J47" s="3756" t="s">
        <v>3689</v>
      </c>
      <c r="K47" s="3795" t="s">
        <v>3690</v>
      </c>
      <c r="L47" s="3772">
        <v>31.95</v>
      </c>
      <c r="M47" s="3772">
        <v>15.55</v>
      </c>
      <c r="N47" s="3772">
        <v>38.909999999999997</v>
      </c>
      <c r="O47" s="3772">
        <v>460924.73</v>
      </c>
      <c r="P47" s="3760" t="s">
        <v>3691</v>
      </c>
      <c r="Q47" s="3756" t="s">
        <v>3692</v>
      </c>
    </row>
    <row r="48" spans="1:43" s="3774" customFormat="1" ht="187.2" hidden="1">
      <c r="A48" s="3754">
        <v>407</v>
      </c>
      <c r="B48" s="3756">
        <v>2020</v>
      </c>
      <c r="C48" s="3784">
        <v>5</v>
      </c>
      <c r="D48" s="3778">
        <v>3</v>
      </c>
      <c r="E48" s="3778" t="s">
        <v>3693</v>
      </c>
      <c r="F48" s="3778" t="s">
        <v>3444</v>
      </c>
      <c r="G48" s="3778" t="s">
        <v>3694</v>
      </c>
      <c r="H48" s="3778" t="s">
        <v>3695</v>
      </c>
      <c r="I48" s="3778" t="s">
        <v>3617</v>
      </c>
      <c r="J48" s="3778" t="s">
        <v>3696</v>
      </c>
      <c r="K48" s="3799" t="s">
        <v>3697</v>
      </c>
      <c r="L48" s="3781">
        <v>0.69</v>
      </c>
      <c r="M48" s="3781">
        <v>0.58850000000000002</v>
      </c>
      <c r="N48" s="3781" t="s">
        <v>3698</v>
      </c>
      <c r="O48" s="3781">
        <v>36207.410000000003</v>
      </c>
      <c r="P48" s="3800" t="s">
        <v>3699</v>
      </c>
      <c r="Q48" s="3801" t="s">
        <v>3700</v>
      </c>
    </row>
    <row r="49" spans="1:19" s="3774" customFormat="1" ht="201.6" hidden="1">
      <c r="A49" s="3754">
        <v>408</v>
      </c>
      <c r="B49" s="3756">
        <v>2020</v>
      </c>
      <c r="C49" s="3784">
        <v>5</v>
      </c>
      <c r="D49" s="3756">
        <v>4</v>
      </c>
      <c r="E49" s="3757" t="s">
        <v>3512</v>
      </c>
      <c r="F49" s="3757" t="s">
        <v>3444</v>
      </c>
      <c r="G49" s="3756" t="s">
        <v>3701</v>
      </c>
      <c r="H49" s="3756" t="s">
        <v>3654</v>
      </c>
      <c r="I49" s="3756" t="s">
        <v>3617</v>
      </c>
      <c r="J49" s="3756" t="s">
        <v>3696</v>
      </c>
      <c r="K49" s="3756" t="s">
        <v>3702</v>
      </c>
      <c r="L49" s="3772">
        <v>11.5</v>
      </c>
      <c r="M49" s="3772">
        <v>11.5</v>
      </c>
      <c r="N49" s="3772">
        <v>22.25</v>
      </c>
      <c r="O49" s="3802">
        <v>136682</v>
      </c>
      <c r="P49" s="3760" t="s">
        <v>3703</v>
      </c>
      <c r="Q49" s="3756" t="s">
        <v>3625</v>
      </c>
    </row>
    <row r="50" spans="1:19" s="3774" customFormat="1" ht="187.2" hidden="1">
      <c r="A50" s="3754">
        <v>409</v>
      </c>
      <c r="B50" s="3756">
        <v>2020</v>
      </c>
      <c r="C50" s="3784">
        <v>5</v>
      </c>
      <c r="D50" s="3803">
        <v>5</v>
      </c>
      <c r="E50" s="3781" t="s">
        <v>3502</v>
      </c>
      <c r="F50" s="3781" t="s">
        <v>3444</v>
      </c>
      <c r="G50" s="3781" t="s">
        <v>3704</v>
      </c>
      <c r="H50" s="3781" t="s">
        <v>3705</v>
      </c>
      <c r="I50" s="3781" t="s">
        <v>3617</v>
      </c>
      <c r="J50" s="3781" t="s">
        <v>3706</v>
      </c>
      <c r="K50" s="3788" t="s">
        <v>3707</v>
      </c>
      <c r="L50" s="3804">
        <v>1.6</v>
      </c>
      <c r="M50" s="3804">
        <v>1.6</v>
      </c>
      <c r="N50" s="3781">
        <v>2.56</v>
      </c>
      <c r="O50" s="3781">
        <v>38400</v>
      </c>
      <c r="P50" s="3786" t="s">
        <v>3708</v>
      </c>
      <c r="Q50" s="3775" t="s">
        <v>3709</v>
      </c>
    </row>
    <row r="51" spans="1:19" s="3774" customFormat="1" ht="164.25" hidden="1" customHeight="1">
      <c r="A51" s="3754">
        <v>410</v>
      </c>
      <c r="B51" s="3756">
        <v>2020</v>
      </c>
      <c r="C51" s="3784">
        <v>5</v>
      </c>
      <c r="D51" s="3756">
        <v>6</v>
      </c>
      <c r="E51" s="3759" t="s">
        <v>3469</v>
      </c>
      <c r="F51" s="3759" t="s">
        <v>3444</v>
      </c>
      <c r="G51" s="3759" t="s">
        <v>3710</v>
      </c>
      <c r="H51" s="3759" t="s">
        <v>3711</v>
      </c>
      <c r="I51" s="3759" t="s">
        <v>3617</v>
      </c>
      <c r="J51" s="3759" t="s">
        <v>3712</v>
      </c>
      <c r="K51" s="3788" t="s">
        <v>3713</v>
      </c>
      <c r="L51" s="3805">
        <v>18.23</v>
      </c>
      <c r="M51" s="3805">
        <v>18.23</v>
      </c>
      <c r="N51" s="3759">
        <v>31.18</v>
      </c>
      <c r="O51" s="3806">
        <v>388814.14</v>
      </c>
      <c r="P51" s="3807" t="s">
        <v>3714</v>
      </c>
      <c r="Q51" s="3775" t="s">
        <v>3715</v>
      </c>
    </row>
    <row r="52" spans="1:19" s="3774" customFormat="1" ht="152.25" hidden="1" customHeight="1">
      <c r="A52" s="3754">
        <v>411</v>
      </c>
      <c r="B52" s="3756">
        <v>2020</v>
      </c>
      <c r="C52" s="3784">
        <v>5</v>
      </c>
      <c r="D52" s="3756">
        <v>7</v>
      </c>
      <c r="E52" s="3759" t="s">
        <v>3452</v>
      </c>
      <c r="F52" s="3759" t="s">
        <v>3444</v>
      </c>
      <c r="G52" s="3759" t="s">
        <v>3716</v>
      </c>
      <c r="H52" s="3759" t="s">
        <v>3717</v>
      </c>
      <c r="I52" s="3759" t="s">
        <v>3617</v>
      </c>
      <c r="J52" s="3759" t="s">
        <v>3718</v>
      </c>
      <c r="K52" s="3788" t="s">
        <v>3719</v>
      </c>
      <c r="L52" s="3808">
        <v>54.78</v>
      </c>
      <c r="M52" s="3781">
        <v>54.78</v>
      </c>
      <c r="N52" s="3781">
        <v>37.621033672670301</v>
      </c>
      <c r="O52" s="3809">
        <v>174378</v>
      </c>
      <c r="P52" s="3810" t="s">
        <v>3720</v>
      </c>
      <c r="Q52" s="3781" t="s">
        <v>3721</v>
      </c>
    </row>
    <row r="53" spans="1:19" s="3774" customFormat="1" ht="164.25" hidden="1" customHeight="1">
      <c r="A53" s="3754">
        <v>412</v>
      </c>
      <c r="B53" s="3756">
        <v>2020</v>
      </c>
      <c r="C53" s="3784">
        <v>5</v>
      </c>
      <c r="D53" s="3756">
        <v>8</v>
      </c>
      <c r="E53" s="3759" t="s">
        <v>3469</v>
      </c>
      <c r="F53" s="3759" t="s">
        <v>3444</v>
      </c>
      <c r="G53" s="3759" t="s">
        <v>3722</v>
      </c>
      <c r="H53" s="3759" t="s">
        <v>3458</v>
      </c>
      <c r="I53" s="3759" t="s">
        <v>3617</v>
      </c>
      <c r="J53" s="3759" t="s">
        <v>3723</v>
      </c>
      <c r="K53" s="3788" t="s">
        <v>3724</v>
      </c>
      <c r="L53" s="3804">
        <v>9.07</v>
      </c>
      <c r="M53" s="3804">
        <v>9.07</v>
      </c>
      <c r="N53" s="3781">
        <v>6.2289663273296796</v>
      </c>
      <c r="O53" s="3809">
        <v>28872</v>
      </c>
      <c r="P53" s="3807" t="s">
        <v>3725</v>
      </c>
      <c r="Q53" s="3775" t="s">
        <v>3726</v>
      </c>
    </row>
    <row r="54" spans="1:19" s="3774" customFormat="1" ht="145.5" customHeight="1">
      <c r="A54" s="3754">
        <v>413</v>
      </c>
      <c r="B54" s="3756">
        <v>2020</v>
      </c>
      <c r="C54" s="3784">
        <v>5</v>
      </c>
      <c r="D54" s="3778">
        <v>9</v>
      </c>
      <c r="E54" s="3759" t="s">
        <v>3469</v>
      </c>
      <c r="F54" s="3759" t="s">
        <v>3444</v>
      </c>
      <c r="G54" s="3759" t="s">
        <v>3559</v>
      </c>
      <c r="H54" s="3759" t="s">
        <v>3458</v>
      </c>
      <c r="I54" s="3759" t="s">
        <v>3446</v>
      </c>
      <c r="J54" s="3759" t="s">
        <v>3560</v>
      </c>
      <c r="K54" s="3788" t="s">
        <v>3561</v>
      </c>
      <c r="L54" s="3796">
        <v>49.33</v>
      </c>
      <c r="M54" s="3796">
        <v>10.67</v>
      </c>
      <c r="N54" s="3790">
        <v>26.67</v>
      </c>
      <c r="O54" s="3781">
        <v>380047.5</v>
      </c>
      <c r="P54" s="3786" t="s">
        <v>3562</v>
      </c>
      <c r="Q54" s="3775" t="s">
        <v>3563</v>
      </c>
    </row>
    <row r="55" spans="1:19" s="3774" customFormat="1" ht="216" hidden="1">
      <c r="A55" s="3754">
        <v>414</v>
      </c>
      <c r="B55" s="3756">
        <v>2020</v>
      </c>
      <c r="C55" s="3784">
        <v>5</v>
      </c>
      <c r="D55" s="3778">
        <v>10</v>
      </c>
      <c r="E55" s="3759" t="s">
        <v>3523</v>
      </c>
      <c r="F55" s="3759" t="s">
        <v>3444</v>
      </c>
      <c r="G55" s="3759" t="s">
        <v>3564</v>
      </c>
      <c r="H55" s="3759" t="s">
        <v>3525</v>
      </c>
      <c r="I55" s="3759" t="s">
        <v>3455</v>
      </c>
      <c r="J55" s="3759" t="s">
        <v>3565</v>
      </c>
      <c r="K55" s="3788" t="s">
        <v>3566</v>
      </c>
      <c r="L55" s="3796">
        <v>4.43</v>
      </c>
      <c r="M55" s="3796">
        <v>4.0599999999999996</v>
      </c>
      <c r="N55" s="3790">
        <v>9.2799999999999994</v>
      </c>
      <c r="O55" s="3811">
        <v>21448.106400000001</v>
      </c>
      <c r="P55" s="3786" t="s">
        <v>3727</v>
      </c>
      <c r="Q55" s="3775" t="s">
        <v>3563</v>
      </c>
    </row>
    <row r="56" spans="1:19" s="3819" customFormat="1" ht="195.75" hidden="1" customHeight="1">
      <c r="A56" s="3754">
        <v>415</v>
      </c>
      <c r="B56" s="3756">
        <v>2021</v>
      </c>
      <c r="C56" s="3812">
        <v>1</v>
      </c>
      <c r="D56" s="3813">
        <v>1</v>
      </c>
      <c r="E56" s="3814" t="s">
        <v>3456</v>
      </c>
      <c r="F56" s="3814" t="s">
        <v>3444</v>
      </c>
      <c r="G56" s="3814" t="s">
        <v>3728</v>
      </c>
      <c r="H56" s="3814" t="s">
        <v>3729</v>
      </c>
      <c r="I56" s="3814" t="s">
        <v>3617</v>
      </c>
      <c r="J56" s="3814" t="s">
        <v>3730</v>
      </c>
      <c r="K56" s="3814" t="s">
        <v>3731</v>
      </c>
      <c r="L56" s="3814">
        <v>12.41</v>
      </c>
      <c r="M56" s="3814">
        <v>12.41</v>
      </c>
      <c r="N56" s="3814">
        <v>24.068999999999999</v>
      </c>
      <c r="O56" s="3815">
        <v>274498.32</v>
      </c>
      <c r="P56" s="3816" t="s">
        <v>3732</v>
      </c>
      <c r="Q56" s="3817" t="s">
        <v>3625</v>
      </c>
      <c r="R56" s="3818" t="s">
        <v>3733</v>
      </c>
      <c r="S56" s="3818" t="s">
        <v>3734</v>
      </c>
    </row>
    <row r="57" spans="1:19" s="3819" customFormat="1" ht="179.25" hidden="1" customHeight="1">
      <c r="A57" s="3754">
        <v>416</v>
      </c>
      <c r="B57" s="3756">
        <v>2021</v>
      </c>
      <c r="C57" s="3812">
        <v>1</v>
      </c>
      <c r="D57" s="3813">
        <v>2</v>
      </c>
      <c r="E57" s="3814" t="s">
        <v>3512</v>
      </c>
      <c r="F57" s="3814" t="s">
        <v>3444</v>
      </c>
      <c r="G57" s="3814" t="s">
        <v>3735</v>
      </c>
      <c r="H57" s="3814" t="s">
        <v>3654</v>
      </c>
      <c r="I57" s="3814" t="s">
        <v>3617</v>
      </c>
      <c r="J57" s="3814" t="s">
        <v>3736</v>
      </c>
      <c r="K57" s="3814" t="s">
        <v>3656</v>
      </c>
      <c r="L57" s="3814">
        <v>1.93</v>
      </c>
      <c r="M57" s="3814">
        <v>1.93</v>
      </c>
      <c r="N57" s="3814">
        <v>3.86</v>
      </c>
      <c r="O57" s="3815">
        <f>ROUND(6143*N57,0)</f>
        <v>23712</v>
      </c>
      <c r="P57" s="3816" t="s">
        <v>3737</v>
      </c>
      <c r="Q57" s="3817" t="s">
        <v>3625</v>
      </c>
      <c r="R57" s="3818"/>
      <c r="S57" s="3818"/>
    </row>
    <row r="58" spans="1:19" s="3774" customFormat="1" ht="201.6" hidden="1">
      <c r="A58" s="3754">
        <v>417</v>
      </c>
      <c r="B58" s="3756">
        <v>2021</v>
      </c>
      <c r="C58" s="3755">
        <v>2</v>
      </c>
      <c r="D58" s="3756">
        <v>1</v>
      </c>
      <c r="E58" s="3759" t="s">
        <v>3680</v>
      </c>
      <c r="F58" s="3759" t="s">
        <v>3444</v>
      </c>
      <c r="G58" s="3759" t="s">
        <v>3738</v>
      </c>
      <c r="H58" s="3759" t="s">
        <v>3682</v>
      </c>
      <c r="I58" s="3759" t="s">
        <v>3617</v>
      </c>
      <c r="J58" s="3759" t="s">
        <v>3739</v>
      </c>
      <c r="K58" s="3788" t="s">
        <v>3740</v>
      </c>
      <c r="L58" s="3796">
        <v>11.39</v>
      </c>
      <c r="M58" s="3796">
        <v>11.39</v>
      </c>
      <c r="N58" s="3790">
        <v>27.61</v>
      </c>
      <c r="O58" s="3781">
        <v>917292.13</v>
      </c>
      <c r="P58" s="3800" t="s">
        <v>3741</v>
      </c>
      <c r="Q58" s="3775" t="s">
        <v>3686</v>
      </c>
    </row>
    <row r="59" spans="1:19" s="3774" customFormat="1" ht="230.4" hidden="1">
      <c r="A59" s="3754">
        <v>418</v>
      </c>
      <c r="B59" s="3756">
        <v>2021</v>
      </c>
      <c r="C59" s="3755">
        <v>2</v>
      </c>
      <c r="D59" s="3778">
        <v>2</v>
      </c>
      <c r="E59" s="3759" t="s">
        <v>3489</v>
      </c>
      <c r="F59" s="3759" t="s">
        <v>3444</v>
      </c>
      <c r="G59" s="3759" t="s">
        <v>3742</v>
      </c>
      <c r="H59" s="3759" t="s">
        <v>3743</v>
      </c>
      <c r="I59" s="3759" t="s">
        <v>3617</v>
      </c>
      <c r="J59" s="3759" t="s">
        <v>3744</v>
      </c>
      <c r="K59" s="3788" t="s">
        <v>3745</v>
      </c>
      <c r="L59" s="3759">
        <v>26.7</v>
      </c>
      <c r="M59" s="3759">
        <v>15.61</v>
      </c>
      <c r="N59" s="3759">
        <v>16.526</v>
      </c>
      <c r="O59" s="3759">
        <v>281956.03999999998</v>
      </c>
      <c r="P59" s="3760" t="s">
        <v>3746</v>
      </c>
      <c r="Q59" s="3756" t="s">
        <v>3625</v>
      </c>
    </row>
    <row r="60" spans="1:19" s="3774" customFormat="1" ht="243" hidden="1" customHeight="1">
      <c r="A60" s="3754">
        <v>419</v>
      </c>
      <c r="B60" s="3756">
        <v>2021</v>
      </c>
      <c r="C60" s="3755">
        <v>2</v>
      </c>
      <c r="D60" s="3778">
        <v>3</v>
      </c>
      <c r="E60" s="3759" t="s">
        <v>3591</v>
      </c>
      <c r="F60" s="3759" t="s">
        <v>3444</v>
      </c>
      <c r="G60" s="3759" t="s">
        <v>3747</v>
      </c>
      <c r="H60" s="3759" t="s">
        <v>3593</v>
      </c>
      <c r="I60" s="3759" t="s">
        <v>3617</v>
      </c>
      <c r="J60" s="3759" t="s">
        <v>3748</v>
      </c>
      <c r="K60" s="3820" t="s">
        <v>3749</v>
      </c>
      <c r="L60" s="3759">
        <v>9.51</v>
      </c>
      <c r="M60" s="3759">
        <v>9.51</v>
      </c>
      <c r="N60" s="3759">
        <v>24.02</v>
      </c>
      <c r="O60" s="3759">
        <v>467732.12</v>
      </c>
      <c r="P60" s="3773" t="s">
        <v>3750</v>
      </c>
      <c r="Q60" s="3756" t="s">
        <v>3625</v>
      </c>
    </row>
    <row r="61" spans="1:19" s="3774" customFormat="1" ht="216" hidden="1">
      <c r="A61" s="3754">
        <v>420</v>
      </c>
      <c r="B61" s="3756">
        <v>2021</v>
      </c>
      <c r="C61" s="3755">
        <v>2</v>
      </c>
      <c r="D61" s="3756">
        <v>4</v>
      </c>
      <c r="E61" s="3757" t="s">
        <v>3751</v>
      </c>
      <c r="F61" s="3757" t="s">
        <v>3444</v>
      </c>
      <c r="G61" s="3756" t="s">
        <v>3752</v>
      </c>
      <c r="H61" s="3756" t="s">
        <v>3753</v>
      </c>
      <c r="I61" s="3756" t="s">
        <v>3617</v>
      </c>
      <c r="J61" s="3821" t="s">
        <v>3461</v>
      </c>
      <c r="K61" s="3771" t="s">
        <v>3754</v>
      </c>
      <c r="L61" s="3772">
        <v>5.84</v>
      </c>
      <c r="M61" s="3772">
        <v>5.84</v>
      </c>
      <c r="N61" s="3772">
        <v>11.670299999999999</v>
      </c>
      <c r="O61" s="3772">
        <v>127133.54</v>
      </c>
      <c r="P61" s="3773" t="s">
        <v>3755</v>
      </c>
      <c r="Q61" s="3756" t="s">
        <v>3625</v>
      </c>
    </row>
    <row r="62" spans="1:19" s="3774" customFormat="1" ht="216" hidden="1">
      <c r="A62" s="3754">
        <v>421</v>
      </c>
      <c r="B62" s="3756">
        <v>2021</v>
      </c>
      <c r="C62" s="3755">
        <v>3</v>
      </c>
      <c r="D62" s="3778">
        <v>1</v>
      </c>
      <c r="E62" s="3759" t="s">
        <v>3449</v>
      </c>
      <c r="F62" s="3759" t="s">
        <v>3444</v>
      </c>
      <c r="G62" s="3759" t="s">
        <v>3756</v>
      </c>
      <c r="H62" s="3759" t="s">
        <v>3757</v>
      </c>
      <c r="I62" s="3759" t="s">
        <v>3617</v>
      </c>
      <c r="J62" s="3759" t="s">
        <v>3758</v>
      </c>
      <c r="K62" s="3759" t="s">
        <v>3759</v>
      </c>
      <c r="L62" s="3759">
        <v>10.58</v>
      </c>
      <c r="M62" s="3759">
        <v>10.58</v>
      </c>
      <c r="N62" s="3759">
        <v>32.21</v>
      </c>
      <c r="O62" s="3814">
        <v>684647.43</v>
      </c>
      <c r="P62" s="3783" t="s">
        <v>3760</v>
      </c>
      <c r="Q62" s="3756" t="s">
        <v>3625</v>
      </c>
    </row>
    <row r="63" spans="1:19" s="3774" customFormat="1" ht="201.6" hidden="1">
      <c r="A63" s="3754">
        <v>422</v>
      </c>
      <c r="B63" s="3756">
        <v>2021</v>
      </c>
      <c r="C63" s="3755">
        <v>3</v>
      </c>
      <c r="D63" s="3778">
        <v>2</v>
      </c>
      <c r="E63" s="3759" t="s">
        <v>3502</v>
      </c>
      <c r="F63" s="3759" t="s">
        <v>3444</v>
      </c>
      <c r="G63" s="3759" t="s">
        <v>3761</v>
      </c>
      <c r="H63" s="3759" t="s">
        <v>3762</v>
      </c>
      <c r="I63" s="3759" t="s">
        <v>3617</v>
      </c>
      <c r="J63" s="3759" t="s">
        <v>3763</v>
      </c>
      <c r="K63" s="3759" t="s">
        <v>3764</v>
      </c>
      <c r="L63" s="3759">
        <v>8.82</v>
      </c>
      <c r="M63" s="3759">
        <v>8.82</v>
      </c>
      <c r="N63" s="3759">
        <v>27.53</v>
      </c>
      <c r="O63" s="3759">
        <v>168848.31</v>
      </c>
      <c r="P63" s="3783" t="s">
        <v>3765</v>
      </c>
      <c r="Q63" s="3756" t="s">
        <v>3766</v>
      </c>
    </row>
    <row r="64" spans="1:19" s="3774" customFormat="1" ht="201.6" hidden="1">
      <c r="A64" s="3754">
        <v>423</v>
      </c>
      <c r="B64" s="3756">
        <v>2021</v>
      </c>
      <c r="C64" s="3755">
        <v>3</v>
      </c>
      <c r="D64" s="3778">
        <v>3</v>
      </c>
      <c r="E64" s="3759" t="s">
        <v>3502</v>
      </c>
      <c r="F64" s="3759" t="s">
        <v>3444</v>
      </c>
      <c r="G64" s="3759" t="s">
        <v>3767</v>
      </c>
      <c r="H64" s="3759" t="s">
        <v>3768</v>
      </c>
      <c r="I64" s="3759" t="s">
        <v>3617</v>
      </c>
      <c r="J64" s="3759" t="s">
        <v>3769</v>
      </c>
      <c r="K64" s="3759" t="s">
        <v>3770</v>
      </c>
      <c r="L64" s="3759">
        <v>8.18</v>
      </c>
      <c r="M64" s="3759">
        <v>8.18</v>
      </c>
      <c r="N64" s="3759">
        <v>19.760000000000002</v>
      </c>
      <c r="O64" s="3759">
        <v>276942</v>
      </c>
      <c r="P64" s="3783" t="s">
        <v>3771</v>
      </c>
      <c r="Q64" s="3756" t="s">
        <v>3766</v>
      </c>
    </row>
    <row r="65" spans="1:17" s="3774" customFormat="1" ht="216" hidden="1">
      <c r="A65" s="3754">
        <v>424</v>
      </c>
      <c r="B65" s="3756">
        <v>2021</v>
      </c>
      <c r="C65" s="3755">
        <v>3</v>
      </c>
      <c r="D65" s="3778">
        <v>4</v>
      </c>
      <c r="E65" s="3759" t="s">
        <v>3469</v>
      </c>
      <c r="F65" s="3759" t="s">
        <v>3444</v>
      </c>
      <c r="G65" s="3759" t="s">
        <v>3772</v>
      </c>
      <c r="H65" s="3759" t="s">
        <v>3711</v>
      </c>
      <c r="I65" s="3759" t="s">
        <v>3617</v>
      </c>
      <c r="J65" s="3759" t="s">
        <v>3773</v>
      </c>
      <c r="K65" s="3788" t="s">
        <v>3774</v>
      </c>
      <c r="L65" s="3805">
        <v>6.33</v>
      </c>
      <c r="M65" s="3805">
        <v>6.33</v>
      </c>
      <c r="N65" s="3759">
        <v>10.35</v>
      </c>
      <c r="O65" s="3759">
        <v>121639.98</v>
      </c>
      <c r="P65" s="3786" t="s">
        <v>3775</v>
      </c>
      <c r="Q65" s="3775" t="s">
        <v>3776</v>
      </c>
    </row>
    <row r="66" spans="1:17" s="3774" customFormat="1" ht="216" hidden="1">
      <c r="A66" s="3754">
        <v>425</v>
      </c>
      <c r="B66" s="3756">
        <v>2021</v>
      </c>
      <c r="C66" s="3755">
        <v>3</v>
      </c>
      <c r="D66" s="3778">
        <v>5</v>
      </c>
      <c r="E66" s="3759" t="s">
        <v>3454</v>
      </c>
      <c r="F66" s="3759" t="s">
        <v>3777</v>
      </c>
      <c r="G66" s="3759" t="s">
        <v>3778</v>
      </c>
      <c r="H66" s="3759" t="s">
        <v>3659</v>
      </c>
      <c r="I66" s="3759" t="s">
        <v>3617</v>
      </c>
      <c r="J66" s="3759" t="s">
        <v>3779</v>
      </c>
      <c r="K66" s="3820" t="s">
        <v>3780</v>
      </c>
      <c r="L66" s="3822">
        <v>7.1</v>
      </c>
      <c r="M66" s="3822">
        <f>L66</f>
        <v>7.1</v>
      </c>
      <c r="N66" s="3790">
        <v>13.57</v>
      </c>
      <c r="O66" s="3790">
        <v>293954.64</v>
      </c>
      <c r="P66" s="3823" t="s">
        <v>3781</v>
      </c>
      <c r="Q66" s="3756" t="s">
        <v>3625</v>
      </c>
    </row>
    <row r="67" spans="1:17" s="3774" customFormat="1" ht="273.60000000000002" hidden="1">
      <c r="A67" s="3754">
        <v>426</v>
      </c>
      <c r="B67" s="3756">
        <v>2021</v>
      </c>
      <c r="C67" s="3755">
        <v>3</v>
      </c>
      <c r="D67" s="3778">
        <v>6</v>
      </c>
      <c r="E67" s="3759" t="s">
        <v>3454</v>
      </c>
      <c r="F67" s="3759" t="s">
        <v>3444</v>
      </c>
      <c r="G67" s="3759" t="s">
        <v>3782</v>
      </c>
      <c r="H67" s="3824" t="s">
        <v>3783</v>
      </c>
      <c r="I67" s="3759" t="s">
        <v>3617</v>
      </c>
      <c r="J67" s="3759" t="s">
        <v>3784</v>
      </c>
      <c r="K67" s="3820" t="s">
        <v>3785</v>
      </c>
      <c r="L67" s="3822">
        <v>7.14</v>
      </c>
      <c r="M67" s="3822">
        <v>7.14</v>
      </c>
      <c r="N67" s="3790">
        <v>17.86</v>
      </c>
      <c r="O67" s="3790">
        <v>571675.74</v>
      </c>
      <c r="P67" s="3823" t="s">
        <v>3786</v>
      </c>
      <c r="Q67" s="3756" t="s">
        <v>3625</v>
      </c>
    </row>
    <row r="68" spans="1:17" s="3774" customFormat="1" ht="192" hidden="1">
      <c r="A68" s="3754">
        <v>427</v>
      </c>
      <c r="B68" s="3756">
        <v>2021</v>
      </c>
      <c r="C68" s="3755">
        <v>3</v>
      </c>
      <c r="D68" s="3778">
        <v>7</v>
      </c>
      <c r="E68" s="3778" t="s">
        <v>3523</v>
      </c>
      <c r="F68" s="3778" t="s">
        <v>3444</v>
      </c>
      <c r="G68" s="3778" t="s">
        <v>3787</v>
      </c>
      <c r="H68" s="3778" t="s">
        <v>3460</v>
      </c>
      <c r="I68" s="3759" t="s">
        <v>3617</v>
      </c>
      <c r="J68" s="3778" t="s">
        <v>3712</v>
      </c>
      <c r="K68" s="3778" t="s">
        <v>3788</v>
      </c>
      <c r="L68" s="3769">
        <v>16.16</v>
      </c>
      <c r="M68" s="3769">
        <v>16.16</v>
      </c>
      <c r="N68" s="3769">
        <v>36.21</v>
      </c>
      <c r="O68" s="3769">
        <v>174877.31</v>
      </c>
      <c r="P68" s="3825" t="s">
        <v>3789</v>
      </c>
      <c r="Q68" s="3778" t="s">
        <v>3790</v>
      </c>
    </row>
    <row r="69" spans="1:17" s="3774" customFormat="1" ht="144">
      <c r="A69" s="3754">
        <v>428</v>
      </c>
      <c r="B69" s="3756">
        <v>2021</v>
      </c>
      <c r="C69" s="3755">
        <v>3</v>
      </c>
      <c r="D69" s="3778">
        <v>8</v>
      </c>
      <c r="E69" s="3778" t="s">
        <v>3523</v>
      </c>
      <c r="F69" s="3778" t="s">
        <v>3444</v>
      </c>
      <c r="G69" s="3778" t="s">
        <v>3568</v>
      </c>
      <c r="H69" s="3778" t="s">
        <v>3460</v>
      </c>
      <c r="I69" s="3759" t="s">
        <v>3446</v>
      </c>
      <c r="J69" s="3778" t="s">
        <v>3569</v>
      </c>
      <c r="K69" s="3778" t="s">
        <v>3570</v>
      </c>
      <c r="L69" s="3759">
        <v>7.19</v>
      </c>
      <c r="M69" s="3759">
        <v>7.19</v>
      </c>
      <c r="N69" s="3759">
        <v>16.989999999999998</v>
      </c>
      <c r="O69" s="3759">
        <v>110624.08</v>
      </c>
      <c r="P69" s="3793" t="s">
        <v>3571</v>
      </c>
      <c r="Q69" s="3756" t="s">
        <v>3572</v>
      </c>
    </row>
    <row r="70" spans="1:17" s="3774" customFormat="1" ht="244.8" hidden="1">
      <c r="A70" s="3754">
        <v>429</v>
      </c>
      <c r="B70" s="3756">
        <v>2021</v>
      </c>
      <c r="C70" s="3755">
        <v>3</v>
      </c>
      <c r="D70" s="3778">
        <v>9</v>
      </c>
      <c r="E70" s="3778" t="s">
        <v>3459</v>
      </c>
      <c r="F70" s="3778" t="s">
        <v>3444</v>
      </c>
      <c r="G70" s="3778" t="s">
        <v>3791</v>
      </c>
      <c r="H70" s="3778" t="s">
        <v>3792</v>
      </c>
      <c r="I70" s="3759" t="s">
        <v>3617</v>
      </c>
      <c r="J70" s="3778" t="s">
        <v>3793</v>
      </c>
      <c r="K70" s="3778" t="s">
        <v>3794</v>
      </c>
      <c r="L70" s="3759">
        <v>22.36</v>
      </c>
      <c r="M70" s="3759">
        <v>22.36</v>
      </c>
      <c r="N70" s="3759">
        <v>54.59</v>
      </c>
      <c r="O70" s="3759">
        <v>356888.4</v>
      </c>
      <c r="P70" s="3793" t="s">
        <v>3795</v>
      </c>
      <c r="Q70" s="3756" t="s">
        <v>3796</v>
      </c>
    </row>
    <row r="71" spans="1:17" s="3774" customFormat="1" ht="252" hidden="1">
      <c r="A71" s="3754">
        <v>430</v>
      </c>
      <c r="B71" s="3756">
        <v>2021</v>
      </c>
      <c r="C71" s="3755">
        <v>3</v>
      </c>
      <c r="D71" s="3778">
        <v>10</v>
      </c>
      <c r="E71" s="3778" t="s">
        <v>3459</v>
      </c>
      <c r="F71" s="3778" t="s">
        <v>3444</v>
      </c>
      <c r="G71" s="3778" t="s">
        <v>3797</v>
      </c>
      <c r="H71" s="3778" t="s">
        <v>3798</v>
      </c>
      <c r="I71" s="3759" t="s">
        <v>3617</v>
      </c>
      <c r="J71" s="3778" t="s">
        <v>3461</v>
      </c>
      <c r="K71" s="3775" t="s">
        <v>3799</v>
      </c>
      <c r="L71" s="3759">
        <v>7.61</v>
      </c>
      <c r="M71" s="3759">
        <v>7.61</v>
      </c>
      <c r="N71" s="3759">
        <v>9.9</v>
      </c>
      <c r="O71" s="3759">
        <v>205425</v>
      </c>
      <c r="P71" s="3793" t="s">
        <v>3800</v>
      </c>
      <c r="Q71" s="3756" t="s">
        <v>3801</v>
      </c>
    </row>
    <row r="72" spans="1:17" s="3774" customFormat="1" ht="187.2" hidden="1">
      <c r="A72" s="3754">
        <v>431</v>
      </c>
      <c r="B72" s="3756">
        <v>2021</v>
      </c>
      <c r="C72" s="3755">
        <v>3</v>
      </c>
      <c r="D72" s="3778">
        <v>11</v>
      </c>
      <c r="E72" s="3757" t="s">
        <v>3543</v>
      </c>
      <c r="F72" s="3757" t="s">
        <v>3444</v>
      </c>
      <c r="G72" s="3756" t="s">
        <v>3802</v>
      </c>
      <c r="H72" s="3756" t="s">
        <v>3545</v>
      </c>
      <c r="I72" s="3756" t="s">
        <v>3617</v>
      </c>
      <c r="J72" s="3756" t="s">
        <v>3739</v>
      </c>
      <c r="K72" s="3771" t="s">
        <v>3803</v>
      </c>
      <c r="L72" s="3772">
        <v>4.82</v>
      </c>
      <c r="M72" s="3772">
        <v>4.16</v>
      </c>
      <c r="N72" s="3772">
        <v>6.98</v>
      </c>
      <c r="O72" s="3772">
        <v>60300</v>
      </c>
      <c r="P72" s="3823" t="s">
        <v>3804</v>
      </c>
      <c r="Q72" s="3756" t="s">
        <v>3805</v>
      </c>
    </row>
    <row r="73" spans="1:17" s="3774" customFormat="1" ht="158.4">
      <c r="A73" s="3754">
        <v>432</v>
      </c>
      <c r="B73" s="3756">
        <v>2021</v>
      </c>
      <c r="C73" s="3755">
        <v>4</v>
      </c>
      <c r="D73" s="3778">
        <v>1</v>
      </c>
      <c r="E73" s="3778" t="s">
        <v>3573</v>
      </c>
      <c r="F73" s="3778" t="s">
        <v>3444</v>
      </c>
      <c r="G73" s="3778" t="s">
        <v>3574</v>
      </c>
      <c r="H73" s="3778" t="s">
        <v>3525</v>
      </c>
      <c r="I73" s="3759" t="s">
        <v>3446</v>
      </c>
      <c r="J73" s="3778" t="s">
        <v>3461</v>
      </c>
      <c r="K73" s="3826" t="s">
        <v>3575</v>
      </c>
      <c r="L73" s="3781">
        <v>3.78</v>
      </c>
      <c r="M73" s="3824">
        <v>3.07</v>
      </c>
      <c r="N73" s="3790">
        <v>7.67</v>
      </c>
      <c r="O73" s="3827" t="s">
        <v>3576</v>
      </c>
      <c r="P73" s="3828" t="s">
        <v>3577</v>
      </c>
      <c r="Q73" s="3756" t="s">
        <v>3578</v>
      </c>
    </row>
    <row r="74" spans="1:17" s="3774" customFormat="1" ht="187.2" hidden="1">
      <c r="A74" s="3754">
        <v>433</v>
      </c>
      <c r="B74" s="3756">
        <v>2021</v>
      </c>
      <c r="C74" s="3755">
        <v>4</v>
      </c>
      <c r="D74" s="3778">
        <v>2</v>
      </c>
      <c r="E74" s="3759" t="s">
        <v>3573</v>
      </c>
      <c r="F74" s="3759" t="s">
        <v>3444</v>
      </c>
      <c r="G74" s="3824" t="s">
        <v>3806</v>
      </c>
      <c r="H74" s="3824" t="s">
        <v>3603</v>
      </c>
      <c r="I74" s="3759" t="s">
        <v>3617</v>
      </c>
      <c r="J74" s="3759" t="s">
        <v>3807</v>
      </c>
      <c r="K74" s="3820" t="s">
        <v>3808</v>
      </c>
      <c r="L74" s="3822">
        <v>10.65</v>
      </c>
      <c r="M74" s="3822">
        <v>10.65</v>
      </c>
      <c r="N74" s="3790">
        <v>19.739999999999998</v>
      </c>
      <c r="O74" s="3790">
        <v>144528.73000000001</v>
      </c>
      <c r="P74" s="3773" t="s">
        <v>3809</v>
      </c>
      <c r="Q74" s="3756" t="s">
        <v>3810</v>
      </c>
    </row>
    <row r="75" spans="1:17" s="3774" customFormat="1" ht="187.2" hidden="1">
      <c r="A75" s="3754">
        <v>434</v>
      </c>
      <c r="B75" s="3756">
        <v>2021</v>
      </c>
      <c r="C75" s="3755">
        <v>4</v>
      </c>
      <c r="D75" s="3778">
        <v>3</v>
      </c>
      <c r="E75" s="3759" t="s">
        <v>3489</v>
      </c>
      <c r="F75" s="3759" t="s">
        <v>3444</v>
      </c>
      <c r="G75" s="3759" t="s">
        <v>3811</v>
      </c>
      <c r="H75" s="3759" t="s">
        <v>3743</v>
      </c>
      <c r="I75" s="3759" t="s">
        <v>3617</v>
      </c>
      <c r="J75" s="3759" t="s">
        <v>3812</v>
      </c>
      <c r="K75" s="3820" t="s">
        <v>3813</v>
      </c>
      <c r="L75" s="3829" t="s">
        <v>3814</v>
      </c>
      <c r="M75" s="3829" t="s">
        <v>3815</v>
      </c>
      <c r="N75" s="3759" t="s">
        <v>3816</v>
      </c>
      <c r="O75" s="3759" t="s">
        <v>3817</v>
      </c>
      <c r="P75" s="3773" t="s">
        <v>3818</v>
      </c>
      <c r="Q75" s="3756" t="s">
        <v>3625</v>
      </c>
    </row>
    <row r="76" spans="1:17" s="3774" customFormat="1" ht="172.8" hidden="1">
      <c r="A76" s="3754">
        <v>435</v>
      </c>
      <c r="B76" s="3756">
        <v>2021</v>
      </c>
      <c r="C76" s="3755">
        <v>4</v>
      </c>
      <c r="D76" s="3778">
        <v>4</v>
      </c>
      <c r="E76" s="3778" t="s">
        <v>3502</v>
      </c>
      <c r="F76" s="3778" t="s">
        <v>3444</v>
      </c>
      <c r="G76" s="3781" t="s">
        <v>3819</v>
      </c>
      <c r="H76" s="3781" t="s">
        <v>3762</v>
      </c>
      <c r="I76" s="3781" t="s">
        <v>3617</v>
      </c>
      <c r="J76" s="3781" t="s">
        <v>3820</v>
      </c>
      <c r="K76" s="3803" t="s">
        <v>3821</v>
      </c>
      <c r="L76" s="3781">
        <v>2.68</v>
      </c>
      <c r="M76" s="3781">
        <v>2.68</v>
      </c>
      <c r="N76" s="3781">
        <v>9.94</v>
      </c>
      <c r="O76" s="3781">
        <v>99400</v>
      </c>
      <c r="P76" s="3793" t="s">
        <v>3822</v>
      </c>
      <c r="Q76" s="3775" t="s">
        <v>3776</v>
      </c>
    </row>
    <row r="77" spans="1:17" s="3774" customFormat="1" ht="172.8">
      <c r="A77" s="3754">
        <v>436</v>
      </c>
      <c r="B77" s="3756">
        <v>2021</v>
      </c>
      <c r="C77" s="3755">
        <v>4</v>
      </c>
      <c r="D77" s="3778">
        <v>5</v>
      </c>
      <c r="E77" s="3778" t="s">
        <v>3502</v>
      </c>
      <c r="F77" s="3778" t="s">
        <v>3444</v>
      </c>
      <c r="G77" s="3781" t="s">
        <v>3503</v>
      </c>
      <c r="H77" s="3803" t="s">
        <v>3525</v>
      </c>
      <c r="I77" s="3781" t="s">
        <v>3446</v>
      </c>
      <c r="J77" s="3803" t="s">
        <v>3461</v>
      </c>
      <c r="K77" s="3803" t="s">
        <v>3579</v>
      </c>
      <c r="L77" s="3781">
        <v>2.97</v>
      </c>
      <c r="M77" s="3781">
        <v>2.7077627</v>
      </c>
      <c r="N77" s="3781">
        <v>5.3072150000000002</v>
      </c>
      <c r="O77" s="3781">
        <v>63083.48</v>
      </c>
      <c r="P77" s="3793" t="s">
        <v>3580</v>
      </c>
      <c r="Q77" s="3756" t="s">
        <v>3581</v>
      </c>
    </row>
    <row r="78" spans="1:17" s="3774" customFormat="1" ht="201.6" hidden="1">
      <c r="A78" s="3754">
        <v>437</v>
      </c>
      <c r="B78" s="3756">
        <v>2021</v>
      </c>
      <c r="C78" s="3755">
        <v>4</v>
      </c>
      <c r="D78" s="3778">
        <v>6</v>
      </c>
      <c r="E78" s="3778" t="s">
        <v>3523</v>
      </c>
      <c r="F78" s="3778" t="s">
        <v>3823</v>
      </c>
      <c r="G78" s="3778" t="s">
        <v>3824</v>
      </c>
      <c r="H78" s="3778" t="s">
        <v>3825</v>
      </c>
      <c r="I78" s="3759" t="s">
        <v>3617</v>
      </c>
      <c r="J78" s="3778" t="s">
        <v>3461</v>
      </c>
      <c r="K78" s="3799" t="s">
        <v>3826</v>
      </c>
      <c r="L78" s="3759">
        <v>7.23</v>
      </c>
      <c r="M78" s="3759">
        <v>7.23</v>
      </c>
      <c r="N78" s="3759">
        <v>7.95</v>
      </c>
      <c r="O78" s="3759">
        <v>83506.5</v>
      </c>
      <c r="P78" s="3830" t="s">
        <v>3827</v>
      </c>
      <c r="Q78" s="3756" t="s">
        <v>3828</v>
      </c>
    </row>
    <row r="79" spans="1:17" s="3774" customFormat="1" ht="201.6" hidden="1">
      <c r="A79" s="3754">
        <v>438</v>
      </c>
      <c r="B79" s="3756">
        <v>2021</v>
      </c>
      <c r="C79" s="3755">
        <v>4</v>
      </c>
      <c r="D79" s="3756">
        <v>7</v>
      </c>
      <c r="E79" s="3757" t="s">
        <v>3543</v>
      </c>
      <c r="F79" s="3757" t="s">
        <v>3444</v>
      </c>
      <c r="G79" s="3756" t="s">
        <v>3829</v>
      </c>
      <c r="H79" s="3756" t="s">
        <v>3830</v>
      </c>
      <c r="I79" s="3756" t="s">
        <v>3617</v>
      </c>
      <c r="J79" s="3756" t="s">
        <v>3696</v>
      </c>
      <c r="K79" s="3771" t="s">
        <v>3831</v>
      </c>
      <c r="L79" s="3772">
        <v>3</v>
      </c>
      <c r="M79" s="3772">
        <v>3</v>
      </c>
      <c r="N79" s="3772">
        <v>12</v>
      </c>
      <c r="O79" s="3772">
        <v>132000</v>
      </c>
      <c r="P79" s="3773" t="s">
        <v>3832</v>
      </c>
      <c r="Q79" s="3756" t="s">
        <v>3625</v>
      </c>
    </row>
    <row r="80" spans="1:17" s="3774" customFormat="1" ht="187.2" hidden="1">
      <c r="A80" s="3754">
        <v>439</v>
      </c>
      <c r="B80" s="3756">
        <v>2021</v>
      </c>
      <c r="C80" s="3755">
        <v>4</v>
      </c>
      <c r="D80" s="3756">
        <v>8</v>
      </c>
      <c r="E80" s="3757" t="s">
        <v>3543</v>
      </c>
      <c r="F80" s="3757" t="s">
        <v>3444</v>
      </c>
      <c r="G80" s="3756" t="s">
        <v>3833</v>
      </c>
      <c r="H80" s="3756" t="s">
        <v>3830</v>
      </c>
      <c r="I80" s="3756" t="s">
        <v>3617</v>
      </c>
      <c r="J80" s="3756" t="s">
        <v>3696</v>
      </c>
      <c r="K80" s="3771" t="s">
        <v>3834</v>
      </c>
      <c r="L80" s="3772">
        <v>20.440000000000001</v>
      </c>
      <c r="M80" s="3772">
        <v>20.440000000000001</v>
      </c>
      <c r="N80" s="3772">
        <v>30.2</v>
      </c>
      <c r="O80" s="3831">
        <v>434880</v>
      </c>
      <c r="P80" s="3773" t="s">
        <v>3835</v>
      </c>
      <c r="Q80" s="3756" t="s">
        <v>3625</v>
      </c>
    </row>
    <row r="81" spans="1:20" s="3774" customFormat="1" ht="187.2" hidden="1">
      <c r="A81" s="3754">
        <v>440</v>
      </c>
      <c r="B81" s="3756">
        <v>2021</v>
      </c>
      <c r="C81" s="3755">
        <v>4</v>
      </c>
      <c r="D81" s="3756">
        <v>9</v>
      </c>
      <c r="E81" s="3757" t="s">
        <v>3543</v>
      </c>
      <c r="F81" s="3757" t="s">
        <v>3444</v>
      </c>
      <c r="G81" s="3771" t="s">
        <v>3836</v>
      </c>
      <c r="H81" s="3756" t="s">
        <v>3830</v>
      </c>
      <c r="I81" s="3756" t="s">
        <v>3617</v>
      </c>
      <c r="J81" s="3756" t="s">
        <v>3696</v>
      </c>
      <c r="K81" s="3771" t="s">
        <v>3837</v>
      </c>
      <c r="L81" s="3772">
        <v>1.61</v>
      </c>
      <c r="M81" s="3772">
        <v>1.61</v>
      </c>
      <c r="N81" s="3772">
        <v>4.51</v>
      </c>
      <c r="O81" s="3772">
        <v>65007.23</v>
      </c>
      <c r="P81" s="3773" t="s">
        <v>3838</v>
      </c>
      <c r="Q81" s="3756" t="s">
        <v>3839</v>
      </c>
    </row>
    <row r="82" spans="1:20" s="3774" customFormat="1" ht="201.6" hidden="1">
      <c r="A82" s="3754">
        <v>441</v>
      </c>
      <c r="B82" s="3756">
        <v>2021</v>
      </c>
      <c r="C82" s="3755">
        <v>5</v>
      </c>
      <c r="D82" s="3756">
        <v>1</v>
      </c>
      <c r="E82" s="3757" t="s">
        <v>3680</v>
      </c>
      <c r="F82" s="3757" t="s">
        <v>3444</v>
      </c>
      <c r="G82" s="3771" t="s">
        <v>3840</v>
      </c>
      <c r="H82" s="3756" t="s">
        <v>3682</v>
      </c>
      <c r="I82" s="3756" t="s">
        <v>3617</v>
      </c>
      <c r="J82" s="3756" t="s">
        <v>3461</v>
      </c>
      <c r="K82" s="3771" t="s">
        <v>3841</v>
      </c>
      <c r="L82" s="3772">
        <v>3.68</v>
      </c>
      <c r="M82" s="3772">
        <v>3.68</v>
      </c>
      <c r="N82" s="3772">
        <v>9.2100000000000009</v>
      </c>
      <c r="O82" s="3772">
        <v>323155.75</v>
      </c>
      <c r="P82" s="3773" t="s">
        <v>3842</v>
      </c>
      <c r="Q82" s="3756" t="s">
        <v>3805</v>
      </c>
    </row>
    <row r="83" spans="1:20" s="3774" customFormat="1" ht="216" hidden="1">
      <c r="A83" s="3754">
        <v>442</v>
      </c>
      <c r="B83" s="3756">
        <v>2021</v>
      </c>
      <c r="C83" s="3755">
        <v>5</v>
      </c>
      <c r="D83" s="3756">
        <v>2</v>
      </c>
      <c r="E83" s="3757" t="s">
        <v>3680</v>
      </c>
      <c r="F83" s="3757" t="s">
        <v>3444</v>
      </c>
      <c r="G83" s="3771" t="s">
        <v>3843</v>
      </c>
      <c r="H83" s="3756" t="s">
        <v>3682</v>
      </c>
      <c r="I83" s="3756" t="s">
        <v>3617</v>
      </c>
      <c r="J83" s="3756" t="s">
        <v>3461</v>
      </c>
      <c r="K83" s="3771" t="s">
        <v>3844</v>
      </c>
      <c r="L83" s="3772">
        <v>6.19</v>
      </c>
      <c r="M83" s="3772">
        <v>6.19</v>
      </c>
      <c r="N83" s="3772">
        <v>15.47</v>
      </c>
      <c r="O83" s="3772">
        <v>726960</v>
      </c>
      <c r="P83" s="3773" t="s">
        <v>3845</v>
      </c>
      <c r="Q83" s="3756" t="s">
        <v>3846</v>
      </c>
    </row>
    <row r="84" spans="1:20" s="3774" customFormat="1" ht="172.8" hidden="1">
      <c r="A84" s="3754">
        <v>443</v>
      </c>
      <c r="B84" s="3756">
        <v>2021</v>
      </c>
      <c r="C84" s="3755">
        <v>5</v>
      </c>
      <c r="D84" s="3756">
        <v>3</v>
      </c>
      <c r="E84" s="3757" t="s">
        <v>3462</v>
      </c>
      <c r="F84" s="3757" t="s">
        <v>3444</v>
      </c>
      <c r="G84" s="3771" t="s">
        <v>3582</v>
      </c>
      <c r="H84" s="3756" t="s">
        <v>3525</v>
      </c>
      <c r="I84" s="3756" t="s">
        <v>3455</v>
      </c>
      <c r="J84" s="3756" t="s">
        <v>3583</v>
      </c>
      <c r="K84" s="3771" t="s">
        <v>3584</v>
      </c>
      <c r="L84" s="3772">
        <v>1.63</v>
      </c>
      <c r="M84" s="3772">
        <v>0.6</v>
      </c>
      <c r="N84" s="3772">
        <v>1.5</v>
      </c>
      <c r="O84" s="3772">
        <v>13978.26</v>
      </c>
      <c r="P84" s="3773" t="s">
        <v>3585</v>
      </c>
      <c r="Q84" s="3756" t="s">
        <v>3586</v>
      </c>
    </row>
    <row r="85" spans="1:20" s="3774" customFormat="1" ht="240" hidden="1">
      <c r="A85" s="3754">
        <v>444</v>
      </c>
      <c r="B85" s="3756">
        <v>2021</v>
      </c>
      <c r="C85" s="3755">
        <v>5</v>
      </c>
      <c r="D85" s="3756">
        <v>4</v>
      </c>
      <c r="E85" s="3757" t="s">
        <v>3453</v>
      </c>
      <c r="F85" s="3757" t="s">
        <v>3444</v>
      </c>
      <c r="G85" s="3771" t="s">
        <v>3847</v>
      </c>
      <c r="H85" s="3756" t="s">
        <v>3848</v>
      </c>
      <c r="I85" s="3756" t="s">
        <v>3617</v>
      </c>
      <c r="J85" s="3756" t="s">
        <v>3849</v>
      </c>
      <c r="K85" s="3771" t="s">
        <v>3850</v>
      </c>
      <c r="L85" s="3772">
        <v>10.75</v>
      </c>
      <c r="M85" s="3772">
        <v>10.75</v>
      </c>
      <c r="N85" s="3772">
        <v>25.43</v>
      </c>
      <c r="O85" s="3772" t="s">
        <v>3851</v>
      </c>
      <c r="P85" s="3773" t="s">
        <v>3852</v>
      </c>
      <c r="Q85" s="3756" t="s">
        <v>3853</v>
      </c>
    </row>
    <row r="86" spans="1:20" s="3774" customFormat="1" ht="187.2" hidden="1">
      <c r="A86" s="3754">
        <v>445</v>
      </c>
      <c r="B86" s="3756">
        <v>2021</v>
      </c>
      <c r="C86" s="3755">
        <v>5</v>
      </c>
      <c r="D86" s="3756">
        <v>5</v>
      </c>
      <c r="E86" s="3757" t="s">
        <v>3452</v>
      </c>
      <c r="F86" s="3757" t="s">
        <v>3444</v>
      </c>
      <c r="G86" s="3771" t="s">
        <v>3854</v>
      </c>
      <c r="H86" s="3756" t="s">
        <v>3855</v>
      </c>
      <c r="I86" s="3756" t="s">
        <v>3617</v>
      </c>
      <c r="J86" s="3756" t="s">
        <v>3739</v>
      </c>
      <c r="K86" s="3771" t="s">
        <v>3856</v>
      </c>
      <c r="L86" s="3772">
        <v>4.07</v>
      </c>
      <c r="M86" s="3772">
        <v>4.07</v>
      </c>
      <c r="N86" s="3772">
        <v>7.54</v>
      </c>
      <c r="O86" s="3772">
        <v>72602.899999999994</v>
      </c>
      <c r="P86" s="3773" t="s">
        <v>3857</v>
      </c>
      <c r="Q86" s="3756" t="s">
        <v>3625</v>
      </c>
    </row>
    <row r="87" spans="1:20" s="3774" customFormat="1" ht="172.8" hidden="1">
      <c r="A87" s="3754">
        <v>446</v>
      </c>
      <c r="B87" s="3756">
        <v>2021</v>
      </c>
      <c r="C87" s="3755">
        <v>5</v>
      </c>
      <c r="D87" s="3756">
        <v>6</v>
      </c>
      <c r="E87" s="3757" t="s">
        <v>3573</v>
      </c>
      <c r="F87" s="3757" t="s">
        <v>3444</v>
      </c>
      <c r="G87" s="3771" t="s">
        <v>3574</v>
      </c>
      <c r="H87" s="3756" t="s">
        <v>3525</v>
      </c>
      <c r="I87" s="3756" t="s">
        <v>3455</v>
      </c>
      <c r="J87" s="3756" t="s">
        <v>3587</v>
      </c>
      <c r="K87" s="3771" t="s">
        <v>3588</v>
      </c>
      <c r="L87" s="3772">
        <v>4.29</v>
      </c>
      <c r="M87" s="3772">
        <v>3.07</v>
      </c>
      <c r="N87" s="3772">
        <v>7.67</v>
      </c>
      <c r="O87" s="3772" t="s">
        <v>3589</v>
      </c>
      <c r="P87" s="3773" t="s">
        <v>3590</v>
      </c>
      <c r="Q87" s="3756" t="s">
        <v>3586</v>
      </c>
    </row>
    <row r="88" spans="1:20" s="3832" customFormat="1" ht="165.9" customHeight="1">
      <c r="A88" s="3754">
        <v>447</v>
      </c>
      <c r="B88" s="3756">
        <v>2021</v>
      </c>
      <c r="C88" s="3756">
        <v>6</v>
      </c>
      <c r="D88" s="3756">
        <v>1</v>
      </c>
      <c r="E88" s="3778" t="s">
        <v>3591</v>
      </c>
      <c r="F88" s="3778" t="s">
        <v>3444</v>
      </c>
      <c r="G88" s="3778" t="s">
        <v>3592</v>
      </c>
      <c r="H88" s="3778" t="s">
        <v>3593</v>
      </c>
      <c r="I88" s="3759" t="s">
        <v>3446</v>
      </c>
      <c r="J88" s="3778" t="s">
        <v>3594</v>
      </c>
      <c r="K88" s="3803" t="s">
        <v>3595</v>
      </c>
      <c r="L88" s="3759">
        <v>1.52</v>
      </c>
      <c r="M88" s="3759">
        <v>1.52</v>
      </c>
      <c r="N88" s="3759">
        <v>3.04</v>
      </c>
      <c r="O88" s="3759">
        <v>28927.01</v>
      </c>
      <c r="P88" s="3830" t="s">
        <v>3596</v>
      </c>
      <c r="Q88" s="3756" t="s">
        <v>3597</v>
      </c>
    </row>
    <row r="89" spans="1:20" s="3770" customFormat="1" ht="165" hidden="1" customHeight="1">
      <c r="A89" s="3754">
        <v>448</v>
      </c>
      <c r="B89" s="3756">
        <v>2021</v>
      </c>
      <c r="C89" s="3756">
        <v>7</v>
      </c>
      <c r="D89" s="3756">
        <v>1</v>
      </c>
      <c r="E89" s="3757" t="s">
        <v>3543</v>
      </c>
      <c r="F89" s="3757" t="s">
        <v>3444</v>
      </c>
      <c r="G89" s="3775" t="s">
        <v>3858</v>
      </c>
      <c r="H89" s="3756" t="s">
        <v>3859</v>
      </c>
      <c r="I89" s="3756" t="s">
        <v>3617</v>
      </c>
      <c r="J89" s="3756" t="s">
        <v>3860</v>
      </c>
      <c r="K89" s="3771" t="s">
        <v>3861</v>
      </c>
      <c r="L89" s="3772">
        <v>10.199999999999999</v>
      </c>
      <c r="M89" s="3772">
        <v>10.199999999999999</v>
      </c>
      <c r="N89" s="3833">
        <v>18.11</v>
      </c>
      <c r="O89" s="3834">
        <v>267260</v>
      </c>
      <c r="P89" s="3823" t="s">
        <v>3862</v>
      </c>
      <c r="Q89" s="3795" t="s">
        <v>3863</v>
      </c>
    </row>
    <row r="90" spans="1:20" s="3770" customFormat="1" ht="165" hidden="1" customHeight="1">
      <c r="A90" s="3754">
        <v>449</v>
      </c>
      <c r="B90" s="3754">
        <v>2021</v>
      </c>
      <c r="C90" s="3754">
        <v>8</v>
      </c>
      <c r="D90" s="3754">
        <v>1</v>
      </c>
      <c r="E90" s="3756" t="s">
        <v>3680</v>
      </c>
      <c r="F90" s="3756" t="s">
        <v>3444</v>
      </c>
      <c r="G90" s="3756" t="s">
        <v>3864</v>
      </c>
      <c r="H90" s="3757" t="s">
        <v>3865</v>
      </c>
      <c r="I90" s="3757" t="s">
        <v>3617</v>
      </c>
      <c r="J90" s="3775" t="s">
        <v>3866</v>
      </c>
      <c r="K90" s="3756" t="s">
        <v>3867</v>
      </c>
      <c r="L90" s="3756">
        <v>1.06</v>
      </c>
      <c r="M90" s="3756">
        <v>1.06</v>
      </c>
      <c r="N90" s="3771">
        <v>4.7699999999999996</v>
      </c>
      <c r="O90" s="3772">
        <v>101206.89</v>
      </c>
      <c r="P90" s="3835" t="s">
        <v>3868</v>
      </c>
      <c r="Q90" s="3822" t="s">
        <v>3869</v>
      </c>
      <c r="R90" s="3834"/>
      <c r="S90" s="3836"/>
      <c r="T90" s="3795"/>
    </row>
    <row r="91" spans="1:20" s="3770" customFormat="1" ht="165" hidden="1" customHeight="1">
      <c r="A91" s="3754">
        <v>450</v>
      </c>
      <c r="B91" s="3754">
        <v>2021</v>
      </c>
      <c r="C91" s="3754">
        <v>8</v>
      </c>
      <c r="D91" s="3754">
        <v>2</v>
      </c>
      <c r="E91" s="3756" t="s">
        <v>3751</v>
      </c>
      <c r="F91" s="3756" t="s">
        <v>3444</v>
      </c>
      <c r="G91" s="3756" t="s">
        <v>3870</v>
      </c>
      <c r="H91" s="3757" t="s">
        <v>3753</v>
      </c>
      <c r="I91" s="3757" t="s">
        <v>3617</v>
      </c>
      <c r="J91" s="3775" t="s">
        <v>3461</v>
      </c>
      <c r="K91" s="3756" t="s">
        <v>3871</v>
      </c>
      <c r="L91" s="3756">
        <v>10.3360047</v>
      </c>
      <c r="M91" s="3756">
        <f>L91</f>
        <v>10.3360047</v>
      </c>
      <c r="N91" s="3771">
        <v>20.029094359999998</v>
      </c>
      <c r="O91" s="3772">
        <v>163739.17300000001</v>
      </c>
      <c r="P91" s="3835" t="s">
        <v>3872</v>
      </c>
      <c r="Q91" s="3822" t="s">
        <v>3873</v>
      </c>
      <c r="R91" s="3834"/>
      <c r="S91" s="3836"/>
      <c r="T91" s="3795"/>
    </row>
    <row r="92" spans="1:20" s="3770" customFormat="1" ht="165" customHeight="1">
      <c r="A92" s="3754">
        <v>451</v>
      </c>
      <c r="B92" s="3754">
        <v>2021</v>
      </c>
      <c r="C92" s="3754">
        <v>8</v>
      </c>
      <c r="D92" s="3754">
        <v>3</v>
      </c>
      <c r="E92" s="3756" t="s">
        <v>3523</v>
      </c>
      <c r="F92" s="3756" t="s">
        <v>3444</v>
      </c>
      <c r="G92" s="3756" t="s">
        <v>3598</v>
      </c>
      <c r="H92" s="3757" t="s">
        <v>3460</v>
      </c>
      <c r="I92" s="3757" t="s">
        <v>3446</v>
      </c>
      <c r="J92" s="3775" t="s">
        <v>3599</v>
      </c>
      <c r="K92" s="3756" t="s">
        <v>3600</v>
      </c>
      <c r="L92" s="3756">
        <v>13.09</v>
      </c>
      <c r="M92" s="3756">
        <v>7.81</v>
      </c>
      <c r="N92" s="3771">
        <v>17.05</v>
      </c>
      <c r="O92" s="3772">
        <v>110624.08</v>
      </c>
      <c r="P92" s="3837" t="s">
        <v>3601</v>
      </c>
      <c r="Q92" s="3822" t="s">
        <v>3572</v>
      </c>
      <c r="R92" s="3834"/>
      <c r="S92" s="3836"/>
      <c r="T92" s="3795"/>
    </row>
    <row r="93" spans="1:20" s="3774" customFormat="1" ht="296.39999999999998" hidden="1">
      <c r="A93" s="3754">
        <v>452</v>
      </c>
      <c r="B93" s="3787">
        <v>2021</v>
      </c>
      <c r="C93" s="3754">
        <v>9</v>
      </c>
      <c r="D93" s="3838">
        <v>1</v>
      </c>
      <c r="E93" s="3839" t="s">
        <v>3449</v>
      </c>
      <c r="F93" s="3839" t="s">
        <v>3444</v>
      </c>
      <c r="G93" s="3839" t="s">
        <v>3874</v>
      </c>
      <c r="H93" s="3839" t="s">
        <v>3639</v>
      </c>
      <c r="I93" s="3839" t="s">
        <v>3617</v>
      </c>
      <c r="J93" s="3839" t="s">
        <v>3875</v>
      </c>
      <c r="K93" s="3840" t="s">
        <v>3876</v>
      </c>
      <c r="L93" s="3839">
        <v>7.37</v>
      </c>
      <c r="M93" s="3839">
        <v>7.37</v>
      </c>
      <c r="N93" s="3839">
        <v>9.4600000000000009</v>
      </c>
      <c r="O93" s="3841">
        <v>330467.826</v>
      </c>
      <c r="P93" s="3842" t="s">
        <v>3877</v>
      </c>
      <c r="Q93" s="3843" t="s">
        <v>3878</v>
      </c>
    </row>
    <row r="94" spans="1:20" s="3774" customFormat="1" ht="280.8" hidden="1">
      <c r="A94" s="3754">
        <v>453</v>
      </c>
      <c r="B94" s="3844">
        <v>2021</v>
      </c>
      <c r="C94" s="3754">
        <v>9</v>
      </c>
      <c r="D94" s="3838">
        <v>2</v>
      </c>
      <c r="E94" s="3838" t="s">
        <v>3591</v>
      </c>
      <c r="F94" s="3838" t="s">
        <v>3444</v>
      </c>
      <c r="G94" s="3838" t="s">
        <v>3879</v>
      </c>
      <c r="H94" s="3838" t="s">
        <v>3880</v>
      </c>
      <c r="I94" s="3838" t="s">
        <v>3881</v>
      </c>
      <c r="J94" s="3838" t="s">
        <v>3882</v>
      </c>
      <c r="K94" s="3840" t="s">
        <v>3883</v>
      </c>
      <c r="L94" s="3845">
        <v>10.41</v>
      </c>
      <c r="M94" s="3845">
        <v>10.41</v>
      </c>
      <c r="N94" s="3845">
        <v>21.14</v>
      </c>
      <c r="O94" s="3845">
        <v>238886.46</v>
      </c>
      <c r="P94" s="3793" t="s">
        <v>3884</v>
      </c>
      <c r="Q94" s="3846" t="s">
        <v>3625</v>
      </c>
    </row>
    <row r="95" spans="1:20" s="3774" customFormat="1" ht="374.4" hidden="1">
      <c r="A95" s="3754">
        <v>454</v>
      </c>
      <c r="B95" s="3754">
        <v>2021</v>
      </c>
      <c r="C95" s="3754">
        <v>9</v>
      </c>
      <c r="D95" s="3843">
        <v>3</v>
      </c>
      <c r="E95" s="3847" t="s">
        <v>3591</v>
      </c>
      <c r="F95" s="3847" t="s">
        <v>3444</v>
      </c>
      <c r="G95" s="3843" t="s">
        <v>3885</v>
      </c>
      <c r="H95" s="3843" t="s">
        <v>3886</v>
      </c>
      <c r="I95" s="3848" t="s">
        <v>3617</v>
      </c>
      <c r="J95" s="3843" t="s">
        <v>3887</v>
      </c>
      <c r="K95" s="3849" t="s">
        <v>3888</v>
      </c>
      <c r="L95" s="3850">
        <v>7.78</v>
      </c>
      <c r="M95" s="3845">
        <v>7.78</v>
      </c>
      <c r="N95" s="3845">
        <v>17.739999999999998</v>
      </c>
      <c r="O95" s="3845">
        <v>383827.98</v>
      </c>
      <c r="P95" s="3851" t="s">
        <v>3889</v>
      </c>
      <c r="Q95" s="3846" t="s">
        <v>3625</v>
      </c>
    </row>
    <row r="96" spans="1:20" s="3774" customFormat="1" ht="249.6" hidden="1">
      <c r="A96" s="3754">
        <v>455</v>
      </c>
      <c r="B96" s="3754">
        <v>2021</v>
      </c>
      <c r="C96" s="3754">
        <v>9</v>
      </c>
      <c r="D96" s="3838">
        <v>4</v>
      </c>
      <c r="E96" s="3838" t="s">
        <v>3591</v>
      </c>
      <c r="F96" s="3838" t="s">
        <v>3444</v>
      </c>
      <c r="G96" s="3838" t="s">
        <v>3890</v>
      </c>
      <c r="H96" s="3838" t="s">
        <v>3891</v>
      </c>
      <c r="I96" s="3838" t="s">
        <v>3617</v>
      </c>
      <c r="J96" s="3838" t="s">
        <v>3892</v>
      </c>
      <c r="K96" s="3840" t="s">
        <v>3893</v>
      </c>
      <c r="L96" s="3845">
        <v>3.01</v>
      </c>
      <c r="M96" s="3845">
        <v>3.01</v>
      </c>
      <c r="N96" s="3845">
        <v>9.25</v>
      </c>
      <c r="O96" s="3845">
        <v>80000</v>
      </c>
      <c r="P96" s="3793" t="s">
        <v>3894</v>
      </c>
      <c r="Q96" s="3846" t="s">
        <v>3625</v>
      </c>
    </row>
    <row r="97" spans="1:19 16361:16374" s="3774" customFormat="1" ht="249.6" hidden="1">
      <c r="A97" s="3754">
        <v>456</v>
      </c>
      <c r="B97" s="3754">
        <v>2021</v>
      </c>
      <c r="C97" s="3754">
        <v>9</v>
      </c>
      <c r="D97" s="3838">
        <v>5</v>
      </c>
      <c r="E97" s="3839" t="s">
        <v>3450</v>
      </c>
      <c r="F97" s="3839" t="s">
        <v>3444</v>
      </c>
      <c r="G97" s="3839" t="s">
        <v>3895</v>
      </c>
      <c r="H97" s="3839" t="s">
        <v>3896</v>
      </c>
      <c r="I97" s="3839" t="s">
        <v>3617</v>
      </c>
      <c r="J97" s="3839" t="s">
        <v>3897</v>
      </c>
      <c r="K97" s="3840" t="s">
        <v>3898</v>
      </c>
      <c r="L97" s="3852">
        <v>8.17</v>
      </c>
      <c r="M97" s="3852">
        <v>8.17</v>
      </c>
      <c r="N97" s="3852">
        <v>11.27</v>
      </c>
      <c r="O97" s="3852">
        <v>104825.23</v>
      </c>
      <c r="P97" s="3783" t="s">
        <v>3899</v>
      </c>
      <c r="Q97" s="3839" t="s">
        <v>3900</v>
      </c>
    </row>
    <row r="98" spans="1:19 16361:16374" s="3774" customFormat="1" ht="265.2" hidden="1">
      <c r="A98" s="3754">
        <v>457</v>
      </c>
      <c r="B98" s="3754">
        <v>2021</v>
      </c>
      <c r="C98" s="3754">
        <v>10</v>
      </c>
      <c r="D98" s="3853">
        <v>1</v>
      </c>
      <c r="E98" s="3854" t="s">
        <v>3449</v>
      </c>
      <c r="F98" s="3854" t="s">
        <v>3444</v>
      </c>
      <c r="G98" s="3854" t="s">
        <v>3901</v>
      </c>
      <c r="H98" s="3854" t="s">
        <v>3757</v>
      </c>
      <c r="I98" s="3854" t="s">
        <v>3617</v>
      </c>
      <c r="J98" s="3854" t="s">
        <v>3902</v>
      </c>
      <c r="K98" s="3855" t="s">
        <v>3759</v>
      </c>
      <c r="L98" s="3854">
        <v>8.19</v>
      </c>
      <c r="M98" s="3854">
        <v>8.19</v>
      </c>
      <c r="N98" s="3856">
        <v>24.41</v>
      </c>
      <c r="O98" s="3856">
        <v>536145.78</v>
      </c>
      <c r="P98" s="3857" t="s">
        <v>3903</v>
      </c>
      <c r="Q98" s="3858" t="s">
        <v>3878</v>
      </c>
    </row>
    <row r="99" spans="1:19 16361:16374" s="3774" customFormat="1" ht="218.4" hidden="1">
      <c r="A99" s="3754">
        <v>458</v>
      </c>
      <c r="B99" s="3754">
        <v>2021</v>
      </c>
      <c r="C99" s="3754">
        <v>10</v>
      </c>
      <c r="D99" s="3853">
        <v>2</v>
      </c>
      <c r="E99" s="3839" t="s">
        <v>3452</v>
      </c>
      <c r="F99" s="3839" t="s">
        <v>3444</v>
      </c>
      <c r="G99" s="3839" t="s">
        <v>3904</v>
      </c>
      <c r="H99" s="3839" t="s">
        <v>3905</v>
      </c>
      <c r="I99" s="3839" t="s">
        <v>3617</v>
      </c>
      <c r="J99" s="3839" t="s">
        <v>3906</v>
      </c>
      <c r="K99" s="3840" t="s">
        <v>3907</v>
      </c>
      <c r="L99" s="3852">
        <v>16.12</v>
      </c>
      <c r="M99" s="3852">
        <v>16.12</v>
      </c>
      <c r="N99" s="3852">
        <v>19.14</v>
      </c>
      <c r="O99" s="3852">
        <v>303969.33</v>
      </c>
      <c r="P99" s="3783" t="s">
        <v>3908</v>
      </c>
      <c r="Q99" s="3859" t="s">
        <v>3909</v>
      </c>
    </row>
    <row r="100" spans="1:19 16361:16374" s="3774" customFormat="1" ht="265.2" hidden="1">
      <c r="A100" s="3754">
        <v>459</v>
      </c>
      <c r="B100" s="3754">
        <v>2021</v>
      </c>
      <c r="C100" s="3754">
        <v>10</v>
      </c>
      <c r="D100" s="3853">
        <v>3</v>
      </c>
      <c r="E100" s="3854" t="s">
        <v>3454</v>
      </c>
      <c r="F100" s="3854" t="s">
        <v>3444</v>
      </c>
      <c r="G100" s="3854" t="s">
        <v>3910</v>
      </c>
      <c r="H100" s="3854" t="s">
        <v>3886</v>
      </c>
      <c r="I100" s="3854" t="s">
        <v>3617</v>
      </c>
      <c r="J100" s="3855" t="s">
        <v>3911</v>
      </c>
      <c r="K100" s="3840" t="s">
        <v>3912</v>
      </c>
      <c r="L100" s="3860">
        <v>2.73</v>
      </c>
      <c r="M100" s="3860">
        <f>L100</f>
        <v>2.73</v>
      </c>
      <c r="N100" s="3856">
        <v>3.81</v>
      </c>
      <c r="O100" s="3856">
        <v>38188.92</v>
      </c>
      <c r="P100" s="3760" t="s">
        <v>3913</v>
      </c>
      <c r="Q100" s="3858" t="s">
        <v>3625</v>
      </c>
    </row>
    <row r="101" spans="1:19 16361:16374" s="3774" customFormat="1" ht="202.8" hidden="1">
      <c r="A101" s="3754">
        <v>460</v>
      </c>
      <c r="B101" s="3754">
        <v>2021</v>
      </c>
      <c r="C101" s="3754">
        <v>10</v>
      </c>
      <c r="D101" s="3858">
        <v>4</v>
      </c>
      <c r="E101" s="3854" t="s">
        <v>3454</v>
      </c>
      <c r="F101" s="3854" t="s">
        <v>3444</v>
      </c>
      <c r="G101" s="3854" t="s">
        <v>3914</v>
      </c>
      <c r="H101" s="3854" t="s">
        <v>3593</v>
      </c>
      <c r="I101" s="3854" t="s">
        <v>3617</v>
      </c>
      <c r="J101" s="3854" t="s">
        <v>3461</v>
      </c>
      <c r="K101" s="3855" t="s">
        <v>3915</v>
      </c>
      <c r="L101" s="3861">
        <v>2.35</v>
      </c>
      <c r="M101" s="3861">
        <f>L101</f>
        <v>2.35</v>
      </c>
      <c r="N101" s="3856">
        <f>2.35198*2.5</f>
        <v>5.8799500000000009</v>
      </c>
      <c r="O101" s="3839">
        <v>185791.67</v>
      </c>
      <c r="P101" s="3823" t="s">
        <v>3916</v>
      </c>
      <c r="Q101" s="3858" t="s">
        <v>3625</v>
      </c>
    </row>
    <row r="102" spans="1:19 16361:16374" s="3774" customFormat="1" ht="265.2" hidden="1">
      <c r="A102" s="3754">
        <v>461</v>
      </c>
      <c r="B102" s="3754">
        <v>2021</v>
      </c>
      <c r="C102" s="3754">
        <v>10</v>
      </c>
      <c r="D102" s="3853">
        <v>5</v>
      </c>
      <c r="E102" s="3854" t="s">
        <v>3917</v>
      </c>
      <c r="F102" s="3854" t="s">
        <v>3444</v>
      </c>
      <c r="G102" s="3854" t="s">
        <v>3918</v>
      </c>
      <c r="H102" s="3854" t="s">
        <v>3919</v>
      </c>
      <c r="I102" s="3854" t="s">
        <v>3617</v>
      </c>
      <c r="J102" s="3854" t="s">
        <v>3920</v>
      </c>
      <c r="K102" s="3855" t="s">
        <v>3921</v>
      </c>
      <c r="L102" s="3856">
        <v>11.22</v>
      </c>
      <c r="M102" s="3856">
        <v>11.22</v>
      </c>
      <c r="N102" s="3856">
        <v>22.44</v>
      </c>
      <c r="O102" s="3856">
        <v>597600</v>
      </c>
      <c r="P102" s="3862" t="s">
        <v>3922</v>
      </c>
      <c r="Q102" s="3858" t="s">
        <v>3625</v>
      </c>
    </row>
    <row r="103" spans="1:19 16361:16374" s="3774" customFormat="1" ht="249.6">
      <c r="A103" s="3754">
        <v>462</v>
      </c>
      <c r="B103" s="3754">
        <v>2021</v>
      </c>
      <c r="C103" s="3754">
        <v>10</v>
      </c>
      <c r="D103" s="3853">
        <v>6</v>
      </c>
      <c r="E103" s="3854" t="s">
        <v>3573</v>
      </c>
      <c r="F103" s="3854" t="s">
        <v>3444</v>
      </c>
      <c r="G103" s="3854" t="s">
        <v>3602</v>
      </c>
      <c r="H103" s="3854" t="s">
        <v>3603</v>
      </c>
      <c r="I103" s="3854" t="s">
        <v>3446</v>
      </c>
      <c r="J103" s="3854" t="s">
        <v>3604</v>
      </c>
      <c r="K103" s="3855" t="s">
        <v>3605</v>
      </c>
      <c r="L103" s="3856">
        <v>4.05</v>
      </c>
      <c r="M103" s="3856">
        <v>3.18</v>
      </c>
      <c r="N103" s="3856">
        <v>7.66</v>
      </c>
      <c r="O103" s="3856">
        <v>57025.57</v>
      </c>
      <c r="P103" s="3862" t="s">
        <v>3606</v>
      </c>
      <c r="Q103" s="3858" t="s">
        <v>3607</v>
      </c>
    </row>
    <row r="104" spans="1:19 16361:16374" s="3774" customFormat="1" ht="187.2" hidden="1">
      <c r="A104" s="3754">
        <v>463</v>
      </c>
      <c r="B104" s="3754">
        <v>2021</v>
      </c>
      <c r="C104" s="3754">
        <v>10</v>
      </c>
      <c r="D104" s="3853">
        <v>7</v>
      </c>
      <c r="E104" s="3854" t="s">
        <v>3489</v>
      </c>
      <c r="F104" s="3854" t="s">
        <v>3444</v>
      </c>
      <c r="G104" s="3854" t="s">
        <v>3923</v>
      </c>
      <c r="H104" s="3854" t="s">
        <v>3924</v>
      </c>
      <c r="I104" s="3854" t="s">
        <v>3617</v>
      </c>
      <c r="J104" s="3854" t="s">
        <v>3925</v>
      </c>
      <c r="K104" s="3855" t="s">
        <v>3926</v>
      </c>
      <c r="L104" s="3856">
        <v>4.72</v>
      </c>
      <c r="M104" s="3856">
        <v>4.72</v>
      </c>
      <c r="N104" s="3856">
        <v>11.96</v>
      </c>
      <c r="O104" s="3856">
        <v>206098.15</v>
      </c>
      <c r="P104" s="3823" t="s">
        <v>3927</v>
      </c>
      <c r="Q104" s="3843" t="s">
        <v>3928</v>
      </c>
    </row>
    <row r="105" spans="1:19 16361:16374" s="3867" customFormat="1" ht="177.9" hidden="1" customHeight="1">
      <c r="A105" s="3863">
        <v>464</v>
      </c>
      <c r="B105" s="3863">
        <v>2022</v>
      </c>
      <c r="C105" s="3863">
        <v>1</v>
      </c>
      <c r="D105" s="3853">
        <v>1</v>
      </c>
      <c r="E105" s="3854" t="s">
        <v>3489</v>
      </c>
      <c r="F105" s="3854" t="s">
        <v>3444</v>
      </c>
      <c r="G105" s="3839" t="s">
        <v>3929</v>
      </c>
      <c r="H105" s="3839" t="s">
        <v>3930</v>
      </c>
      <c r="I105" s="3839" t="s">
        <v>3617</v>
      </c>
      <c r="J105" s="3840" t="s">
        <v>3931</v>
      </c>
      <c r="K105" s="3855" t="s">
        <v>3932</v>
      </c>
      <c r="L105" s="3854">
        <v>6.39</v>
      </c>
      <c r="M105" s="3854">
        <v>6.39</v>
      </c>
      <c r="N105" s="3864">
        <v>20.63</v>
      </c>
      <c r="O105" s="3854">
        <v>601170.94999999995</v>
      </c>
      <c r="P105" s="3865" t="s">
        <v>3933</v>
      </c>
      <c r="Q105" s="3858" t="s">
        <v>3934</v>
      </c>
      <c r="R105" s="3866">
        <v>49525</v>
      </c>
      <c r="S105" s="3839" t="s">
        <v>3935</v>
      </c>
    </row>
    <row r="106" spans="1:19 16361:16374" s="3871" customFormat="1" ht="153" hidden="1" customHeight="1">
      <c r="A106" s="3868">
        <v>465</v>
      </c>
      <c r="B106" s="3863">
        <v>2022</v>
      </c>
      <c r="C106" s="3863">
        <v>1</v>
      </c>
      <c r="D106" s="3853">
        <v>2</v>
      </c>
      <c r="E106" s="3854" t="s">
        <v>3452</v>
      </c>
      <c r="F106" s="3854" t="s">
        <v>3444</v>
      </c>
      <c r="G106" s="3869" t="s">
        <v>3904</v>
      </c>
      <c r="H106" s="3854" t="s">
        <v>3458</v>
      </c>
      <c r="I106" s="3854" t="s">
        <v>3617</v>
      </c>
      <c r="J106" s="3854" t="s">
        <v>3906</v>
      </c>
      <c r="K106" s="3870" t="s">
        <v>3936</v>
      </c>
      <c r="L106" s="3854">
        <v>15.83</v>
      </c>
      <c r="M106" s="3854">
        <v>15.83</v>
      </c>
      <c r="N106" s="3856">
        <v>18.79</v>
      </c>
      <c r="O106" s="3856">
        <v>438580.96</v>
      </c>
      <c r="P106" s="3857" t="s">
        <v>3937</v>
      </c>
      <c r="Q106" s="3858" t="s">
        <v>3900</v>
      </c>
      <c r="R106" s="3866">
        <v>23850</v>
      </c>
      <c r="S106" s="3869" t="s">
        <v>3938</v>
      </c>
      <c r="XEG106" s="3872"/>
      <c r="XEH106" s="3872"/>
      <c r="XEI106" s="3872"/>
      <c r="XEJ106" s="3872"/>
      <c r="XEK106" s="3872"/>
      <c r="XEL106" s="3872"/>
      <c r="XEM106" s="3872"/>
      <c r="XEN106" s="3872"/>
      <c r="XEO106" s="3872"/>
      <c r="XEP106" s="3872"/>
      <c r="XEQ106" s="3872"/>
      <c r="XER106" s="3872"/>
      <c r="XES106" s="3872"/>
      <c r="XET106" s="3872"/>
    </row>
    <row r="107" spans="1:19 16361:16374" s="3871" customFormat="1" ht="221.1" hidden="1" customHeight="1">
      <c r="A107" s="3868">
        <v>466</v>
      </c>
      <c r="B107" s="3863">
        <v>2022</v>
      </c>
      <c r="C107" s="3863">
        <v>1</v>
      </c>
      <c r="D107" s="3853">
        <v>3</v>
      </c>
      <c r="E107" s="3854" t="s">
        <v>3452</v>
      </c>
      <c r="F107" s="3854" t="s">
        <v>3444</v>
      </c>
      <c r="G107" s="3869" t="s">
        <v>3939</v>
      </c>
      <c r="H107" s="3854" t="s">
        <v>3940</v>
      </c>
      <c r="I107" s="3854" t="s">
        <v>3617</v>
      </c>
      <c r="J107" s="3854" t="s">
        <v>3906</v>
      </c>
      <c r="K107" s="3870" t="s">
        <v>3941</v>
      </c>
      <c r="L107" s="3854">
        <v>4.22</v>
      </c>
      <c r="M107" s="3854">
        <v>4.22</v>
      </c>
      <c r="N107" s="3856">
        <v>6.28</v>
      </c>
      <c r="O107" s="3856">
        <v>136541.62</v>
      </c>
      <c r="P107" s="3797" t="s">
        <v>3942</v>
      </c>
      <c r="Q107" s="3858" t="s">
        <v>3943</v>
      </c>
      <c r="R107" s="3873">
        <v>23452</v>
      </c>
      <c r="S107" s="3869" t="s">
        <v>3944</v>
      </c>
      <c r="XEG107" s="3872"/>
      <c r="XEH107" s="3872"/>
      <c r="XEI107" s="3872"/>
      <c r="XEJ107" s="3872"/>
      <c r="XEK107" s="3872"/>
      <c r="XEL107" s="3872"/>
      <c r="XEM107" s="3872"/>
      <c r="XEN107" s="3872"/>
      <c r="XEO107" s="3872"/>
      <c r="XEP107" s="3872"/>
      <c r="XEQ107" s="3872"/>
      <c r="XER107" s="3872"/>
      <c r="XES107" s="3872"/>
      <c r="XET107" s="3872"/>
    </row>
    <row r="108" spans="1:19 16361:16374" s="3871" customFormat="1" ht="216.9" hidden="1" customHeight="1">
      <c r="A108" s="3868">
        <v>467</v>
      </c>
      <c r="B108" s="3863">
        <v>2022</v>
      </c>
      <c r="C108" s="3863">
        <v>1</v>
      </c>
      <c r="D108" s="3853">
        <v>4</v>
      </c>
      <c r="E108" s="3854" t="s">
        <v>3443</v>
      </c>
      <c r="F108" s="3854" t="s">
        <v>3444</v>
      </c>
      <c r="G108" s="3839" t="s">
        <v>3945</v>
      </c>
      <c r="H108" s="3839" t="s">
        <v>3445</v>
      </c>
      <c r="I108" s="3854" t="s">
        <v>3617</v>
      </c>
      <c r="J108" s="3854" t="s">
        <v>3461</v>
      </c>
      <c r="K108" s="3870" t="s">
        <v>3946</v>
      </c>
      <c r="L108" s="3854">
        <v>8.1</v>
      </c>
      <c r="M108" s="3854">
        <v>8.1</v>
      </c>
      <c r="N108" s="3856">
        <v>20.25</v>
      </c>
      <c r="O108" s="3856">
        <v>312958.38</v>
      </c>
      <c r="P108" s="3857" t="s">
        <v>3947</v>
      </c>
      <c r="Q108" s="3858" t="s">
        <v>3853</v>
      </c>
      <c r="R108" s="3866">
        <v>25000</v>
      </c>
      <c r="S108" s="3854" t="s">
        <v>3948</v>
      </c>
      <c r="XEG108" s="3872"/>
      <c r="XEH108" s="3872"/>
      <c r="XEI108" s="3872"/>
      <c r="XEJ108" s="3872"/>
      <c r="XEK108" s="3872"/>
      <c r="XEL108" s="3872"/>
      <c r="XEM108" s="3872"/>
      <c r="XEN108" s="3872"/>
      <c r="XEO108" s="3872"/>
      <c r="XEP108" s="3872"/>
      <c r="XEQ108" s="3872"/>
      <c r="XER108" s="3872"/>
      <c r="XES108" s="3872"/>
      <c r="XET108" s="3872"/>
    </row>
    <row r="109" spans="1:19 16361:16374" s="3871" customFormat="1" ht="153" hidden="1" customHeight="1">
      <c r="A109" s="3868">
        <v>468</v>
      </c>
      <c r="B109" s="3863">
        <v>2022</v>
      </c>
      <c r="C109" s="3863">
        <v>1</v>
      </c>
      <c r="D109" s="3853">
        <v>5</v>
      </c>
      <c r="E109" s="3854" t="s">
        <v>3443</v>
      </c>
      <c r="F109" s="3854" t="s">
        <v>3444</v>
      </c>
      <c r="G109" s="3869" t="s">
        <v>3949</v>
      </c>
      <c r="H109" s="3854" t="s">
        <v>3762</v>
      </c>
      <c r="I109" s="3854" t="s">
        <v>3617</v>
      </c>
      <c r="J109" s="3854" t="s">
        <v>3461</v>
      </c>
      <c r="K109" s="3870" t="s">
        <v>3950</v>
      </c>
      <c r="L109" s="3854">
        <v>5.63</v>
      </c>
      <c r="M109" s="3854">
        <v>5.63</v>
      </c>
      <c r="N109" s="3856">
        <v>9.01</v>
      </c>
      <c r="O109" s="3856">
        <v>180226.76</v>
      </c>
      <c r="P109" s="3857" t="s">
        <v>3951</v>
      </c>
      <c r="Q109" s="3858" t="s">
        <v>3853</v>
      </c>
      <c r="R109" s="3866">
        <v>20000</v>
      </c>
      <c r="S109" s="3869" t="s">
        <v>3952</v>
      </c>
      <c r="XEG109" s="3872"/>
      <c r="XEH109" s="3872"/>
      <c r="XEI109" s="3872"/>
      <c r="XEJ109" s="3872"/>
      <c r="XEK109" s="3872"/>
      <c r="XEL109" s="3872"/>
      <c r="XEM109" s="3872"/>
      <c r="XEN109" s="3872"/>
      <c r="XEO109" s="3872"/>
      <c r="XEP109" s="3872"/>
      <c r="XEQ109" s="3872"/>
      <c r="XER109" s="3872"/>
      <c r="XES109" s="3872"/>
      <c r="XET109" s="3872"/>
    </row>
    <row r="110" spans="1:19 16361:16374" s="3871" customFormat="1" ht="153" hidden="1" customHeight="1">
      <c r="A110" s="3868">
        <v>469</v>
      </c>
      <c r="B110" s="3863">
        <v>2022</v>
      </c>
      <c r="C110" s="3863">
        <v>1</v>
      </c>
      <c r="D110" s="3853">
        <v>6</v>
      </c>
      <c r="E110" s="3854" t="s">
        <v>3447</v>
      </c>
      <c r="F110" s="3854" t="s">
        <v>3444</v>
      </c>
      <c r="G110" s="3854" t="s">
        <v>3953</v>
      </c>
      <c r="H110" s="3854" t="s">
        <v>3954</v>
      </c>
      <c r="I110" s="3854" t="s">
        <v>3617</v>
      </c>
      <c r="J110" s="3854" t="s">
        <v>3461</v>
      </c>
      <c r="K110" s="3840" t="s">
        <v>3955</v>
      </c>
      <c r="L110" s="3854">
        <v>3.12</v>
      </c>
      <c r="M110" s="3854">
        <v>3.12</v>
      </c>
      <c r="N110" s="3856">
        <v>7.81</v>
      </c>
      <c r="O110" s="3856">
        <v>160000</v>
      </c>
      <c r="P110" s="3857" t="s">
        <v>3956</v>
      </c>
      <c r="Q110" s="3858" t="s">
        <v>3853</v>
      </c>
      <c r="R110" s="3866">
        <v>20500</v>
      </c>
      <c r="S110" s="3854" t="s">
        <v>3957</v>
      </c>
      <c r="XEG110" s="3872"/>
      <c r="XEH110" s="3872"/>
      <c r="XEI110" s="3872"/>
      <c r="XEJ110" s="3872"/>
      <c r="XEK110" s="3872"/>
      <c r="XEL110" s="3872"/>
      <c r="XEM110" s="3872"/>
      <c r="XEN110" s="3872"/>
      <c r="XEO110" s="3872"/>
      <c r="XEP110" s="3872"/>
      <c r="XEQ110" s="3872"/>
      <c r="XER110" s="3872"/>
      <c r="XES110" s="3872"/>
      <c r="XET110" s="3872"/>
    </row>
    <row r="111" spans="1:19 16361:16374" s="3871" customFormat="1" ht="197.1" hidden="1" customHeight="1">
      <c r="A111" s="3868">
        <v>470</v>
      </c>
      <c r="B111" s="3863">
        <v>2022</v>
      </c>
      <c r="C111" s="3863">
        <v>1</v>
      </c>
      <c r="D111" s="3853">
        <v>7</v>
      </c>
      <c r="E111" s="3854" t="s">
        <v>3449</v>
      </c>
      <c r="F111" s="3854" t="s">
        <v>3444</v>
      </c>
      <c r="G111" s="3854" t="s">
        <v>3958</v>
      </c>
      <c r="H111" s="3854" t="s">
        <v>3959</v>
      </c>
      <c r="I111" s="3854" t="s">
        <v>3617</v>
      </c>
      <c r="J111" s="3854" t="s">
        <v>3960</v>
      </c>
      <c r="K111" s="3840" t="s">
        <v>3961</v>
      </c>
      <c r="L111" s="3854">
        <v>5.82</v>
      </c>
      <c r="M111" s="3854">
        <v>4.2354000000000003</v>
      </c>
      <c r="N111" s="3856">
        <v>10.2188</v>
      </c>
      <c r="O111" s="3856">
        <v>172643.91</v>
      </c>
      <c r="P111" s="3857" t="s">
        <v>3962</v>
      </c>
      <c r="Q111" s="3858" t="s">
        <v>3853</v>
      </c>
      <c r="R111" s="3874">
        <f>O111/N111</f>
        <v>16894.734215367753</v>
      </c>
      <c r="S111" s="3854" t="s">
        <v>3963</v>
      </c>
      <c r="XEG111" s="3872"/>
      <c r="XEH111" s="3872"/>
      <c r="XEI111" s="3872"/>
      <c r="XEJ111" s="3872"/>
      <c r="XEK111" s="3872"/>
      <c r="XEL111" s="3872"/>
      <c r="XEM111" s="3872"/>
      <c r="XEN111" s="3872"/>
      <c r="XEO111" s="3872"/>
      <c r="XEP111" s="3872"/>
      <c r="XEQ111" s="3872"/>
      <c r="XER111" s="3872"/>
      <c r="XES111" s="3872"/>
      <c r="XET111" s="3872"/>
    </row>
    <row r="112" spans="1:19 16361:16374" s="3872" customFormat="1" ht="234" hidden="1" customHeight="1">
      <c r="A112" s="3787">
        <v>463</v>
      </c>
      <c r="B112" s="3787">
        <v>2022</v>
      </c>
      <c r="C112" s="3787">
        <v>2</v>
      </c>
      <c r="D112" s="3853">
        <v>1</v>
      </c>
      <c r="E112" s="3854" t="s">
        <v>3453</v>
      </c>
      <c r="F112" s="3854" t="s">
        <v>3444</v>
      </c>
      <c r="G112" s="3854" t="s">
        <v>3964</v>
      </c>
      <c r="H112" s="3854" t="s">
        <v>3965</v>
      </c>
      <c r="I112" s="3854" t="s">
        <v>3617</v>
      </c>
      <c r="J112" s="3854" t="s">
        <v>3966</v>
      </c>
      <c r="K112" s="3855" t="s">
        <v>3967</v>
      </c>
      <c r="L112" s="3854">
        <v>3.97</v>
      </c>
      <c r="M112" s="3854">
        <v>3.97</v>
      </c>
      <c r="N112" s="3856">
        <v>6.33</v>
      </c>
      <c r="O112" s="3856">
        <v>192869.86</v>
      </c>
      <c r="P112" s="3857" t="s">
        <v>3968</v>
      </c>
      <c r="Q112" s="3858" t="s">
        <v>3969</v>
      </c>
      <c r="R112" s="3873">
        <v>32250</v>
      </c>
      <c r="S112" s="3854" t="s">
        <v>3970</v>
      </c>
    </row>
    <row r="113" spans="1:19 16360:16373" s="3871" customFormat="1" ht="174.9" hidden="1" customHeight="1">
      <c r="A113" s="3868">
        <v>464</v>
      </c>
      <c r="B113" s="3787">
        <v>2022</v>
      </c>
      <c r="C113" s="3868">
        <v>2</v>
      </c>
      <c r="D113" s="3853">
        <v>2</v>
      </c>
      <c r="E113" s="3854" t="s">
        <v>3680</v>
      </c>
      <c r="F113" s="3854" t="s">
        <v>3444</v>
      </c>
      <c r="G113" s="3854" t="s">
        <v>3971</v>
      </c>
      <c r="H113" s="3854" t="s">
        <v>3972</v>
      </c>
      <c r="I113" s="3854" t="s">
        <v>3617</v>
      </c>
      <c r="J113" s="3854" t="s">
        <v>3461</v>
      </c>
      <c r="K113" s="3855" t="s">
        <v>3973</v>
      </c>
      <c r="L113" s="3854">
        <v>3.45</v>
      </c>
      <c r="M113" s="3854">
        <v>3.45</v>
      </c>
      <c r="N113" s="3856">
        <v>8.6300000000000008</v>
      </c>
      <c r="O113" s="3856">
        <v>319147.2</v>
      </c>
      <c r="P113" s="3857" t="s">
        <v>3974</v>
      </c>
      <c r="Q113" s="3756" t="s">
        <v>3853</v>
      </c>
      <c r="R113" s="3873">
        <v>37000</v>
      </c>
      <c r="S113" s="3854" t="s">
        <v>3975</v>
      </c>
      <c r="XEF113" s="3872"/>
      <c r="XEG113" s="3872"/>
      <c r="XEH113" s="3872"/>
      <c r="XEI113" s="3872"/>
      <c r="XEJ113" s="3872"/>
      <c r="XEK113" s="3872"/>
      <c r="XEL113" s="3872"/>
      <c r="XEM113" s="3872"/>
      <c r="XEN113" s="3872"/>
      <c r="XEO113" s="3872"/>
      <c r="XEP113" s="3872"/>
      <c r="XEQ113" s="3872"/>
      <c r="XER113" s="3872"/>
      <c r="XES113" s="3872"/>
    </row>
    <row r="114" spans="1:19 16360:16373" s="3871" customFormat="1" ht="177" hidden="1" customHeight="1">
      <c r="A114" s="3868">
        <v>465</v>
      </c>
      <c r="B114" s="3787">
        <v>2022</v>
      </c>
      <c r="C114" s="3868">
        <v>2</v>
      </c>
      <c r="D114" s="3853">
        <v>3</v>
      </c>
      <c r="E114" s="3854" t="s">
        <v>3680</v>
      </c>
      <c r="F114" s="3854" t="s">
        <v>3444</v>
      </c>
      <c r="G114" s="3854" t="s">
        <v>3976</v>
      </c>
      <c r="H114" s="3854" t="s">
        <v>3977</v>
      </c>
      <c r="I114" s="3854" t="s">
        <v>3617</v>
      </c>
      <c r="J114" s="3854" t="s">
        <v>3461</v>
      </c>
      <c r="K114" s="3855" t="s">
        <v>3978</v>
      </c>
      <c r="L114" s="3854">
        <v>2.7039749</v>
      </c>
      <c r="M114" s="3854">
        <v>2.7039749</v>
      </c>
      <c r="N114" s="3856">
        <f>M114*2.8</f>
        <v>7.5711297199999992</v>
      </c>
      <c r="O114" s="3856">
        <v>469900.95</v>
      </c>
      <c r="P114" s="3842" t="s">
        <v>3979</v>
      </c>
      <c r="Q114" s="3756" t="s">
        <v>3853</v>
      </c>
      <c r="R114" s="3873">
        <v>62065</v>
      </c>
      <c r="S114" s="3854" t="s">
        <v>3980</v>
      </c>
      <c r="XEF114" s="3872"/>
      <c r="XEG114" s="3872"/>
      <c r="XEH114" s="3872"/>
      <c r="XEI114" s="3872"/>
      <c r="XEJ114" s="3872"/>
      <c r="XEK114" s="3872"/>
      <c r="XEL114" s="3872"/>
      <c r="XEM114" s="3872"/>
      <c r="XEN114" s="3872"/>
      <c r="XEO114" s="3872"/>
      <c r="XEP114" s="3872"/>
      <c r="XEQ114" s="3872"/>
      <c r="XER114" s="3872"/>
      <c r="XES114" s="3872"/>
    </row>
    <row r="115" spans="1:19 16360:16373" s="3871" customFormat="1" ht="219" hidden="1" customHeight="1">
      <c r="A115" s="3868">
        <v>466</v>
      </c>
      <c r="B115" s="3787">
        <v>2022</v>
      </c>
      <c r="C115" s="3868">
        <v>2</v>
      </c>
      <c r="D115" s="3853">
        <v>4</v>
      </c>
      <c r="E115" s="3854" t="s">
        <v>3680</v>
      </c>
      <c r="F115" s="3854" t="s">
        <v>3444</v>
      </c>
      <c r="G115" s="3854" t="s">
        <v>3981</v>
      </c>
      <c r="H115" s="3854" t="s">
        <v>3972</v>
      </c>
      <c r="I115" s="3854" t="s">
        <v>3617</v>
      </c>
      <c r="J115" s="3854" t="s">
        <v>3866</v>
      </c>
      <c r="K115" s="3855" t="s">
        <v>3982</v>
      </c>
      <c r="L115" s="3854">
        <v>9.49</v>
      </c>
      <c r="M115" s="3854">
        <v>6.28</v>
      </c>
      <c r="N115" s="3856">
        <v>27.55</v>
      </c>
      <c r="O115" s="3856">
        <v>512430</v>
      </c>
      <c r="P115" s="3857" t="s">
        <v>3983</v>
      </c>
      <c r="Q115" s="3756" t="s">
        <v>3984</v>
      </c>
      <c r="R115" s="3873">
        <v>18600</v>
      </c>
      <c r="S115" s="3854" t="s">
        <v>3985</v>
      </c>
      <c r="XEF115" s="3872"/>
      <c r="XEG115" s="3872"/>
      <c r="XEH115" s="3872"/>
      <c r="XEI115" s="3872"/>
      <c r="XEJ115" s="3872"/>
      <c r="XEK115" s="3872"/>
      <c r="XEL115" s="3872"/>
      <c r="XEM115" s="3872"/>
      <c r="XEN115" s="3872"/>
      <c r="XEO115" s="3872"/>
      <c r="XEP115" s="3872"/>
      <c r="XEQ115" s="3872"/>
      <c r="XER115" s="3872"/>
      <c r="XES115" s="3872"/>
    </row>
    <row r="116" spans="1:19 16360:16373" s="3774" customFormat="1" ht="153" hidden="1" customHeight="1">
      <c r="A116" s="3868">
        <v>467</v>
      </c>
      <c r="B116" s="3863">
        <v>2022</v>
      </c>
      <c r="C116" s="3875">
        <v>3</v>
      </c>
      <c r="D116" s="3853">
        <v>1</v>
      </c>
      <c r="E116" s="3854" t="s">
        <v>3480</v>
      </c>
      <c r="F116" s="3854" t="s">
        <v>3444</v>
      </c>
      <c r="G116" s="3854" t="s">
        <v>3986</v>
      </c>
      <c r="H116" s="3854" t="s">
        <v>3987</v>
      </c>
      <c r="I116" s="3854" t="s">
        <v>3617</v>
      </c>
      <c r="J116" s="3854" t="s">
        <v>3988</v>
      </c>
      <c r="K116" s="3876" t="s">
        <v>3989</v>
      </c>
      <c r="L116" s="3854">
        <v>8.3000000000000007</v>
      </c>
      <c r="M116" s="3854">
        <v>8.3000000000000007</v>
      </c>
      <c r="N116" s="3856">
        <v>9.9600000000000009</v>
      </c>
      <c r="O116" s="3856">
        <v>185814.92</v>
      </c>
      <c r="P116" s="3857" t="s">
        <v>3990</v>
      </c>
      <c r="Q116" s="3877" t="s">
        <v>3991</v>
      </c>
    </row>
    <row r="117" spans="1:19 16360:16373" s="3774" customFormat="1" ht="153" hidden="1" customHeight="1">
      <c r="A117" s="3868">
        <v>468</v>
      </c>
      <c r="B117" s="3863">
        <v>2022</v>
      </c>
      <c r="C117" s="3875">
        <v>3</v>
      </c>
      <c r="D117" s="3853">
        <v>2</v>
      </c>
      <c r="E117" s="3854" t="s">
        <v>3480</v>
      </c>
      <c r="F117" s="3854" t="s">
        <v>3444</v>
      </c>
      <c r="G117" s="3854" t="s">
        <v>3992</v>
      </c>
      <c r="H117" s="3854" t="s">
        <v>3639</v>
      </c>
      <c r="I117" s="3854" t="s">
        <v>3617</v>
      </c>
      <c r="J117" s="3854" t="s">
        <v>3993</v>
      </c>
      <c r="K117" s="3876" t="s">
        <v>3994</v>
      </c>
      <c r="L117" s="3854">
        <v>6.4</v>
      </c>
      <c r="M117" s="3854">
        <v>6.4</v>
      </c>
      <c r="N117" s="3856">
        <v>19.2</v>
      </c>
      <c r="O117" s="3856">
        <v>142360.32999999999</v>
      </c>
      <c r="P117" s="3857" t="s">
        <v>3995</v>
      </c>
      <c r="Q117" s="3877" t="s">
        <v>3991</v>
      </c>
    </row>
    <row r="118" spans="1:19 16360:16373" s="3774" customFormat="1" ht="153" hidden="1" customHeight="1">
      <c r="A118" s="3868">
        <v>469</v>
      </c>
      <c r="B118" s="3863">
        <v>2022</v>
      </c>
      <c r="C118" s="3875">
        <v>3</v>
      </c>
      <c r="D118" s="3853">
        <v>3</v>
      </c>
      <c r="E118" s="3854" t="s">
        <v>3452</v>
      </c>
      <c r="F118" s="3854" t="s">
        <v>3444</v>
      </c>
      <c r="G118" s="3854" t="s">
        <v>3996</v>
      </c>
      <c r="H118" s="3854" t="s">
        <v>3997</v>
      </c>
      <c r="I118" s="3854" t="s">
        <v>3617</v>
      </c>
      <c r="J118" s="3854" t="s">
        <v>3998</v>
      </c>
      <c r="K118" s="3876" t="s">
        <v>3999</v>
      </c>
      <c r="L118" s="3854">
        <v>6.92</v>
      </c>
      <c r="M118" s="3854">
        <v>6.92</v>
      </c>
      <c r="N118" s="3856">
        <v>11.07</v>
      </c>
      <c r="O118" s="3856">
        <v>187064.68</v>
      </c>
      <c r="P118" s="3857" t="s">
        <v>4000</v>
      </c>
      <c r="Q118" s="3877" t="s">
        <v>3991</v>
      </c>
    </row>
    <row r="119" spans="1:19 16360:16373" s="3774" customFormat="1" ht="153" hidden="1" customHeight="1">
      <c r="A119" s="3868">
        <v>470</v>
      </c>
      <c r="B119" s="3863">
        <v>2022</v>
      </c>
      <c r="C119" s="3875">
        <v>3</v>
      </c>
      <c r="D119" s="3853">
        <v>4</v>
      </c>
      <c r="E119" s="3854" t="s">
        <v>3523</v>
      </c>
      <c r="F119" s="3854" t="s">
        <v>3444</v>
      </c>
      <c r="G119" s="3854" t="s">
        <v>4001</v>
      </c>
      <c r="H119" s="3854" t="s">
        <v>4002</v>
      </c>
      <c r="I119" s="3854" t="s">
        <v>3617</v>
      </c>
      <c r="J119" s="3854" t="s">
        <v>4003</v>
      </c>
      <c r="K119" s="3876" t="s">
        <v>4004</v>
      </c>
      <c r="L119" s="3854">
        <v>1.78</v>
      </c>
      <c r="M119" s="3854">
        <v>1.78</v>
      </c>
      <c r="N119" s="3856">
        <v>1.87</v>
      </c>
      <c r="O119" s="3856">
        <v>36675.269999999997</v>
      </c>
      <c r="P119" s="3857" t="s">
        <v>4005</v>
      </c>
      <c r="Q119" s="3877" t="s">
        <v>3991</v>
      </c>
    </row>
    <row r="120" spans="1:19 16360:16373" s="3774" customFormat="1" ht="153" hidden="1" customHeight="1">
      <c r="A120" s="3868">
        <v>471</v>
      </c>
      <c r="B120" s="3863">
        <v>2022</v>
      </c>
      <c r="C120" s="3878">
        <v>3</v>
      </c>
      <c r="D120" s="3879">
        <v>5</v>
      </c>
      <c r="E120" s="3880" t="s">
        <v>3459</v>
      </c>
      <c r="F120" s="3880" t="s">
        <v>3444</v>
      </c>
      <c r="G120" s="3880" t="s">
        <v>4006</v>
      </c>
      <c r="H120" s="3880" t="s">
        <v>4007</v>
      </c>
      <c r="I120" s="3880" t="s">
        <v>3617</v>
      </c>
      <c r="J120" s="3880" t="s">
        <v>4008</v>
      </c>
      <c r="K120" s="3881" t="s">
        <v>4009</v>
      </c>
      <c r="L120" s="3880">
        <v>18.48</v>
      </c>
      <c r="M120" s="3880">
        <v>18.48</v>
      </c>
      <c r="N120" s="3882">
        <v>51.65</v>
      </c>
      <c r="O120" s="3882">
        <v>499779.96</v>
      </c>
      <c r="P120" s="3883" t="s">
        <v>4010</v>
      </c>
      <c r="Q120" s="3884" t="s">
        <v>3991</v>
      </c>
    </row>
    <row r="121" spans="1:19 16360:16373" s="3774" customFormat="1" ht="153" hidden="1" customHeight="1">
      <c r="A121" s="3868">
        <v>472</v>
      </c>
      <c r="B121" s="3863">
        <v>2022</v>
      </c>
      <c r="C121" s="3885">
        <v>4</v>
      </c>
      <c r="D121" s="3886">
        <v>1</v>
      </c>
      <c r="E121" s="3854" t="s">
        <v>3489</v>
      </c>
      <c r="F121" s="3854" t="s">
        <v>3444</v>
      </c>
      <c r="G121" s="3854" t="s">
        <v>4011</v>
      </c>
      <c r="H121" s="3854" t="s">
        <v>4012</v>
      </c>
      <c r="I121" s="3854" t="s">
        <v>3617</v>
      </c>
      <c r="J121" s="3854" t="s">
        <v>4013</v>
      </c>
      <c r="K121" s="3854" t="s">
        <v>4014</v>
      </c>
      <c r="L121" s="3854">
        <v>9.06</v>
      </c>
      <c r="M121" s="3854">
        <v>9.06</v>
      </c>
      <c r="N121" s="3856">
        <v>19.690000000000001</v>
      </c>
      <c r="O121" s="3856">
        <v>619848.4</v>
      </c>
      <c r="P121" s="3887" t="s">
        <v>4015</v>
      </c>
      <c r="Q121" s="3862" t="s">
        <v>3991</v>
      </c>
    </row>
    <row r="122" spans="1:19 16360:16373" s="3774" customFormat="1" ht="153" hidden="1" customHeight="1">
      <c r="A122" s="3868">
        <v>473</v>
      </c>
      <c r="B122" s="3863">
        <v>2022</v>
      </c>
      <c r="C122" s="3885">
        <v>4</v>
      </c>
      <c r="D122" s="3886">
        <v>2</v>
      </c>
      <c r="E122" s="3839" t="s">
        <v>3489</v>
      </c>
      <c r="F122" s="3839" t="s">
        <v>3444</v>
      </c>
      <c r="G122" s="3888" t="s">
        <v>4016</v>
      </c>
      <c r="H122" s="3854" t="s">
        <v>4017</v>
      </c>
      <c r="I122" s="3854" t="s">
        <v>3617</v>
      </c>
      <c r="J122" s="3854" t="s">
        <v>3461</v>
      </c>
      <c r="K122" s="3840" t="s">
        <v>4018</v>
      </c>
      <c r="L122" s="3854">
        <v>2.2200000000000002</v>
      </c>
      <c r="M122" s="3854">
        <v>2.2200000000000002</v>
      </c>
      <c r="N122" s="3854">
        <v>5.55</v>
      </c>
      <c r="O122" s="3854">
        <v>286000</v>
      </c>
      <c r="P122" s="3842" t="s">
        <v>4019</v>
      </c>
      <c r="Q122" s="3889" t="s">
        <v>4020</v>
      </c>
    </row>
    <row r="123" spans="1:19 16360:16373" s="3774" customFormat="1" ht="237.9" hidden="1" customHeight="1">
      <c r="A123" s="3868">
        <v>474</v>
      </c>
      <c r="B123" s="3863">
        <v>2022</v>
      </c>
      <c r="C123" s="3885">
        <v>4</v>
      </c>
      <c r="D123" s="3858">
        <v>3</v>
      </c>
      <c r="E123" s="3839" t="s">
        <v>3452</v>
      </c>
      <c r="F123" s="3839" t="s">
        <v>3444</v>
      </c>
      <c r="G123" s="3839" t="s">
        <v>4021</v>
      </c>
      <c r="H123" s="3839" t="s">
        <v>4022</v>
      </c>
      <c r="I123" s="3839" t="s">
        <v>3617</v>
      </c>
      <c r="J123" s="3839" t="s">
        <v>4023</v>
      </c>
      <c r="K123" s="3840" t="s">
        <v>4024</v>
      </c>
      <c r="L123" s="3852">
        <v>13.03</v>
      </c>
      <c r="M123" s="3852">
        <v>13.03</v>
      </c>
      <c r="N123" s="3852">
        <v>22.73</v>
      </c>
      <c r="O123" s="3852">
        <v>130163.56</v>
      </c>
      <c r="P123" s="3783" t="s">
        <v>4025</v>
      </c>
      <c r="Q123" s="3889" t="s">
        <v>3991</v>
      </c>
    </row>
    <row r="124" spans="1:19 16360:16373" s="3774" customFormat="1" ht="162" hidden="1" customHeight="1">
      <c r="A124" s="3868">
        <v>475</v>
      </c>
      <c r="B124" s="3863">
        <v>2022</v>
      </c>
      <c r="C124" s="3885">
        <v>4</v>
      </c>
      <c r="D124" s="3886">
        <v>4</v>
      </c>
      <c r="E124" s="3854" t="s">
        <v>3591</v>
      </c>
      <c r="F124" s="3854" t="s">
        <v>3444</v>
      </c>
      <c r="G124" s="3854" t="s">
        <v>4026</v>
      </c>
      <c r="H124" s="3854" t="s">
        <v>4027</v>
      </c>
      <c r="I124" s="3854" t="s">
        <v>3617</v>
      </c>
      <c r="J124" s="3854" t="s">
        <v>4028</v>
      </c>
      <c r="K124" s="3855" t="s">
        <v>4029</v>
      </c>
      <c r="L124" s="3854">
        <v>10.9</v>
      </c>
      <c r="M124" s="3854">
        <v>10.9</v>
      </c>
      <c r="N124" s="3856">
        <v>25.59</v>
      </c>
      <c r="O124" s="3856">
        <v>736021.97</v>
      </c>
      <c r="P124" s="3842" t="s">
        <v>4030</v>
      </c>
      <c r="Q124" s="3889" t="s">
        <v>4031</v>
      </c>
    </row>
    <row r="125" spans="1:19 16360:16373" s="3774" customFormat="1" ht="153" hidden="1" customHeight="1">
      <c r="A125" s="3868">
        <v>476</v>
      </c>
      <c r="B125" s="3863">
        <v>2022</v>
      </c>
      <c r="C125" s="3890">
        <v>4</v>
      </c>
      <c r="D125" s="3891">
        <v>5</v>
      </c>
      <c r="E125" s="3891" t="s">
        <v>3917</v>
      </c>
      <c r="F125" s="3891" t="s">
        <v>3444</v>
      </c>
      <c r="G125" s="3892" t="s">
        <v>4032</v>
      </c>
      <c r="H125" s="3892" t="s">
        <v>3919</v>
      </c>
      <c r="I125" s="3892" t="s">
        <v>3617</v>
      </c>
      <c r="J125" s="3892" t="s">
        <v>3461</v>
      </c>
      <c r="K125" s="3892" t="s">
        <v>4033</v>
      </c>
      <c r="L125" s="3893">
        <v>6.5</v>
      </c>
      <c r="M125" s="3893">
        <v>6.5</v>
      </c>
      <c r="N125" s="3893">
        <v>13</v>
      </c>
      <c r="O125" s="3893">
        <v>360888.75</v>
      </c>
      <c r="P125" s="3894" t="s">
        <v>4034</v>
      </c>
      <c r="Q125" s="3895" t="s">
        <v>4031</v>
      </c>
    </row>
    <row r="126" spans="1:19 16360:16373" s="3774" customFormat="1" ht="153" hidden="1" customHeight="1">
      <c r="A126" s="3868">
        <v>477</v>
      </c>
      <c r="B126" s="3863">
        <v>2022</v>
      </c>
      <c r="C126" s="3890">
        <v>5</v>
      </c>
      <c r="D126" s="3891">
        <v>1</v>
      </c>
      <c r="E126" s="3891" t="s">
        <v>3489</v>
      </c>
      <c r="F126" s="3891" t="s">
        <v>3444</v>
      </c>
      <c r="G126" s="3892" t="s">
        <v>4035</v>
      </c>
      <c r="H126" s="3892" t="s">
        <v>4036</v>
      </c>
      <c r="I126" s="3892" t="s">
        <v>3617</v>
      </c>
      <c r="J126" s="3892" t="s">
        <v>4037</v>
      </c>
      <c r="K126" s="3892" t="s">
        <v>4038</v>
      </c>
      <c r="L126" s="3893">
        <v>25.36</v>
      </c>
      <c r="M126" s="3893">
        <v>14.27</v>
      </c>
      <c r="N126" s="3893">
        <v>15.49</v>
      </c>
      <c r="O126" s="3893">
        <v>270087.59999999998</v>
      </c>
      <c r="P126" s="3894" t="s">
        <v>4039</v>
      </c>
      <c r="Q126" s="3895" t="s">
        <v>3991</v>
      </c>
    </row>
    <row r="127" spans="1:19 16360:16373" s="3774" customFormat="1" ht="153" hidden="1" customHeight="1">
      <c r="A127" s="3868">
        <v>478</v>
      </c>
      <c r="B127" s="3863">
        <v>2022</v>
      </c>
      <c r="C127" s="3890">
        <v>5</v>
      </c>
      <c r="D127" s="3891">
        <v>2</v>
      </c>
      <c r="E127" s="3891" t="s">
        <v>3480</v>
      </c>
      <c r="F127" s="3891" t="s">
        <v>3444</v>
      </c>
      <c r="G127" s="3892" t="s">
        <v>4040</v>
      </c>
      <c r="H127" s="3892" t="s">
        <v>4041</v>
      </c>
      <c r="I127" s="3892" t="s">
        <v>3617</v>
      </c>
      <c r="J127" s="3892" t="s">
        <v>3565</v>
      </c>
      <c r="K127" s="3892" t="s">
        <v>4042</v>
      </c>
      <c r="L127" s="3893">
        <v>2.61</v>
      </c>
      <c r="M127" s="3893">
        <v>2.61</v>
      </c>
      <c r="N127" s="3893">
        <v>6.02</v>
      </c>
      <c r="O127" s="3893">
        <v>190935.2</v>
      </c>
      <c r="P127" s="3894" t="s">
        <v>4043</v>
      </c>
      <c r="Q127" s="3895" t="s">
        <v>3991</v>
      </c>
    </row>
    <row r="128" spans="1:19 16360:16373" s="3774" customFormat="1" ht="153" hidden="1" customHeight="1">
      <c r="A128" s="3868">
        <v>479</v>
      </c>
      <c r="B128" s="3863">
        <v>2022</v>
      </c>
      <c r="C128" s="3890">
        <v>5</v>
      </c>
      <c r="D128" s="3891">
        <v>3</v>
      </c>
      <c r="E128" s="3891" t="s">
        <v>3480</v>
      </c>
      <c r="F128" s="3891" t="s">
        <v>3444</v>
      </c>
      <c r="G128" s="3892" t="s">
        <v>4044</v>
      </c>
      <c r="H128" s="3892" t="s">
        <v>4045</v>
      </c>
      <c r="I128" s="3892" t="s">
        <v>3617</v>
      </c>
      <c r="J128" s="3892" t="s">
        <v>3461</v>
      </c>
      <c r="K128" s="3892" t="s">
        <v>4046</v>
      </c>
      <c r="L128" s="3893">
        <v>3.06</v>
      </c>
      <c r="M128" s="3893">
        <v>3.06</v>
      </c>
      <c r="N128" s="3893">
        <v>7.09</v>
      </c>
      <c r="O128" s="3893">
        <v>224985.63</v>
      </c>
      <c r="P128" s="3894" t="s">
        <v>4047</v>
      </c>
      <c r="Q128" s="3895" t="s">
        <v>3991</v>
      </c>
    </row>
    <row r="129" spans="1:19" s="3774" customFormat="1" ht="153" hidden="1" customHeight="1">
      <c r="A129" s="3868">
        <v>480</v>
      </c>
      <c r="B129" s="3863">
        <v>2022</v>
      </c>
      <c r="C129" s="3890">
        <v>6</v>
      </c>
      <c r="D129" s="3891">
        <v>1</v>
      </c>
      <c r="E129" s="3891" t="s">
        <v>3489</v>
      </c>
      <c r="F129" s="3891" t="s">
        <v>3444</v>
      </c>
      <c r="G129" s="3892" t="s">
        <v>4048</v>
      </c>
      <c r="H129" s="3892" t="s">
        <v>4049</v>
      </c>
      <c r="I129" s="3892" t="s">
        <v>3617</v>
      </c>
      <c r="J129" s="3892" t="s">
        <v>4050</v>
      </c>
      <c r="K129" s="3892" t="s">
        <v>4051</v>
      </c>
      <c r="L129" s="3893">
        <v>3.91</v>
      </c>
      <c r="M129" s="3893">
        <v>3.91</v>
      </c>
      <c r="N129" s="3893">
        <v>15.64</v>
      </c>
      <c r="O129" s="3893">
        <v>180567.4</v>
      </c>
      <c r="P129" s="3894" t="s">
        <v>4052</v>
      </c>
      <c r="Q129" s="3895" t="s">
        <v>3991</v>
      </c>
    </row>
    <row r="130" spans="1:19" s="3774" customFormat="1" ht="153" hidden="1" customHeight="1">
      <c r="A130" s="3868">
        <v>481</v>
      </c>
      <c r="B130" s="3863">
        <v>2022</v>
      </c>
      <c r="C130" s="3890">
        <v>6</v>
      </c>
      <c r="D130" s="3891">
        <v>2</v>
      </c>
      <c r="E130" s="3891" t="s">
        <v>3502</v>
      </c>
      <c r="F130" s="3891" t="s">
        <v>3444</v>
      </c>
      <c r="G130" s="3892" t="s">
        <v>4053</v>
      </c>
      <c r="H130" s="3892" t="s">
        <v>4054</v>
      </c>
      <c r="I130" s="3892" t="s">
        <v>3617</v>
      </c>
      <c r="J130" s="3892" t="s">
        <v>3461</v>
      </c>
      <c r="K130" s="3892" t="s">
        <v>4055</v>
      </c>
      <c r="L130" s="3893">
        <v>4.92</v>
      </c>
      <c r="M130" s="3893">
        <v>4.92</v>
      </c>
      <c r="N130" s="3893">
        <v>10.824</v>
      </c>
      <c r="O130" s="3893">
        <v>216480</v>
      </c>
      <c r="P130" s="3894" t="s">
        <v>4056</v>
      </c>
      <c r="Q130" s="3895" t="s">
        <v>3991</v>
      </c>
    </row>
    <row r="131" spans="1:19" s="3774" customFormat="1" ht="153" hidden="1" customHeight="1">
      <c r="A131" s="3868">
        <v>482</v>
      </c>
      <c r="B131" s="3863">
        <v>2022</v>
      </c>
      <c r="C131" s="3890">
        <v>6</v>
      </c>
      <c r="D131" s="3891">
        <v>3</v>
      </c>
      <c r="E131" s="3891" t="s">
        <v>3502</v>
      </c>
      <c r="F131" s="3891" t="s">
        <v>3444</v>
      </c>
      <c r="G131" s="3892" t="s">
        <v>4057</v>
      </c>
      <c r="H131" s="3892" t="s">
        <v>3632</v>
      </c>
      <c r="I131" s="3892" t="s">
        <v>3617</v>
      </c>
      <c r="J131" s="3892" t="s">
        <v>3461</v>
      </c>
      <c r="K131" s="3892" t="s">
        <v>4058</v>
      </c>
      <c r="L131" s="3893">
        <v>1.47</v>
      </c>
      <c r="M131" s="3893">
        <v>1.47</v>
      </c>
      <c r="N131" s="3893">
        <v>3.6629999999999998</v>
      </c>
      <c r="O131" s="3893">
        <v>91579.81</v>
      </c>
      <c r="P131" s="3894" t="s">
        <v>4059</v>
      </c>
      <c r="Q131" s="3895" t="s">
        <v>3991</v>
      </c>
    </row>
    <row r="132" spans="1:19" s="3774" customFormat="1" ht="153" hidden="1" customHeight="1">
      <c r="A132" s="3868">
        <v>483</v>
      </c>
      <c r="B132" s="3863">
        <v>2022</v>
      </c>
      <c r="C132" s="3890">
        <v>6</v>
      </c>
      <c r="D132" s="3891">
        <v>4</v>
      </c>
      <c r="E132" s="3891" t="s">
        <v>3523</v>
      </c>
      <c r="F132" s="3891" t="s">
        <v>3444</v>
      </c>
      <c r="G132" s="3892" t="s">
        <v>3953</v>
      </c>
      <c r="H132" s="3892" t="s">
        <v>4060</v>
      </c>
      <c r="I132" s="3892" t="s">
        <v>3617</v>
      </c>
      <c r="J132" s="3892" t="s">
        <v>3461</v>
      </c>
      <c r="K132" s="3892" t="s">
        <v>4061</v>
      </c>
      <c r="L132" s="3893">
        <v>3.12</v>
      </c>
      <c r="M132" s="3893">
        <v>3.12</v>
      </c>
      <c r="N132" s="3893">
        <v>7.8</v>
      </c>
      <c r="O132" s="3893">
        <v>140600</v>
      </c>
      <c r="P132" s="3894" t="s">
        <v>4062</v>
      </c>
      <c r="Q132" s="3895" t="s">
        <v>3991</v>
      </c>
    </row>
    <row r="133" spans="1:19" s="3774" customFormat="1" ht="153" hidden="1" customHeight="1">
      <c r="A133" s="3868">
        <v>484</v>
      </c>
      <c r="B133" s="3863">
        <v>2022</v>
      </c>
      <c r="C133" s="3890">
        <v>7</v>
      </c>
      <c r="D133" s="3891">
        <v>1</v>
      </c>
      <c r="E133" s="3891" t="s">
        <v>3680</v>
      </c>
      <c r="F133" s="3891" t="s">
        <v>3444</v>
      </c>
      <c r="G133" s="3892" t="s">
        <v>4063</v>
      </c>
      <c r="H133" s="3892" t="s">
        <v>4064</v>
      </c>
      <c r="I133" s="3892" t="s">
        <v>3617</v>
      </c>
      <c r="J133" s="3892" t="s">
        <v>3461</v>
      </c>
      <c r="K133" s="3892" t="s">
        <v>4065</v>
      </c>
      <c r="L133" s="3893">
        <v>1.206</v>
      </c>
      <c r="M133" s="3893">
        <v>1.21</v>
      </c>
      <c r="N133" s="3893">
        <v>3.0150000000000001</v>
      </c>
      <c r="O133" s="3893">
        <v>99495.41</v>
      </c>
      <c r="P133" s="3894" t="s">
        <v>4066</v>
      </c>
      <c r="Q133" s="3895" t="s">
        <v>3991</v>
      </c>
    </row>
    <row r="134" spans="1:19" s="3774" customFormat="1" ht="153" hidden="1" customHeight="1">
      <c r="A134" s="3868">
        <v>485</v>
      </c>
      <c r="B134" s="3863">
        <v>2022</v>
      </c>
      <c r="C134" s="3891">
        <v>7</v>
      </c>
      <c r="D134" s="3891">
        <v>2</v>
      </c>
      <c r="E134" s="3891" t="s">
        <v>3489</v>
      </c>
      <c r="F134" s="3891" t="s">
        <v>3444</v>
      </c>
      <c r="G134" s="3892" t="s">
        <v>4067</v>
      </c>
      <c r="H134" s="3892" t="s">
        <v>4068</v>
      </c>
      <c r="I134" s="3892" t="s">
        <v>3617</v>
      </c>
      <c r="J134" s="3892" t="s">
        <v>3696</v>
      </c>
      <c r="K134" s="3892" t="s">
        <v>4069</v>
      </c>
      <c r="L134" s="3893">
        <v>6.78</v>
      </c>
      <c r="M134" s="3893">
        <v>6.78</v>
      </c>
      <c r="N134" s="3893">
        <v>29.81</v>
      </c>
      <c r="O134" s="3893">
        <v>369134.5</v>
      </c>
      <c r="P134" s="3894" t="s">
        <v>4070</v>
      </c>
      <c r="Q134" s="3895" t="s">
        <v>3991</v>
      </c>
    </row>
    <row r="135" spans="1:19" s="3774" customFormat="1" ht="153" hidden="1" customHeight="1">
      <c r="A135" s="3868">
        <v>486</v>
      </c>
      <c r="B135" s="3863">
        <v>2023</v>
      </c>
      <c r="C135" s="3891">
        <v>1</v>
      </c>
      <c r="D135" s="3891">
        <v>1</v>
      </c>
      <c r="E135" s="3891" t="s">
        <v>3469</v>
      </c>
      <c r="F135" s="3891" t="s">
        <v>3444</v>
      </c>
      <c r="G135" s="3892" t="s">
        <v>4071</v>
      </c>
      <c r="H135" s="3892" t="s">
        <v>4072</v>
      </c>
      <c r="I135" s="3892" t="s">
        <v>3617</v>
      </c>
      <c r="J135" s="3892" t="s">
        <v>3461</v>
      </c>
      <c r="K135" s="3892" t="s">
        <v>4073</v>
      </c>
      <c r="L135" s="3893">
        <v>3.41</v>
      </c>
      <c r="M135" s="3893">
        <v>3.41</v>
      </c>
      <c r="N135" s="3893">
        <v>6.14</v>
      </c>
      <c r="O135" s="3856" t="s">
        <v>4074</v>
      </c>
      <c r="P135" s="3894" t="s">
        <v>4075</v>
      </c>
      <c r="Q135" s="3895" t="s">
        <v>3991</v>
      </c>
    </row>
    <row r="136" spans="1:19" s="3774" customFormat="1" ht="153" hidden="1" customHeight="1">
      <c r="A136" s="3868">
        <v>487</v>
      </c>
      <c r="B136" s="3863">
        <v>2023</v>
      </c>
      <c r="C136" s="3891">
        <v>1</v>
      </c>
      <c r="D136" s="3891">
        <v>2</v>
      </c>
      <c r="E136" s="3891" t="s">
        <v>3469</v>
      </c>
      <c r="F136" s="3891" t="s">
        <v>3444</v>
      </c>
      <c r="G136" s="3892" t="s">
        <v>4076</v>
      </c>
      <c r="H136" s="3892" t="s">
        <v>4077</v>
      </c>
      <c r="I136" s="3892" t="s">
        <v>3617</v>
      </c>
      <c r="J136" s="3892" t="s">
        <v>3461</v>
      </c>
      <c r="K136" s="3892" t="s">
        <v>4078</v>
      </c>
      <c r="L136" s="3893">
        <v>3.16</v>
      </c>
      <c r="M136" s="3893">
        <v>3.16</v>
      </c>
      <c r="N136" s="3893">
        <v>5.69</v>
      </c>
      <c r="O136" s="3856" t="s">
        <v>4079</v>
      </c>
      <c r="P136" s="3894" t="s">
        <v>4080</v>
      </c>
      <c r="Q136" s="3895" t="s">
        <v>3991</v>
      </c>
    </row>
    <row r="137" spans="1:19" s="3774" customFormat="1" ht="153" hidden="1" customHeight="1">
      <c r="A137" s="3868">
        <v>488</v>
      </c>
      <c r="B137" s="3863">
        <v>2023</v>
      </c>
      <c r="C137" s="3891">
        <v>1</v>
      </c>
      <c r="D137" s="3891">
        <v>3</v>
      </c>
      <c r="E137" s="3891" t="s">
        <v>3591</v>
      </c>
      <c r="F137" s="3891" t="s">
        <v>3444</v>
      </c>
      <c r="G137" s="3892" t="s">
        <v>4081</v>
      </c>
      <c r="H137" s="3892" t="s">
        <v>4082</v>
      </c>
      <c r="I137" s="3892" t="s">
        <v>3617</v>
      </c>
      <c r="J137" s="3892" t="s">
        <v>3739</v>
      </c>
      <c r="K137" s="3892" t="s">
        <v>4083</v>
      </c>
      <c r="L137" s="3893">
        <v>9.84</v>
      </c>
      <c r="M137" s="3893">
        <v>9.84</v>
      </c>
      <c r="N137" s="3893">
        <v>22.79</v>
      </c>
      <c r="O137" s="3856" t="s">
        <v>4084</v>
      </c>
      <c r="P137" s="3894" t="s">
        <v>4085</v>
      </c>
      <c r="Q137" s="3895" t="s">
        <v>3991</v>
      </c>
    </row>
    <row r="138" spans="1:19" s="3774" customFormat="1" ht="153" customHeight="1">
      <c r="A138" s="3868">
        <v>489</v>
      </c>
      <c r="B138" s="3863">
        <v>2023</v>
      </c>
      <c r="C138" s="3891">
        <v>2</v>
      </c>
      <c r="D138" s="3891">
        <v>1</v>
      </c>
      <c r="E138" s="3891" t="s">
        <v>3480</v>
      </c>
      <c r="F138" s="3891" t="s">
        <v>3444</v>
      </c>
      <c r="G138" s="3892" t="s">
        <v>3608</v>
      </c>
      <c r="H138" s="3892" t="s">
        <v>3609</v>
      </c>
      <c r="I138" s="3892" t="s">
        <v>3446</v>
      </c>
      <c r="J138" s="3892" t="s">
        <v>3610</v>
      </c>
      <c r="K138" s="3892" t="s">
        <v>3611</v>
      </c>
      <c r="L138" s="3893">
        <v>6.84</v>
      </c>
      <c r="M138" s="3893">
        <v>6.84</v>
      </c>
      <c r="N138" s="3893">
        <v>19.14</v>
      </c>
      <c r="O138" s="3856" t="s">
        <v>4086</v>
      </c>
      <c r="P138" s="3894" t="s">
        <v>3612</v>
      </c>
      <c r="Q138" s="3895" t="s">
        <v>3613</v>
      </c>
      <c r="S138" s="3774">
        <f>59836.13/L138</f>
        <v>8747.9722222222226</v>
      </c>
    </row>
    <row r="139" spans="1:19" s="3774" customFormat="1" ht="153" hidden="1" customHeight="1">
      <c r="A139" s="3868">
        <v>490</v>
      </c>
      <c r="B139" s="3863">
        <v>2023</v>
      </c>
      <c r="C139" s="3891">
        <v>2</v>
      </c>
      <c r="D139" s="3891">
        <v>2</v>
      </c>
      <c r="E139" s="3891" t="s">
        <v>3502</v>
      </c>
      <c r="F139" s="3891" t="s">
        <v>3444</v>
      </c>
      <c r="G139" s="3892" t="s">
        <v>4087</v>
      </c>
      <c r="H139" s="3892" t="s">
        <v>4088</v>
      </c>
      <c r="I139" s="3892" t="s">
        <v>3617</v>
      </c>
      <c r="J139" s="3892" t="s">
        <v>3640</v>
      </c>
      <c r="K139" s="3892" t="s">
        <v>4089</v>
      </c>
      <c r="L139" s="3893">
        <v>11.02</v>
      </c>
      <c r="M139" s="3893">
        <v>11.02</v>
      </c>
      <c r="N139" s="3893">
        <v>13.34</v>
      </c>
      <c r="O139" s="3856" t="s">
        <v>4090</v>
      </c>
      <c r="P139" s="3894" t="s">
        <v>4091</v>
      </c>
      <c r="Q139" s="3895" t="s">
        <v>3991</v>
      </c>
    </row>
    <row r="140" spans="1:19" s="3896" customFormat="1" ht="153" hidden="1" customHeight="1">
      <c r="A140" s="4223">
        <v>491</v>
      </c>
      <c r="B140" s="4225">
        <v>2023</v>
      </c>
      <c r="C140" s="4226">
        <v>2</v>
      </c>
      <c r="D140" s="4226">
        <v>3</v>
      </c>
      <c r="E140" s="4227" t="s">
        <v>3502</v>
      </c>
      <c r="F140" s="4215" t="s">
        <v>3444</v>
      </c>
      <c r="G140" s="4215" t="s">
        <v>4092</v>
      </c>
      <c r="H140" s="4215" t="s">
        <v>4054</v>
      </c>
      <c r="I140" s="4215" t="s">
        <v>3617</v>
      </c>
      <c r="J140" s="4215" t="s">
        <v>4093</v>
      </c>
      <c r="K140" s="4215" t="s">
        <v>4094</v>
      </c>
      <c r="L140" s="4217">
        <v>6.18</v>
      </c>
      <c r="M140" s="4217">
        <v>6.18</v>
      </c>
      <c r="N140" s="4217">
        <v>12.808</v>
      </c>
      <c r="O140" s="4217" t="s">
        <v>4095</v>
      </c>
      <c r="P140" s="4219" t="s">
        <v>4096</v>
      </c>
      <c r="Q140" s="4222" t="s">
        <v>4097</v>
      </c>
    </row>
    <row r="141" spans="1:19" s="3774" customFormat="1" hidden="1">
      <c r="A141" s="4224"/>
      <c r="B141" s="4225"/>
      <c r="C141" s="4226"/>
      <c r="D141" s="4226"/>
      <c r="E141" s="4228"/>
      <c r="F141" s="4216"/>
      <c r="G141" s="4216"/>
      <c r="H141" s="4216"/>
      <c r="I141" s="4216"/>
      <c r="J141" s="4216"/>
      <c r="K141" s="4216"/>
      <c r="L141" s="4218"/>
      <c r="M141" s="4218"/>
      <c r="N141" s="4218"/>
      <c r="O141" s="4218"/>
      <c r="P141" s="4219"/>
      <c r="Q141" s="4222"/>
    </row>
  </sheetData>
  <autoFilter ref="A1:U141">
    <filterColumn colId="8">
      <filters>
        <filter val="分中心收储"/>
        <filter val="收储"/>
      </filters>
    </filterColumn>
    <filterColumn colId="11" showButton="0"/>
  </autoFilter>
  <mergeCells count="33">
    <mergeCell ref="K1:K2"/>
    <mergeCell ref="L1:M1"/>
    <mergeCell ref="A1:A2"/>
    <mergeCell ref="B1:B2"/>
    <mergeCell ref="C1:C2"/>
    <mergeCell ref="D1:D2"/>
    <mergeCell ref="E1:E2"/>
    <mergeCell ref="F1:F2"/>
    <mergeCell ref="F140:F141"/>
    <mergeCell ref="G1:G2"/>
    <mergeCell ref="H1:H2"/>
    <mergeCell ref="I1:I2"/>
    <mergeCell ref="J1:J2"/>
    <mergeCell ref="G140:G141"/>
    <mergeCell ref="H140:H141"/>
    <mergeCell ref="I140:I141"/>
    <mergeCell ref="J140:J141"/>
    <mergeCell ref="A140:A141"/>
    <mergeCell ref="B140:B141"/>
    <mergeCell ref="C140:C141"/>
    <mergeCell ref="D140:D141"/>
    <mergeCell ref="E140:E141"/>
    <mergeCell ref="N1:N2"/>
    <mergeCell ref="O1:O2"/>
    <mergeCell ref="Q1:Q2"/>
    <mergeCell ref="R1:R2"/>
    <mergeCell ref="Q140:Q141"/>
    <mergeCell ref="K140:K141"/>
    <mergeCell ref="M140:M141"/>
    <mergeCell ref="N140:N141"/>
    <mergeCell ref="O140:O141"/>
    <mergeCell ref="P140:P141"/>
    <mergeCell ref="L140:L141"/>
  </mergeCells>
  <phoneticPr fontId="226" type="noConversion"/>
  <dataValidations count="1">
    <dataValidation type="list" allowBlank="1" showInputMessage="1" showErrorMessage="1" sqref="F21:F22 F24:F26 F28 F31 F3:F19">
      <formula1>"公开出让,协议出让,划拨"</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E19" sqref="E19"/>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4.4">
      <c r="A4" s="482" t="s">
        <v>737</v>
      </c>
      <c r="B4" s="483"/>
      <c r="C4" s="4097" t="s">
        <v>738</v>
      </c>
      <c r="D4" s="4098"/>
      <c r="E4" s="4097" t="s">
        <v>739</v>
      </c>
      <c r="F4" s="4098"/>
      <c r="G4" s="4097" t="s">
        <v>740</v>
      </c>
      <c r="H4" s="4098"/>
      <c r="I4" s="4097" t="s">
        <v>741</v>
      </c>
      <c r="J4" s="4098"/>
      <c r="K4" s="484" t="s">
        <v>742</v>
      </c>
      <c r="L4" s="1856"/>
      <c r="M4" s="1857"/>
      <c r="N4" s="1857"/>
      <c r="O4" s="1857"/>
      <c r="P4" s="4099" t="s">
        <v>743</v>
      </c>
      <c r="Q4" s="4100"/>
      <c r="R4" s="4083" t="s">
        <v>739</v>
      </c>
      <c r="S4" s="4084"/>
      <c r="T4" s="4083" t="s">
        <v>740</v>
      </c>
      <c r="U4" s="4084"/>
      <c r="V4" s="4105" t="s">
        <v>741</v>
      </c>
      <c r="W4" s="4105"/>
      <c r="X4" s="1380"/>
      <c r="Y4" s="4083" t="s">
        <v>743</v>
      </c>
      <c r="Z4" s="4084"/>
      <c r="AA4" s="4078" t="s">
        <v>739</v>
      </c>
      <c r="AB4" s="4079" t="s">
        <v>740</v>
      </c>
      <c r="AC4" s="4078" t="s">
        <v>741</v>
      </c>
    </row>
    <row r="5" spans="1:29">
      <c r="A5" s="485"/>
      <c r="B5" s="486"/>
      <c r="C5" s="4108" t="s">
        <v>2190</v>
      </c>
      <c r="D5" s="4109"/>
      <c r="E5" s="4108" t="s">
        <v>2191</v>
      </c>
      <c r="F5" s="4109"/>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10" t="s">
        <v>2194</v>
      </c>
      <c r="F6" s="4111"/>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SUMIF(48:48,YEAR(E7)&amp;"-"&amp;MONTH(E7),49:49)</f>
        <v>0</v>
      </c>
      <c r="G7" s="493"/>
      <c r="H7" s="490">
        <f>SUMIF(48:48,YEAR(G7)&amp;"-"&amp;MONTH(G7),49:49)</f>
        <v>0</v>
      </c>
      <c r="I7" s="493"/>
      <c r="J7" s="490">
        <f>SUMIF(48:48,YEAR(I7)&amp;"-"&amp;MONTH(I7),49:49)</f>
        <v>0</v>
      </c>
      <c r="K7" s="494"/>
      <c r="L7" s="1858"/>
      <c r="M7" s="1859"/>
      <c r="N7" s="1859"/>
      <c r="O7" s="1859"/>
      <c r="P7" s="4081" t="s">
        <v>479</v>
      </c>
      <c r="Q7" s="4090"/>
      <c r="R7" s="1381" t="s">
        <v>5</v>
      </c>
      <c r="S7" s="1382">
        <f t="shared" ref="S7:S14" si="0">F7</f>
        <v>0</v>
      </c>
      <c r="T7" s="1381" t="s">
        <v>5</v>
      </c>
      <c r="U7" s="1382">
        <f t="shared" ref="U7:U14" si="1">H7</f>
        <v>0</v>
      </c>
      <c r="V7" s="1381" t="s">
        <v>5</v>
      </c>
      <c r="W7" s="1382">
        <f t="shared" ref="W7:W14"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36" si="3">D8/F8</f>
        <v>#DIV/0!</v>
      </c>
      <c r="AB8" s="1384" t="e">
        <f t="shared" ref="AB8:AB36" si="4">D8/H8</f>
        <v>#DIV/0!</v>
      </c>
      <c r="AC8" s="1384" t="e">
        <f t="shared" ref="AC8:AC36" si="5">D8/J8</f>
        <v>#DIV/0!</v>
      </c>
    </row>
    <row r="9" spans="1:29" s="1118"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4089" t="s">
        <v>484</v>
      </c>
      <c r="Q9" s="1050" t="str">
        <f t="shared" ref="Q9:Q14" si="6">B9</f>
        <v>用途</v>
      </c>
      <c r="R9" s="1381" t="s">
        <v>5</v>
      </c>
      <c r="S9" s="1382">
        <f t="shared" si="0"/>
        <v>100</v>
      </c>
      <c r="T9" s="1381" t="s">
        <v>5</v>
      </c>
      <c r="U9" s="1382">
        <f t="shared" si="1"/>
        <v>100</v>
      </c>
      <c r="V9" s="1381" t="s">
        <v>5</v>
      </c>
      <c r="W9" s="1382">
        <f t="shared" si="2"/>
        <v>100</v>
      </c>
      <c r="X9" s="1383"/>
      <c r="Y9" s="4035" t="s">
        <v>485</v>
      </c>
      <c r="Z9" s="1049" t="str">
        <f t="shared" ref="Z9:Z14" si="7">Q9</f>
        <v>用途</v>
      </c>
      <c r="AA9" s="1384">
        <f t="shared" si="3"/>
        <v>1</v>
      </c>
      <c r="AB9" s="1384">
        <f t="shared" si="4"/>
        <v>1</v>
      </c>
      <c r="AC9" s="1384">
        <f t="shared" si="5"/>
        <v>1</v>
      </c>
    </row>
    <row r="10" spans="1:29" s="1199" customFormat="1" ht="28.8">
      <c r="A10" s="2394"/>
      <c r="B10" s="2399" t="s">
        <v>2039</v>
      </c>
      <c r="C10" s="3656"/>
      <c r="D10" s="246">
        <v>100</v>
      </c>
      <c r="E10" s="3656"/>
      <c r="F10" s="246">
        <f>SUMIF(55:55,E10,56:56)-SUMIF(55:55,C10,56:56)+100</f>
        <v>100</v>
      </c>
      <c r="G10" s="3657"/>
      <c r="H10" s="246">
        <f>SUMIF(55:55,G10,56:56)-SUMIF(55:55,C10,56:56)+100</f>
        <v>100</v>
      </c>
      <c r="I10" s="3656"/>
      <c r="J10" s="246">
        <f>SUMIF(55:55,I10,56:56)-SUMIF(55:55,C10,56:56)+100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4089"/>
      <c r="Q11" s="1050">
        <f t="shared" si="6"/>
        <v>111</v>
      </c>
      <c r="R11" s="1381" t="s">
        <v>5</v>
      </c>
      <c r="S11" s="1382">
        <f t="shared" si="0"/>
        <v>100</v>
      </c>
      <c r="T11" s="1381" t="s">
        <v>5</v>
      </c>
      <c r="U11" s="1382">
        <f t="shared" si="1"/>
        <v>100</v>
      </c>
      <c r="V11" s="1381" t="s">
        <v>5</v>
      </c>
      <c r="W11" s="1382">
        <f t="shared" si="2"/>
        <v>100</v>
      </c>
      <c r="X11" s="1383"/>
      <c r="Y11" s="4035"/>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96.6">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4091" t="s">
        <v>489</v>
      </c>
      <c r="Q14" s="1385" t="str">
        <f t="shared" si="6"/>
        <v>交通便捷度</v>
      </c>
      <c r="R14" s="1386" t="s">
        <v>5</v>
      </c>
      <c r="S14" s="1387">
        <f t="shared" si="0"/>
        <v>100</v>
      </c>
      <c r="T14" s="1386" t="s">
        <v>5</v>
      </c>
      <c r="U14" s="1387">
        <f t="shared" si="1"/>
        <v>100</v>
      </c>
      <c r="V14" s="1386" t="s">
        <v>5</v>
      </c>
      <c r="W14" s="1387">
        <f t="shared" si="2"/>
        <v>100</v>
      </c>
      <c r="X14" s="1380"/>
      <c r="Y14" s="4091"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4092"/>
      <c r="Q15" s="1385"/>
      <c r="R15" s="1386"/>
      <c r="S15" s="1387"/>
      <c r="T15" s="1386"/>
      <c r="U15" s="1387"/>
      <c r="V15" s="1386"/>
      <c r="W15" s="1387"/>
      <c r="X15" s="1380"/>
      <c r="Y15" s="4092"/>
      <c r="Z15" s="1388"/>
      <c r="AA15" s="1389">
        <v>1</v>
      </c>
      <c r="AB15" s="1389">
        <v>1</v>
      </c>
      <c r="AC15" s="1389">
        <v>1</v>
      </c>
    </row>
    <row r="16" spans="1:29" ht="41.4">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4092"/>
      <c r="Q16" s="1385" t="str">
        <f>B16</f>
        <v>公共配套设施</v>
      </c>
      <c r="R16" s="1386" t="s">
        <v>5</v>
      </c>
      <c r="S16" s="1387">
        <f>F16</f>
        <v>100</v>
      </c>
      <c r="T16" s="1386" t="s">
        <v>5</v>
      </c>
      <c r="U16" s="1387">
        <f>H16</f>
        <v>100</v>
      </c>
      <c r="V16" s="1386" t="s">
        <v>5</v>
      </c>
      <c r="W16" s="1387">
        <f>J16</f>
        <v>100</v>
      </c>
      <c r="X16" s="1380"/>
      <c r="Y16" s="4092"/>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4092"/>
      <c r="Q17" s="1385"/>
      <c r="R17" s="1386"/>
      <c r="S17" s="1387"/>
      <c r="T17" s="1386"/>
      <c r="U17" s="1387"/>
      <c r="V17" s="1386"/>
      <c r="W17" s="1387"/>
      <c r="X17" s="1380"/>
      <c r="Y17" s="4092"/>
      <c r="Z17" s="1388"/>
      <c r="AA17" s="1389">
        <v>1</v>
      </c>
      <c r="AB17" s="1389">
        <v>1</v>
      </c>
      <c r="AC17" s="1389">
        <v>1</v>
      </c>
    </row>
    <row r="18" spans="1:29" ht="41.4">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4092"/>
      <c r="Q18" s="2192" t="str">
        <f>B18</f>
        <v>基础设施水平</v>
      </c>
      <c r="R18" s="1386" t="s">
        <v>5</v>
      </c>
      <c r="S18" s="1387">
        <f>F18</f>
        <v>100</v>
      </c>
      <c r="T18" s="1386" t="s">
        <v>5</v>
      </c>
      <c r="U18" s="1387">
        <f>H18</f>
        <v>100</v>
      </c>
      <c r="V18" s="1386" t="s">
        <v>5</v>
      </c>
      <c r="W18" s="1387">
        <f>J18</f>
        <v>100</v>
      </c>
      <c r="X18" s="2194"/>
      <c r="Y18" s="4092"/>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5"/>
      <c r="M19" s="1857"/>
      <c r="N19" s="1857"/>
      <c r="O19" s="1864"/>
      <c r="P19" s="4092"/>
      <c r="Q19" s="2192"/>
      <c r="R19" s="1386"/>
      <c r="S19" s="1387"/>
      <c r="T19" s="1386"/>
      <c r="U19" s="1387"/>
      <c r="V19" s="1386"/>
      <c r="W19" s="1387"/>
      <c r="X19" s="2194"/>
      <c r="Y19" s="4092"/>
      <c r="Z19" s="2193"/>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4092"/>
      <c r="Q20" s="1385" t="str">
        <f>B20</f>
        <v>自然及人文环境</v>
      </c>
      <c r="R20" s="1386" t="s">
        <v>5</v>
      </c>
      <c r="S20" s="1387">
        <f>F20</f>
        <v>100</v>
      </c>
      <c r="T20" s="1386" t="s">
        <v>5</v>
      </c>
      <c r="U20" s="1387">
        <f>H20</f>
        <v>100</v>
      </c>
      <c r="V20" s="1386" t="s">
        <v>5</v>
      </c>
      <c r="W20" s="1387">
        <f>J20</f>
        <v>100</v>
      </c>
      <c r="X20" s="1380"/>
      <c r="Y20" s="4092"/>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4092"/>
      <c r="Q21" s="1385"/>
      <c r="R21" s="1386"/>
      <c r="S21" s="1387"/>
      <c r="T21" s="1386"/>
      <c r="U21" s="1387"/>
      <c r="V21" s="1386"/>
      <c r="W21" s="1387"/>
      <c r="X21" s="1380"/>
      <c r="Y21" s="4092"/>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4092"/>
      <c r="Q22" s="1385" t="str">
        <f>B22</f>
        <v>楼层</v>
      </c>
      <c r="R22" s="1386" t="s">
        <v>5</v>
      </c>
      <c r="S22" s="1387">
        <f>F22</f>
        <v>100</v>
      </c>
      <c r="T22" s="1386" t="s">
        <v>5</v>
      </c>
      <c r="U22" s="1387">
        <f>H22</f>
        <v>100</v>
      </c>
      <c r="V22" s="1386" t="s">
        <v>5</v>
      </c>
      <c r="W22" s="1387">
        <f>J22</f>
        <v>100</v>
      </c>
      <c r="X22" s="1380"/>
      <c r="Y22" s="4092"/>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4092"/>
      <c r="Q23" s="1385">
        <f>B23</f>
        <v>111</v>
      </c>
      <c r="R23" s="1386" t="s">
        <v>5</v>
      </c>
      <c r="S23" s="1387">
        <f>F23</f>
        <v>100</v>
      </c>
      <c r="T23" s="1386" t="s">
        <v>5</v>
      </c>
      <c r="U23" s="1387">
        <f>H23</f>
        <v>100</v>
      </c>
      <c r="V23" s="1386" t="s">
        <v>5</v>
      </c>
      <c r="W23" s="1387">
        <f>J23</f>
        <v>100</v>
      </c>
      <c r="X23" s="1380"/>
      <c r="Y23" s="4092"/>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4092"/>
      <c r="Q24" s="1385">
        <f t="shared" ref="Q24:Q36" si="8">B24</f>
        <v>111</v>
      </c>
      <c r="R24" s="1386" t="s">
        <v>5</v>
      </c>
      <c r="S24" s="1387">
        <f>F24</f>
        <v>100</v>
      </c>
      <c r="T24" s="1386" t="s">
        <v>5</v>
      </c>
      <c r="U24" s="1387">
        <f>H24</f>
        <v>100</v>
      </c>
      <c r="V24" s="1386" t="s">
        <v>5</v>
      </c>
      <c r="W24" s="1387">
        <f>J24</f>
        <v>100</v>
      </c>
      <c r="X24" s="1380"/>
      <c r="Y24" s="4092"/>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4092"/>
      <c r="Q25" s="1050">
        <f t="shared" si="8"/>
        <v>111</v>
      </c>
      <c r="R25" s="1381" t="s">
        <v>5</v>
      </c>
      <c r="S25" s="1382">
        <f>F25</f>
        <v>100</v>
      </c>
      <c r="T25" s="1381" t="s">
        <v>5</v>
      </c>
      <c r="U25" s="1382">
        <f>H25</f>
        <v>100</v>
      </c>
      <c r="V25" s="1381" t="s">
        <v>5</v>
      </c>
      <c r="W25" s="1382">
        <f>J25</f>
        <v>100</v>
      </c>
      <c r="X25" s="1383"/>
      <c r="Y25" s="4092"/>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4093"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4094"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4094"/>
      <c r="Q27" s="1414" t="str">
        <f t="shared" si="8"/>
        <v>项目停车位配比</v>
      </c>
      <c r="R27" s="1390" t="s">
        <v>5</v>
      </c>
      <c r="S27" s="1391">
        <f t="shared" si="9"/>
        <v>100</v>
      </c>
      <c r="T27" s="1390" t="s">
        <v>5</v>
      </c>
      <c r="U27" s="1391">
        <f t="shared" si="10"/>
        <v>100</v>
      </c>
      <c r="V27" s="1390" t="s">
        <v>5</v>
      </c>
      <c r="W27" s="1391">
        <f t="shared" si="11"/>
        <v>100</v>
      </c>
      <c r="X27" s="1392"/>
      <c r="Y27" s="4094"/>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4094"/>
      <c r="Q28" s="1385" t="str">
        <f t="shared" si="8"/>
        <v>公共部分装修</v>
      </c>
      <c r="R28" s="1386" t="s">
        <v>5</v>
      </c>
      <c r="S28" s="1387">
        <f t="shared" si="9"/>
        <v>100</v>
      </c>
      <c r="T28" s="1386" t="s">
        <v>5</v>
      </c>
      <c r="U28" s="1387">
        <f t="shared" si="10"/>
        <v>100</v>
      </c>
      <c r="V28" s="1386" t="s">
        <v>5</v>
      </c>
      <c r="W28" s="1387">
        <f t="shared" si="11"/>
        <v>100</v>
      </c>
      <c r="X28" s="1380"/>
      <c r="Y28" s="4094"/>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4094"/>
      <c r="Q29" s="1385" t="str">
        <f t="shared" si="8"/>
        <v>成新率</v>
      </c>
      <c r="R29" s="1386" t="s">
        <v>5</v>
      </c>
      <c r="S29" s="1387" t="e">
        <f t="shared" si="9"/>
        <v>#N/A</v>
      </c>
      <c r="T29" s="1386" t="s">
        <v>5</v>
      </c>
      <c r="U29" s="1387" t="e">
        <f t="shared" si="10"/>
        <v>#N/A</v>
      </c>
      <c r="V29" s="1386" t="s">
        <v>5</v>
      </c>
      <c r="W29" s="1387" t="e">
        <f t="shared" si="11"/>
        <v>#N/A</v>
      </c>
      <c r="X29" s="1380"/>
      <c r="Y29" s="4094"/>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4094"/>
      <c r="Q30" s="1385" t="str">
        <f t="shared" si="8"/>
        <v>物业等级</v>
      </c>
      <c r="R30" s="1386" t="s">
        <v>5</v>
      </c>
      <c r="S30" s="1387">
        <f t="shared" si="9"/>
        <v>100</v>
      </c>
      <c r="T30" s="1386" t="s">
        <v>5</v>
      </c>
      <c r="U30" s="1387">
        <f t="shared" si="10"/>
        <v>100</v>
      </c>
      <c r="V30" s="1386" t="s">
        <v>5</v>
      </c>
      <c r="W30" s="1387">
        <f t="shared" si="11"/>
        <v>100</v>
      </c>
      <c r="X30" s="1380"/>
      <c r="Y30" s="4094"/>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4094"/>
      <c r="Q31" s="1050" t="str">
        <f t="shared" si="8"/>
        <v>停车位面积</v>
      </c>
      <c r="R31" s="1381" t="s">
        <v>5</v>
      </c>
      <c r="S31" s="1382" t="e">
        <f t="shared" si="9"/>
        <v>#N/A</v>
      </c>
      <c r="T31" s="1381" t="s">
        <v>5</v>
      </c>
      <c r="U31" s="1382" t="e">
        <f t="shared" si="10"/>
        <v>#N/A</v>
      </c>
      <c r="V31" s="1381" t="s">
        <v>5</v>
      </c>
      <c r="W31" s="1382" t="e">
        <f t="shared" si="11"/>
        <v>#N/A</v>
      </c>
      <c r="X31" s="1383"/>
      <c r="Y31" s="4094"/>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4094" t="s">
        <v>499</v>
      </c>
      <c r="Q32" s="1385" t="str">
        <f t="shared" si="8"/>
        <v>车位类型</v>
      </c>
      <c r="R32" s="1386" t="s">
        <v>5</v>
      </c>
      <c r="S32" s="1387">
        <f t="shared" si="9"/>
        <v>100</v>
      </c>
      <c r="T32" s="1386" t="s">
        <v>5</v>
      </c>
      <c r="U32" s="1387">
        <f t="shared" si="10"/>
        <v>100</v>
      </c>
      <c r="V32" s="1386" t="s">
        <v>5</v>
      </c>
      <c r="W32" s="1387">
        <f t="shared" si="11"/>
        <v>100</v>
      </c>
      <c r="X32" s="1380"/>
      <c r="Y32" s="4094"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4094"/>
      <c r="Q33" s="1385" t="str">
        <f t="shared" si="8"/>
        <v>是否直接入户</v>
      </c>
      <c r="R33" s="1386" t="s">
        <v>5</v>
      </c>
      <c r="S33" s="1387">
        <f t="shared" si="9"/>
        <v>100</v>
      </c>
      <c r="T33" s="1386" t="s">
        <v>5</v>
      </c>
      <c r="U33" s="1387">
        <f t="shared" si="10"/>
        <v>100</v>
      </c>
      <c r="V33" s="1386" t="s">
        <v>5</v>
      </c>
      <c r="W33" s="1387">
        <f t="shared" si="11"/>
        <v>100</v>
      </c>
      <c r="X33" s="1380"/>
      <c r="Y33" s="4094"/>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4094"/>
      <c r="Q34" s="1385">
        <f t="shared" si="8"/>
        <v>111</v>
      </c>
      <c r="R34" s="1386" t="s">
        <v>5</v>
      </c>
      <c r="S34" s="1387">
        <f t="shared" si="9"/>
        <v>100</v>
      </c>
      <c r="T34" s="1386" t="s">
        <v>5</v>
      </c>
      <c r="U34" s="1387">
        <f t="shared" si="10"/>
        <v>100</v>
      </c>
      <c r="V34" s="1386" t="s">
        <v>5</v>
      </c>
      <c r="W34" s="1387">
        <f t="shared" si="11"/>
        <v>100</v>
      </c>
      <c r="X34" s="1380"/>
      <c r="Y34" s="4094"/>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4094"/>
      <c r="Q35" s="1414">
        <f t="shared" si="8"/>
        <v>111</v>
      </c>
      <c r="R35" s="1390" t="s">
        <v>5</v>
      </c>
      <c r="S35" s="1391">
        <f t="shared" si="9"/>
        <v>100</v>
      </c>
      <c r="T35" s="1390" t="s">
        <v>5</v>
      </c>
      <c r="U35" s="1391">
        <f t="shared" si="10"/>
        <v>100</v>
      </c>
      <c r="V35" s="1390" t="s">
        <v>5</v>
      </c>
      <c r="W35" s="1391">
        <f t="shared" si="11"/>
        <v>100</v>
      </c>
      <c r="X35" s="1392"/>
      <c r="Y35" s="4094"/>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4094"/>
      <c r="Q36" s="1385">
        <f t="shared" si="8"/>
        <v>111</v>
      </c>
      <c r="R36" s="1386" t="s">
        <v>5</v>
      </c>
      <c r="S36" s="1387">
        <f t="shared" si="9"/>
        <v>100</v>
      </c>
      <c r="T36" s="1386" t="s">
        <v>5</v>
      </c>
      <c r="U36" s="1387">
        <f t="shared" si="10"/>
        <v>100</v>
      </c>
      <c r="V36" s="1386" t="s">
        <v>5</v>
      </c>
      <c r="W36" s="1387">
        <f t="shared" si="11"/>
        <v>100</v>
      </c>
      <c r="X36" s="1380"/>
      <c r="Y36" s="4094"/>
      <c r="Z36" s="1388">
        <f t="shared" si="12"/>
        <v>111</v>
      </c>
      <c r="AA36" s="1389">
        <f t="shared" si="3"/>
        <v>1</v>
      </c>
      <c r="AB36" s="1389">
        <f t="shared" si="4"/>
        <v>1</v>
      </c>
      <c r="AC36" s="1389">
        <f t="shared" si="5"/>
        <v>1</v>
      </c>
    </row>
    <row r="37" spans="1:29" ht="14.4">
      <c r="A37" s="1632" t="s">
        <v>1595</v>
      </c>
      <c r="B37" s="1633" t="s">
        <v>1596</v>
      </c>
      <c r="C37" s="2233" t="s">
        <v>0</v>
      </c>
      <c r="D37" s="2234"/>
      <c r="E37" s="2235"/>
      <c r="F37" s="2236"/>
      <c r="G37" s="2237"/>
      <c r="H37" s="2238"/>
      <c r="I37" s="2235"/>
      <c r="J37" s="2238"/>
      <c r="K37" s="1419"/>
      <c r="L37" s="1867"/>
      <c r="M37" s="1868"/>
      <c r="N37" s="1857"/>
      <c r="O37" s="1868"/>
      <c r="P37" s="4089" t="str">
        <f>A37</f>
        <v>成交单价</v>
      </c>
      <c r="Q37" s="4089"/>
      <c r="R37" s="4199">
        <f>E37</f>
        <v>0</v>
      </c>
      <c r="S37" s="4199"/>
      <c r="T37" s="4199">
        <f>G37</f>
        <v>0</v>
      </c>
      <c r="U37" s="4199"/>
      <c r="V37" s="4199">
        <f>I37</f>
        <v>0</v>
      </c>
      <c r="W37" s="4199"/>
      <c r="X37" s="1375"/>
      <c r="Y37" s="1394"/>
      <c r="Z37" s="1375"/>
      <c r="AA37" s="1375"/>
      <c r="AB37" s="1375"/>
      <c r="AC37" s="1375"/>
    </row>
    <row r="38" spans="1:29" ht="15" thickBot="1">
      <c r="A38" s="585" t="s">
        <v>2042</v>
      </c>
      <c r="B38" s="851"/>
      <c r="C38" s="2239" t="e">
        <f>R39</f>
        <v>#DIV/0!</v>
      </c>
      <c r="D38" s="2756" t="s">
        <v>2259</v>
      </c>
      <c r="E38" s="2240" t="e">
        <f>R38</f>
        <v>#DIV/0!</v>
      </c>
      <c r="F38" s="2757"/>
      <c r="G38" s="2239" t="e">
        <f>T38</f>
        <v>#DIV/0!</v>
      </c>
      <c r="H38" s="2757"/>
      <c r="I38" s="2240" t="e">
        <f>V38</f>
        <v>#DIV/0!</v>
      </c>
      <c r="J38" s="2757"/>
      <c r="K38" s="2765">
        <f>F38+H38+J38</f>
        <v>0</v>
      </c>
      <c r="L38" s="1867"/>
      <c r="M38" s="1868"/>
      <c r="N38" s="1868"/>
      <c r="O38" s="1868"/>
      <c r="P38" s="4089" t="str">
        <f>A38</f>
        <v>比较价格（元/平方米）</v>
      </c>
      <c r="Q38" s="4089"/>
      <c r="R38" s="4199" t="e">
        <f>IF(F1="售价",ROUND(PRODUCT(R37,AA7:AA36),0),ROUND(PRODUCT(R37,AA7:AA36),1))</f>
        <v>#DIV/0!</v>
      </c>
      <c r="S38" s="4199"/>
      <c r="T38" s="4199" t="e">
        <f>IF(F1="售价",ROUND(PRODUCT(T37,AB7:AB36),0),ROUND(PRODUCT(T37,AB7:AB36),1))</f>
        <v>#DIV/0!</v>
      </c>
      <c r="U38" s="4199"/>
      <c r="V38" s="4199" t="e">
        <f>IF(F1="售价",ROUND(PRODUCT(V37,AC7:AC36),0),ROUND(PRODUCT(V37,AC7:AC36),1))</f>
        <v>#DIV/0!</v>
      </c>
      <c r="W38" s="4199"/>
      <c r="X38" s="1375"/>
      <c r="Y38" s="1375"/>
      <c r="Z38" s="1375"/>
      <c r="AA38" s="1375"/>
      <c r="AB38" s="1375"/>
      <c r="AC38" s="1375"/>
    </row>
    <row r="39" spans="1:29" ht="15" thickBot="1">
      <c r="A39" s="589" t="s">
        <v>2196</v>
      </c>
      <c r="B39" s="590"/>
      <c r="C39" s="2241" t="e">
        <f>R39</f>
        <v>#DIV/0!</v>
      </c>
      <c r="D39" s="2241"/>
      <c r="E39" s="2241"/>
      <c r="F39" s="2241"/>
      <c r="G39" s="2241"/>
      <c r="H39" s="2241"/>
      <c r="I39" s="2241"/>
      <c r="J39" s="2241"/>
      <c r="K39" s="1420"/>
      <c r="L39" s="1867"/>
      <c r="M39" s="1868"/>
      <c r="N39" s="1868"/>
      <c r="O39" s="1868"/>
      <c r="P39" s="4095" t="str">
        <f>A39</f>
        <v>估价对象XX用房的比较价格（楼面单价，元/平方米）</v>
      </c>
      <c r="Q39" s="4096"/>
      <c r="R39" s="4198" t="e">
        <f>IF(F1="售价",ROUND(IF(D38="简单平均",AVERAGE(R38:W38),R38*F38+T38*H38+V38*J38),0),ROUND(IF(D38="简单平均",AVERAGE(R38:V38),R38*F38+T38*H38+V38*J38),1))</f>
        <v>#DIV/0!</v>
      </c>
      <c r="S39" s="4198"/>
      <c r="T39" s="4198"/>
      <c r="U39" s="4198"/>
      <c r="V39" s="4198"/>
      <c r="W39" s="4198"/>
      <c r="X39" s="1375"/>
      <c r="Y39" s="1375"/>
      <c r="Z39" s="1375"/>
      <c r="AA39" s="1375"/>
      <c r="AB39" s="1375"/>
      <c r="AC39" s="1375"/>
    </row>
    <row r="40" spans="1:29">
      <c r="A40" s="2953"/>
      <c r="B40" s="2953"/>
      <c r="C40" s="2953"/>
      <c r="D40" s="2953"/>
      <c r="E40" s="2953"/>
      <c r="F40" s="2953"/>
      <c r="G40" s="2955"/>
      <c r="H40" s="2953"/>
      <c r="I40" s="2953"/>
      <c r="J40" s="2953"/>
      <c r="K40" s="2956"/>
      <c r="L40" s="1872"/>
      <c r="M40" s="1868"/>
      <c r="N40" s="1868"/>
      <c r="O40" s="1868"/>
      <c r="P40" s="1868"/>
      <c r="Q40" s="1868"/>
      <c r="R40" s="1868"/>
      <c r="S40" s="1868"/>
      <c r="T40" s="1868"/>
      <c r="U40" s="1868"/>
      <c r="V40" s="1868"/>
      <c r="W40" s="1868"/>
      <c r="X40" s="1868"/>
      <c r="Y40" s="1868"/>
      <c r="Z40" s="1868"/>
      <c r="AA40" s="1868"/>
      <c r="AB40" s="1868"/>
      <c r="AC40" s="1868"/>
    </row>
    <row r="41" spans="1:29">
      <c r="A41" s="2953"/>
      <c r="B41" s="2953"/>
      <c r="C41" s="2953"/>
      <c r="D41" s="2953"/>
      <c r="E41" s="2953"/>
      <c r="F41" s="2953"/>
      <c r="G41" s="2953"/>
      <c r="H41" s="2953"/>
      <c r="I41" s="2953"/>
      <c r="J41" s="2953"/>
      <c r="K41" s="2956"/>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3"/>
      <c r="B42" s="2953"/>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6"/>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3"/>
      <c r="B43" s="2953"/>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6"/>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4"/>
      <c r="B44" s="2954"/>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7"/>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1" t="str">
        <f>YEAR(C7)&amp;"-"&amp;MONTH(C7)</f>
        <v>2025-3</v>
      </c>
      <c r="D48" s="2283">
        <f>EDATE(C48,-1)</f>
        <v>45689</v>
      </c>
      <c r="E48" s="2283">
        <f t="shared" ref="E48:O48" si="13">EDATE(D48,-1)</f>
        <v>45658</v>
      </c>
      <c r="F48" s="2283">
        <f t="shared" si="13"/>
        <v>45627</v>
      </c>
      <c r="G48" s="2283">
        <f t="shared" si="13"/>
        <v>45597</v>
      </c>
      <c r="H48" s="2283">
        <f t="shared" si="13"/>
        <v>45566</v>
      </c>
      <c r="I48" s="2283">
        <f t="shared" si="13"/>
        <v>45536</v>
      </c>
      <c r="J48" s="2283">
        <f t="shared" si="13"/>
        <v>45505</v>
      </c>
      <c r="K48" s="2283">
        <f t="shared" si="13"/>
        <v>45474</v>
      </c>
      <c r="L48" s="2283">
        <f t="shared" si="13"/>
        <v>45444</v>
      </c>
      <c r="M48" s="2283">
        <f t="shared" si="13"/>
        <v>45413</v>
      </c>
      <c r="N48" s="2283">
        <f t="shared" si="13"/>
        <v>45383</v>
      </c>
      <c r="O48" s="2283">
        <f t="shared" si="13"/>
        <v>45352</v>
      </c>
      <c r="P48" s="1882"/>
      <c r="Q48" s="1883"/>
      <c r="R48" s="1883"/>
      <c r="S48" s="1883"/>
      <c r="T48" s="1883"/>
      <c r="U48" s="1883"/>
      <c r="V48" s="1883"/>
      <c r="W48" s="1883"/>
      <c r="X48" s="1883"/>
      <c r="Y48" s="1883"/>
      <c r="Z48" s="1883"/>
      <c r="AA48" s="1883"/>
      <c r="AB48" s="1883"/>
      <c r="AC48" s="1883"/>
    </row>
    <row r="49" spans="1:29" s="1118" customFormat="1">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4" t="s">
        <v>1841</v>
      </c>
      <c r="C67" s="2205" t="s">
        <v>1842</v>
      </c>
      <c r="D67" s="2205" t="s">
        <v>1843</v>
      </c>
      <c r="E67" s="2205" t="s">
        <v>1844</v>
      </c>
      <c r="F67" s="2205" t="s">
        <v>1845</v>
      </c>
      <c r="G67" s="2205" t="s">
        <v>1846</v>
      </c>
      <c r="H67" s="642"/>
      <c r="I67" s="642"/>
      <c r="J67" s="642"/>
      <c r="K67" s="642"/>
      <c r="L67" s="642"/>
      <c r="M67" s="2208"/>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E19" sqref="E19"/>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4.4">
      <c r="A4" s="482" t="s">
        <v>737</v>
      </c>
      <c r="B4" s="483"/>
      <c r="C4" s="4097" t="s">
        <v>738</v>
      </c>
      <c r="D4" s="4098"/>
      <c r="E4" s="4119" t="s">
        <v>739</v>
      </c>
      <c r="F4" s="4120"/>
      <c r="G4" s="4097" t="s">
        <v>740</v>
      </c>
      <c r="H4" s="4098"/>
      <c r="I4" s="4097" t="s">
        <v>741</v>
      </c>
      <c r="J4" s="4098"/>
      <c r="K4" s="484" t="s">
        <v>742</v>
      </c>
      <c r="L4" s="1856"/>
      <c r="M4" s="1857"/>
      <c r="N4" s="1857"/>
      <c r="O4" s="1857"/>
      <c r="P4" s="4099" t="s">
        <v>743</v>
      </c>
      <c r="Q4" s="4100"/>
      <c r="R4" s="4083" t="s">
        <v>739</v>
      </c>
      <c r="S4" s="4084"/>
      <c r="T4" s="4083" t="s">
        <v>740</v>
      </c>
      <c r="U4" s="4084"/>
      <c r="V4" s="4105" t="s">
        <v>741</v>
      </c>
      <c r="W4" s="4105"/>
      <c r="X4" s="1380"/>
      <c r="Y4" s="4083" t="s">
        <v>743</v>
      </c>
      <c r="Z4" s="4084"/>
      <c r="AA4" s="4078" t="s">
        <v>739</v>
      </c>
      <c r="AB4" s="4079" t="s">
        <v>740</v>
      </c>
      <c r="AC4" s="4078" t="s">
        <v>741</v>
      </c>
    </row>
    <row r="5" spans="1:29">
      <c r="A5" s="485"/>
      <c r="B5" s="486"/>
      <c r="C5" s="4108" t="s">
        <v>2190</v>
      </c>
      <c r="D5" s="4109"/>
      <c r="E5" s="4121" t="s">
        <v>2191</v>
      </c>
      <c r="F5" s="4122"/>
      <c r="G5" s="4108" t="s">
        <v>2192</v>
      </c>
      <c r="H5" s="4109"/>
      <c r="I5" s="4108" t="s">
        <v>2193</v>
      </c>
      <c r="J5" s="4109"/>
      <c r="K5" s="484"/>
      <c r="L5" s="1856"/>
      <c r="M5" s="1857"/>
      <c r="N5" s="1857"/>
      <c r="O5" s="1857"/>
      <c r="P5" s="4101"/>
      <c r="Q5" s="4102"/>
      <c r="R5" s="4085"/>
      <c r="S5" s="4086"/>
      <c r="T5" s="4085"/>
      <c r="U5" s="4086"/>
      <c r="V5" s="4105"/>
      <c r="W5" s="4105"/>
      <c r="X5" s="1380"/>
      <c r="Y5" s="4085"/>
      <c r="Z5" s="4086"/>
      <c r="AA5" s="4079"/>
      <c r="AB5" s="4079"/>
      <c r="AC5" s="4079"/>
    </row>
    <row r="6" spans="1:29" ht="15" thickBot="1">
      <c r="A6" s="487"/>
      <c r="B6" s="488"/>
      <c r="C6" s="4106" t="s">
        <v>2194</v>
      </c>
      <c r="D6" s="4107"/>
      <c r="E6" s="4123" t="s">
        <v>2194</v>
      </c>
      <c r="F6" s="4124"/>
      <c r="G6" s="4106" t="s">
        <v>2194</v>
      </c>
      <c r="H6" s="4107"/>
      <c r="I6" s="4106" t="s">
        <v>2194</v>
      </c>
      <c r="J6" s="4107"/>
      <c r="K6" s="484" t="s">
        <v>477</v>
      </c>
      <c r="L6" s="1856"/>
      <c r="M6" s="1857"/>
      <c r="N6" s="1857"/>
      <c r="O6" s="1857"/>
      <c r="P6" s="4103"/>
      <c r="Q6" s="4104"/>
      <c r="R6" s="4085"/>
      <c r="S6" s="4086"/>
      <c r="T6" s="4087"/>
      <c r="U6" s="4088"/>
      <c r="V6" s="4105"/>
      <c r="W6" s="4105"/>
      <c r="X6" s="1380"/>
      <c r="Y6" s="4087"/>
      <c r="Z6" s="4088"/>
      <c r="AA6" s="4080"/>
      <c r="AB6" s="4080"/>
      <c r="AC6" s="4080"/>
    </row>
    <row r="7" spans="1:29" s="1118" customFormat="1" ht="15" thickBot="1">
      <c r="A7" s="2391"/>
      <c r="B7" s="2398" t="s">
        <v>478</v>
      </c>
      <c r="C7" s="489">
        <f>'数据-取费表'!B2</f>
        <v>45744</v>
      </c>
      <c r="D7" s="490">
        <v>100</v>
      </c>
      <c r="E7" s="491"/>
      <c r="F7" s="492">
        <f>SUMIF(46:46,YEAR(E7)&amp;"-"&amp;MONTH(E7),47:47)</f>
        <v>0</v>
      </c>
      <c r="G7" s="493"/>
      <c r="H7" s="490">
        <f>SUMIF(46:46,YEAR(G7)&amp;"-"&amp;MONTH(G7),47:47)</f>
        <v>0</v>
      </c>
      <c r="I7" s="493"/>
      <c r="J7" s="490">
        <f>SUMIF(46:46,YEAR(I7)&amp;"-"&amp;MONTH(I7),47:47)</f>
        <v>0</v>
      </c>
      <c r="K7" s="494"/>
      <c r="L7" s="1858"/>
      <c r="M7" s="1859"/>
      <c r="N7" s="1859"/>
      <c r="O7" s="1859"/>
      <c r="P7" s="4081" t="s">
        <v>479</v>
      </c>
      <c r="Q7" s="4090"/>
      <c r="R7" s="1381" t="s">
        <v>5</v>
      </c>
      <c r="S7" s="1382">
        <f t="shared" ref="S7:S14" si="0">F7</f>
        <v>0</v>
      </c>
      <c r="T7" s="1381" t="s">
        <v>5</v>
      </c>
      <c r="U7" s="1382">
        <f t="shared" ref="U7:U14" si="1">H7</f>
        <v>0</v>
      </c>
      <c r="V7" s="1381" t="s">
        <v>5</v>
      </c>
      <c r="W7" s="1382">
        <f t="shared" ref="W7:W14" si="2">J7</f>
        <v>0</v>
      </c>
      <c r="X7" s="1383"/>
      <c r="Y7" s="4081" t="s">
        <v>479</v>
      </c>
      <c r="Z7" s="4082"/>
      <c r="AA7" s="1384" t="e">
        <f>D7/F7</f>
        <v>#DIV/0!</v>
      </c>
      <c r="AB7" s="1384" t="e">
        <f>D7/H7</f>
        <v>#DIV/0!</v>
      </c>
      <c r="AC7" s="1384" t="e">
        <f>D7/J7</f>
        <v>#DIV/0!</v>
      </c>
    </row>
    <row r="8" spans="1:29" s="1118"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4081" t="s">
        <v>482</v>
      </c>
      <c r="Q8" s="4082"/>
      <c r="R8" s="1381" t="s">
        <v>5</v>
      </c>
      <c r="S8" s="1382">
        <f t="shared" si="0"/>
        <v>0</v>
      </c>
      <c r="T8" s="1381" t="s">
        <v>5</v>
      </c>
      <c r="U8" s="1382">
        <f t="shared" si="1"/>
        <v>0</v>
      </c>
      <c r="V8" s="1381" t="s">
        <v>5</v>
      </c>
      <c r="W8" s="1382">
        <f t="shared" si="2"/>
        <v>0</v>
      </c>
      <c r="X8" s="1383"/>
      <c r="Y8" s="4081" t="s">
        <v>482</v>
      </c>
      <c r="Z8" s="4082"/>
      <c r="AA8" s="1384" t="e">
        <f t="shared" ref="AA8:AA34" si="3">D8/F8</f>
        <v>#DIV/0!</v>
      </c>
      <c r="AB8" s="1384" t="e">
        <f t="shared" ref="AB8:AB34" si="4">D8/H8</f>
        <v>#DIV/0!</v>
      </c>
      <c r="AC8" s="1384" t="e">
        <f t="shared" ref="AC8:AC34" si="5">D8/J8</f>
        <v>#DIV/0!</v>
      </c>
    </row>
    <row r="9" spans="1:29" s="1118"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4089" t="s">
        <v>484</v>
      </c>
      <c r="Q9" s="1050" t="str">
        <f t="shared" ref="Q9:Q14" si="6">B9</f>
        <v>用途</v>
      </c>
      <c r="R9" s="1381" t="s">
        <v>5</v>
      </c>
      <c r="S9" s="1382">
        <f t="shared" si="0"/>
        <v>100</v>
      </c>
      <c r="T9" s="1381" t="s">
        <v>5</v>
      </c>
      <c r="U9" s="1382">
        <f t="shared" si="1"/>
        <v>100</v>
      </c>
      <c r="V9" s="1381" t="s">
        <v>5</v>
      </c>
      <c r="W9" s="1382">
        <f t="shared" si="2"/>
        <v>100</v>
      </c>
      <c r="X9" s="1383"/>
      <c r="Y9" s="4035" t="s">
        <v>485</v>
      </c>
      <c r="Z9" s="1049" t="str">
        <f t="shared" ref="Z9:Z14" si="7">Q9</f>
        <v>用途</v>
      </c>
      <c r="AA9" s="1384">
        <f t="shared" si="3"/>
        <v>1</v>
      </c>
      <c r="AB9" s="1384">
        <f t="shared" si="4"/>
        <v>1</v>
      </c>
      <c r="AC9" s="1384">
        <f t="shared" si="5"/>
        <v>1</v>
      </c>
    </row>
    <row r="10" spans="1:29" s="1199" customFormat="1" ht="28.8">
      <c r="A10" s="2394"/>
      <c r="B10" s="2399" t="s">
        <v>2039</v>
      </c>
      <c r="C10" s="3656"/>
      <c r="D10" s="246">
        <v>100</v>
      </c>
      <c r="E10" s="3656"/>
      <c r="F10" s="246">
        <f>SUMIF(53:53,E10,54:54)-SUMIF(53:53,C10,54:54)+100</f>
        <v>100</v>
      </c>
      <c r="G10" s="3657"/>
      <c r="H10" s="246">
        <f>SUMIF(53:53,G10,54:54)-SUMIF(53:53,C10,54:54)+100</f>
        <v>100</v>
      </c>
      <c r="I10" s="3656"/>
      <c r="J10" s="246">
        <f>SUMIF(53:53,I10,54:54)-SUMIF(53:53,C10,54:54)+100</f>
        <v>100</v>
      </c>
      <c r="K10" s="494"/>
      <c r="L10" s="1861"/>
      <c r="M10" s="1900"/>
      <c r="N10" s="1900"/>
      <c r="O10" s="1862"/>
      <c r="P10" s="4089"/>
      <c r="Q10" s="1050" t="str">
        <f t="shared" si="6"/>
        <v>土地使用年限（年）</v>
      </c>
      <c r="R10" s="1381" t="s">
        <v>5</v>
      </c>
      <c r="S10" s="1382">
        <f t="shared" si="0"/>
        <v>100</v>
      </c>
      <c r="T10" s="1381" t="s">
        <v>5</v>
      </c>
      <c r="U10" s="1382">
        <f t="shared" si="1"/>
        <v>100</v>
      </c>
      <c r="V10" s="1381" t="s">
        <v>5</v>
      </c>
      <c r="W10" s="1382">
        <f t="shared" si="2"/>
        <v>100</v>
      </c>
      <c r="X10" s="1383"/>
      <c r="Y10" s="4035"/>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4089"/>
      <c r="Q11" s="1050">
        <f t="shared" si="6"/>
        <v>111</v>
      </c>
      <c r="R11" s="1381" t="s">
        <v>5</v>
      </c>
      <c r="S11" s="1382">
        <f t="shared" si="0"/>
        <v>100</v>
      </c>
      <c r="T11" s="1381" t="s">
        <v>5</v>
      </c>
      <c r="U11" s="1382">
        <f t="shared" si="1"/>
        <v>100</v>
      </c>
      <c r="V11" s="1381" t="s">
        <v>5</v>
      </c>
      <c r="W11" s="1382">
        <f t="shared" si="2"/>
        <v>100</v>
      </c>
      <c r="X11" s="1383"/>
      <c r="Y11" s="4035"/>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4089"/>
      <c r="Q12" s="1050">
        <f t="shared" si="6"/>
        <v>111</v>
      </c>
      <c r="R12" s="1381" t="s">
        <v>5</v>
      </c>
      <c r="S12" s="1382">
        <f t="shared" si="0"/>
        <v>100</v>
      </c>
      <c r="T12" s="1381" t="s">
        <v>5</v>
      </c>
      <c r="U12" s="1382">
        <f t="shared" si="1"/>
        <v>100</v>
      </c>
      <c r="V12" s="1381" t="s">
        <v>5</v>
      </c>
      <c r="W12" s="1382">
        <f t="shared" si="2"/>
        <v>100</v>
      </c>
      <c r="X12" s="1383"/>
      <c r="Y12" s="4035"/>
      <c r="Z12" s="1049">
        <f t="shared" si="7"/>
        <v>111</v>
      </c>
      <c r="AA12" s="1384">
        <f>D12/F12</f>
        <v>1</v>
      </c>
      <c r="AB12" s="1384">
        <f>D12/H12</f>
        <v>1</v>
      </c>
      <c r="AC12" s="1384">
        <f>D12/J12</f>
        <v>1</v>
      </c>
    </row>
    <row r="13" spans="1:29" ht="15.6"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4089"/>
      <c r="Q13" s="1050">
        <f t="shared" si="6"/>
        <v>111</v>
      </c>
      <c r="R13" s="1381" t="s">
        <v>5</v>
      </c>
      <c r="S13" s="1382">
        <f t="shared" si="0"/>
        <v>100</v>
      </c>
      <c r="T13" s="1381" t="s">
        <v>5</v>
      </c>
      <c r="U13" s="1382">
        <f t="shared" si="1"/>
        <v>100</v>
      </c>
      <c r="V13" s="1381" t="s">
        <v>5</v>
      </c>
      <c r="W13" s="1382">
        <f t="shared" si="2"/>
        <v>100</v>
      </c>
      <c r="X13" s="1383"/>
      <c r="Y13" s="4035"/>
      <c r="Z13" s="1049">
        <f t="shared" si="7"/>
        <v>111</v>
      </c>
      <c r="AA13" s="1384">
        <f t="shared" si="3"/>
        <v>1</v>
      </c>
      <c r="AB13" s="1384">
        <f t="shared" si="4"/>
        <v>1</v>
      </c>
      <c r="AC13" s="1384">
        <f t="shared" si="5"/>
        <v>1</v>
      </c>
    </row>
    <row r="14" spans="1:29" ht="96.6">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4091" t="s">
        <v>489</v>
      </c>
      <c r="Q14" s="1385" t="str">
        <f t="shared" si="6"/>
        <v>交通便捷度</v>
      </c>
      <c r="R14" s="1386" t="s">
        <v>5</v>
      </c>
      <c r="S14" s="1387">
        <f t="shared" si="0"/>
        <v>100</v>
      </c>
      <c r="T14" s="1386" t="s">
        <v>5</v>
      </c>
      <c r="U14" s="1387">
        <f t="shared" si="1"/>
        <v>100</v>
      </c>
      <c r="V14" s="1386" t="s">
        <v>5</v>
      </c>
      <c r="W14" s="1387">
        <f t="shared" si="2"/>
        <v>100</v>
      </c>
      <c r="X14" s="1380"/>
      <c r="Y14" s="4091"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4092"/>
      <c r="Q15" s="1385"/>
      <c r="R15" s="1386"/>
      <c r="S15" s="1387"/>
      <c r="T15" s="1386"/>
      <c r="U15" s="1387"/>
      <c r="V15" s="1386"/>
      <c r="W15" s="1387"/>
      <c r="X15" s="1380"/>
      <c r="Y15" s="4092"/>
      <c r="Z15" s="1388"/>
      <c r="AA15" s="1389">
        <v>1</v>
      </c>
      <c r="AB15" s="1389">
        <v>1</v>
      </c>
      <c r="AC15" s="1389">
        <v>1</v>
      </c>
    </row>
    <row r="16" spans="1:29" ht="41.4">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4092"/>
      <c r="Q16" s="1385" t="str">
        <f>B16</f>
        <v>公共配套设施</v>
      </c>
      <c r="R16" s="1386" t="s">
        <v>5</v>
      </c>
      <c r="S16" s="1387">
        <f>F16</f>
        <v>100</v>
      </c>
      <c r="T16" s="1386" t="s">
        <v>5</v>
      </c>
      <c r="U16" s="1387">
        <f>H16</f>
        <v>100</v>
      </c>
      <c r="V16" s="1386" t="s">
        <v>5</v>
      </c>
      <c r="W16" s="1387">
        <f>J16</f>
        <v>100</v>
      </c>
      <c r="X16" s="1380"/>
      <c r="Y16" s="4092"/>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4092"/>
      <c r="Q17" s="1385"/>
      <c r="R17" s="1386"/>
      <c r="S17" s="1387"/>
      <c r="T17" s="1386"/>
      <c r="U17" s="1387"/>
      <c r="V17" s="1386"/>
      <c r="W17" s="1387"/>
      <c r="X17" s="1380"/>
      <c r="Y17" s="4092"/>
      <c r="Z17" s="1388"/>
      <c r="AA17" s="1389">
        <v>1</v>
      </c>
      <c r="AB17" s="1389">
        <v>1</v>
      </c>
      <c r="AC17" s="1389">
        <v>1</v>
      </c>
    </row>
    <row r="18" spans="1:29" ht="41.4">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4092"/>
      <c r="Q18" s="2192" t="str">
        <f>B18</f>
        <v>基础设施水平</v>
      </c>
      <c r="R18" s="1386" t="s">
        <v>5</v>
      </c>
      <c r="S18" s="1387">
        <f>F18</f>
        <v>100</v>
      </c>
      <c r="T18" s="1386" t="s">
        <v>5</v>
      </c>
      <c r="U18" s="1387">
        <f>H18</f>
        <v>100</v>
      </c>
      <c r="V18" s="1386" t="s">
        <v>5</v>
      </c>
      <c r="W18" s="1387">
        <f>J18</f>
        <v>100</v>
      </c>
      <c r="X18" s="2194"/>
      <c r="Y18" s="4092"/>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5"/>
      <c r="M19" s="1857"/>
      <c r="N19" s="1857"/>
      <c r="O19" s="1864"/>
      <c r="P19" s="4092"/>
      <c r="Q19" s="2192"/>
      <c r="R19" s="1386"/>
      <c r="S19" s="1387"/>
      <c r="T19" s="1386"/>
      <c r="U19" s="1387"/>
      <c r="V19" s="1386"/>
      <c r="W19" s="1387"/>
      <c r="X19" s="2194"/>
      <c r="Y19" s="4092"/>
      <c r="Z19" s="2193"/>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4092"/>
      <c r="Q20" s="1385" t="str">
        <f>B20</f>
        <v>自然及人文环境</v>
      </c>
      <c r="R20" s="1386" t="s">
        <v>5</v>
      </c>
      <c r="S20" s="1387">
        <f>F20</f>
        <v>100</v>
      </c>
      <c r="T20" s="1386" t="s">
        <v>5</v>
      </c>
      <c r="U20" s="1387">
        <f>H20</f>
        <v>100</v>
      </c>
      <c r="V20" s="1386" t="s">
        <v>5</v>
      </c>
      <c r="W20" s="1387">
        <f>J20</f>
        <v>100</v>
      </c>
      <c r="X20" s="1380"/>
      <c r="Y20" s="4092"/>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4092"/>
      <c r="Q21" s="1385"/>
      <c r="R21" s="1386"/>
      <c r="S21" s="1387"/>
      <c r="T21" s="1386"/>
      <c r="U21" s="1387"/>
      <c r="V21" s="1386"/>
      <c r="W21" s="1387"/>
      <c r="X21" s="1380"/>
      <c r="Y21" s="4092"/>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4092"/>
      <c r="Q22" s="1385" t="str">
        <f>B22</f>
        <v>楼层</v>
      </c>
      <c r="R22" s="1386" t="s">
        <v>5</v>
      </c>
      <c r="S22" s="1387">
        <f>F22</f>
        <v>100</v>
      </c>
      <c r="T22" s="1386" t="s">
        <v>5</v>
      </c>
      <c r="U22" s="1387">
        <f>H22</f>
        <v>100</v>
      </c>
      <c r="V22" s="1386" t="s">
        <v>5</v>
      </c>
      <c r="W22" s="1387">
        <f>J22</f>
        <v>100</v>
      </c>
      <c r="X22" s="1380"/>
      <c r="Y22" s="4092"/>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4092"/>
      <c r="Q23" s="1385">
        <f>B23</f>
        <v>111</v>
      </c>
      <c r="R23" s="1386" t="s">
        <v>5</v>
      </c>
      <c r="S23" s="1387">
        <f>F23</f>
        <v>100</v>
      </c>
      <c r="T23" s="1386" t="s">
        <v>5</v>
      </c>
      <c r="U23" s="1387">
        <f>H23</f>
        <v>100</v>
      </c>
      <c r="V23" s="1386" t="s">
        <v>5</v>
      </c>
      <c r="W23" s="1387">
        <f>J23</f>
        <v>100</v>
      </c>
      <c r="X23" s="1380"/>
      <c r="Y23" s="4092"/>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4092"/>
      <c r="Q24" s="1385">
        <f t="shared" ref="Q24:Q34" si="8">B24</f>
        <v>111</v>
      </c>
      <c r="R24" s="1386" t="s">
        <v>5</v>
      </c>
      <c r="S24" s="1387">
        <f>F24</f>
        <v>100</v>
      </c>
      <c r="T24" s="1386" t="s">
        <v>5</v>
      </c>
      <c r="U24" s="1387">
        <f>H24</f>
        <v>100</v>
      </c>
      <c r="V24" s="1386" t="s">
        <v>5</v>
      </c>
      <c r="W24" s="1387">
        <f>J24</f>
        <v>100</v>
      </c>
      <c r="X24" s="1380"/>
      <c r="Y24" s="4092"/>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4092"/>
      <c r="Q25" s="1050">
        <f t="shared" si="8"/>
        <v>111</v>
      </c>
      <c r="R25" s="1381" t="s">
        <v>5</v>
      </c>
      <c r="S25" s="1382">
        <f>F25</f>
        <v>100</v>
      </c>
      <c r="T25" s="1381" t="s">
        <v>5</v>
      </c>
      <c r="U25" s="1382">
        <f>H25</f>
        <v>100</v>
      </c>
      <c r="V25" s="1381" t="s">
        <v>5</v>
      </c>
      <c r="W25" s="1382">
        <f>J25</f>
        <v>100</v>
      </c>
      <c r="X25" s="1383"/>
      <c r="Y25" s="4092"/>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4093"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4094"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4094"/>
      <c r="Q27" s="1414" t="str">
        <f t="shared" si="8"/>
        <v>成新率</v>
      </c>
      <c r="R27" s="1390" t="s">
        <v>5</v>
      </c>
      <c r="S27" s="1391" t="e">
        <f t="shared" si="9"/>
        <v>#N/A</v>
      </c>
      <c r="T27" s="1390" t="s">
        <v>5</v>
      </c>
      <c r="U27" s="1391" t="e">
        <f t="shared" si="10"/>
        <v>#N/A</v>
      </c>
      <c r="V27" s="1390" t="s">
        <v>5</v>
      </c>
      <c r="W27" s="1391" t="e">
        <f t="shared" si="11"/>
        <v>#N/A</v>
      </c>
      <c r="X27" s="1392"/>
      <c r="Y27" s="4094"/>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4094"/>
      <c r="Q28" s="1385" t="str">
        <f t="shared" si="8"/>
        <v>物业等级</v>
      </c>
      <c r="R28" s="1386" t="s">
        <v>5</v>
      </c>
      <c r="S28" s="1387">
        <f t="shared" si="9"/>
        <v>100</v>
      </c>
      <c r="T28" s="1386" t="s">
        <v>5</v>
      </c>
      <c r="U28" s="1387">
        <f t="shared" si="10"/>
        <v>100</v>
      </c>
      <c r="V28" s="1386" t="s">
        <v>5</v>
      </c>
      <c r="W28" s="1387">
        <f t="shared" si="11"/>
        <v>100</v>
      </c>
      <c r="X28" s="1380"/>
      <c r="Y28" s="4094"/>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4094"/>
      <c r="Q29" s="1385" t="str">
        <f t="shared" si="8"/>
        <v>有无电梯</v>
      </c>
      <c r="R29" s="1386" t="s">
        <v>5</v>
      </c>
      <c r="S29" s="1387">
        <f t="shared" si="9"/>
        <v>100</v>
      </c>
      <c r="T29" s="1386" t="s">
        <v>5</v>
      </c>
      <c r="U29" s="1387">
        <f t="shared" si="10"/>
        <v>100</v>
      </c>
      <c r="V29" s="1386" t="s">
        <v>5</v>
      </c>
      <c r="W29" s="1387">
        <f t="shared" si="11"/>
        <v>100</v>
      </c>
      <c r="X29" s="1380"/>
      <c r="Y29" s="4094"/>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4094"/>
      <c r="Q30" s="1385" t="str">
        <f t="shared" si="8"/>
        <v>建筑面积</v>
      </c>
      <c r="R30" s="1386" t="s">
        <v>5</v>
      </c>
      <c r="S30" s="1387" t="e">
        <f t="shared" si="9"/>
        <v>#N/A</v>
      </c>
      <c r="T30" s="1386" t="s">
        <v>5</v>
      </c>
      <c r="U30" s="1387" t="e">
        <f t="shared" si="10"/>
        <v>#N/A</v>
      </c>
      <c r="V30" s="1386" t="s">
        <v>5</v>
      </c>
      <c r="W30" s="1387" t="e">
        <f t="shared" si="11"/>
        <v>#N/A</v>
      </c>
      <c r="X30" s="1380"/>
      <c r="Y30" s="4094"/>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4094"/>
      <c r="Q31" s="1050" t="str">
        <f t="shared" si="8"/>
        <v>是否封闭</v>
      </c>
      <c r="R31" s="1381" t="s">
        <v>5</v>
      </c>
      <c r="S31" s="1382">
        <f t="shared" si="9"/>
        <v>100</v>
      </c>
      <c r="T31" s="1381" t="s">
        <v>5</v>
      </c>
      <c r="U31" s="1382">
        <f t="shared" si="10"/>
        <v>100</v>
      </c>
      <c r="V31" s="1381" t="s">
        <v>5</v>
      </c>
      <c r="W31" s="1382">
        <f t="shared" si="11"/>
        <v>100</v>
      </c>
      <c r="X31" s="1383"/>
      <c r="Y31" s="4094"/>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4094" t="s">
        <v>499</v>
      </c>
      <c r="Q32" s="1385">
        <f t="shared" si="8"/>
        <v>111</v>
      </c>
      <c r="R32" s="1386" t="s">
        <v>5</v>
      </c>
      <c r="S32" s="1387">
        <f t="shared" si="9"/>
        <v>100</v>
      </c>
      <c r="T32" s="1386" t="s">
        <v>5</v>
      </c>
      <c r="U32" s="1387">
        <f t="shared" si="10"/>
        <v>100</v>
      </c>
      <c r="V32" s="1386" t="s">
        <v>5</v>
      </c>
      <c r="W32" s="1387">
        <f t="shared" si="11"/>
        <v>100</v>
      </c>
      <c r="X32" s="1380"/>
      <c r="Y32" s="4094"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4094"/>
      <c r="Q33" s="1385">
        <f t="shared" si="8"/>
        <v>111</v>
      </c>
      <c r="R33" s="1386" t="s">
        <v>5</v>
      </c>
      <c r="S33" s="1387">
        <f t="shared" si="9"/>
        <v>100</v>
      </c>
      <c r="T33" s="1386" t="s">
        <v>5</v>
      </c>
      <c r="U33" s="1387">
        <f t="shared" si="10"/>
        <v>100</v>
      </c>
      <c r="V33" s="1386" t="s">
        <v>5</v>
      </c>
      <c r="W33" s="1387">
        <f t="shared" si="11"/>
        <v>100</v>
      </c>
      <c r="X33" s="1380"/>
      <c r="Y33" s="4094"/>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4094"/>
      <c r="Q34" s="1385">
        <f t="shared" si="8"/>
        <v>111</v>
      </c>
      <c r="R34" s="1386" t="s">
        <v>5</v>
      </c>
      <c r="S34" s="1387">
        <f t="shared" si="9"/>
        <v>100</v>
      </c>
      <c r="T34" s="1386" t="s">
        <v>5</v>
      </c>
      <c r="U34" s="1387">
        <f t="shared" si="10"/>
        <v>100</v>
      </c>
      <c r="V34" s="1386" t="s">
        <v>5</v>
      </c>
      <c r="W34" s="1387">
        <f t="shared" si="11"/>
        <v>100</v>
      </c>
      <c r="X34" s="1380"/>
      <c r="Y34" s="4094"/>
      <c r="Z34" s="1388">
        <f t="shared" si="12"/>
        <v>111</v>
      </c>
      <c r="AA34" s="1389">
        <f t="shared" si="3"/>
        <v>1</v>
      </c>
      <c r="AB34" s="1389">
        <f t="shared" si="4"/>
        <v>1</v>
      </c>
      <c r="AC34" s="1389">
        <f t="shared" si="5"/>
        <v>1</v>
      </c>
    </row>
    <row r="35" spans="1:29" ht="14.4">
      <c r="A35" s="577" t="s">
        <v>683</v>
      </c>
      <c r="B35" s="850"/>
      <c r="C35" s="2233" t="s">
        <v>0</v>
      </c>
      <c r="D35" s="2234"/>
      <c r="E35" s="2235"/>
      <c r="F35" s="2236"/>
      <c r="G35" s="2237"/>
      <c r="H35" s="2238"/>
      <c r="I35" s="2235"/>
      <c r="J35" s="2238"/>
      <c r="K35" s="1419"/>
      <c r="L35" s="1867"/>
      <c r="M35" s="1868"/>
      <c r="N35" s="1857"/>
      <c r="O35" s="1868"/>
      <c r="P35" s="4089" t="str">
        <f>A35</f>
        <v>成交单价（元/平方米）</v>
      </c>
      <c r="Q35" s="4089"/>
      <c r="R35" s="4199">
        <f>E35</f>
        <v>0</v>
      </c>
      <c r="S35" s="4199"/>
      <c r="T35" s="4199">
        <f>G35</f>
        <v>0</v>
      </c>
      <c r="U35" s="4199"/>
      <c r="V35" s="4199">
        <f>I35</f>
        <v>0</v>
      </c>
      <c r="W35" s="4199"/>
      <c r="X35" s="1375"/>
      <c r="Y35" s="1394"/>
      <c r="Z35" s="1375"/>
      <c r="AA35" s="1375"/>
      <c r="AB35" s="1375"/>
      <c r="AC35" s="1375"/>
    </row>
    <row r="36" spans="1:29" ht="15" thickBot="1">
      <c r="A36" s="585" t="s">
        <v>2042</v>
      </c>
      <c r="B36" s="851"/>
      <c r="C36" s="2239" t="e">
        <f>R37</f>
        <v>#DIV/0!</v>
      </c>
      <c r="D36" s="2756" t="s">
        <v>2260</v>
      </c>
      <c r="E36" s="2240" t="e">
        <f>R36</f>
        <v>#DIV/0!</v>
      </c>
      <c r="F36" s="2757"/>
      <c r="G36" s="2239" t="e">
        <f>T36</f>
        <v>#DIV/0!</v>
      </c>
      <c r="H36" s="2757"/>
      <c r="I36" s="2240" t="e">
        <f>V36</f>
        <v>#DIV/0!</v>
      </c>
      <c r="J36" s="2757"/>
      <c r="K36" s="2765">
        <f>F36+H36+J36</f>
        <v>0</v>
      </c>
      <c r="L36" s="1867"/>
      <c r="M36" s="1868"/>
      <c r="N36" s="1857"/>
      <c r="O36" s="1868"/>
      <c r="P36" s="4089" t="str">
        <f>A36</f>
        <v>比较价格（元/平方米）</v>
      </c>
      <c r="Q36" s="4089"/>
      <c r="R36" s="4199" t="e">
        <f>IF(F1="售价",ROUND(PRODUCT(R35,AA7:AA34),0),ROUND(PRODUCT(R35,AA7:AA34),1))</f>
        <v>#DIV/0!</v>
      </c>
      <c r="S36" s="4199"/>
      <c r="T36" s="4199" t="e">
        <f>IF(F1="售价",ROUND(PRODUCT(T35,AB7:AB34),0),ROUND(PRODUCT(T35,AB7:AB34),1))</f>
        <v>#DIV/0!</v>
      </c>
      <c r="U36" s="4199"/>
      <c r="V36" s="4199" t="e">
        <f>IF(F1="售价",ROUND(PRODUCT(V35,AC7:AC34),0),ROUND(PRODUCT(V35,AC7:AC34),1))</f>
        <v>#DIV/0!</v>
      </c>
      <c r="W36" s="4199"/>
      <c r="X36" s="1375"/>
      <c r="Y36" s="1375"/>
      <c r="Z36" s="1375"/>
      <c r="AA36" s="1375"/>
      <c r="AB36" s="1375"/>
      <c r="AC36" s="1375"/>
    </row>
    <row r="37" spans="1:29" ht="15" thickBot="1">
      <c r="A37" s="589" t="s">
        <v>2196</v>
      </c>
      <c r="B37" s="590"/>
      <c r="C37" s="2241" t="e">
        <f>R37</f>
        <v>#DIV/0!</v>
      </c>
      <c r="D37" s="2241"/>
      <c r="E37" s="2241"/>
      <c r="F37" s="2241"/>
      <c r="G37" s="2241"/>
      <c r="H37" s="2241"/>
      <c r="I37" s="2241"/>
      <c r="J37" s="2241"/>
      <c r="K37" s="1420"/>
      <c r="L37" s="1867"/>
      <c r="M37" s="1868"/>
      <c r="N37" s="1868"/>
      <c r="O37" s="1868"/>
      <c r="P37" s="4095" t="str">
        <f>A37</f>
        <v>估价对象XX用房的比较价格（楼面单价，元/平方米）</v>
      </c>
      <c r="Q37" s="4096"/>
      <c r="R37" s="4198" t="e">
        <f>IF(F1="售价",ROUND(IF(D36="简单平均",AVERAGE(R36:W36),R36*F36+T36*H36+V36*J36),0),ROUND(IF(D36="简单平均",AVERAGE(R36:V36),R36*F36+T36*H36+V36*J36),1))</f>
        <v>#DIV/0!</v>
      </c>
      <c r="S37" s="4198"/>
      <c r="T37" s="4198"/>
      <c r="U37" s="4198"/>
      <c r="V37" s="4198"/>
      <c r="W37" s="4198"/>
      <c r="X37" s="1375"/>
      <c r="Y37" s="1375"/>
      <c r="Z37" s="1375"/>
      <c r="AA37" s="1375"/>
      <c r="AB37" s="1375"/>
      <c r="AC37" s="1375"/>
    </row>
    <row r="38" spans="1:29">
      <c r="A38" s="2953"/>
      <c r="B38" s="2953"/>
      <c r="C38" s="2953"/>
      <c r="D38" s="2953"/>
      <c r="E38" s="2953"/>
      <c r="F38" s="2953"/>
      <c r="G38" s="2955"/>
      <c r="H38" s="2953"/>
      <c r="I38" s="2953"/>
      <c r="J38" s="2953"/>
      <c r="K38" s="2956"/>
      <c r="L38" s="1872"/>
      <c r="M38" s="1868"/>
      <c r="N38" s="1868"/>
      <c r="O38" s="1868"/>
      <c r="P38" s="1868"/>
      <c r="Q38" s="1868"/>
      <c r="R38" s="1868"/>
      <c r="S38" s="1868"/>
      <c r="T38" s="1868"/>
      <c r="U38" s="1868"/>
      <c r="V38" s="1868"/>
      <c r="W38" s="1868"/>
      <c r="X38" s="1868"/>
      <c r="Y38" s="1868"/>
      <c r="Z38" s="1868"/>
      <c r="AA38" s="1868"/>
      <c r="AB38" s="1868"/>
      <c r="AC38" s="1868"/>
    </row>
    <row r="39" spans="1:29">
      <c r="A39" s="2953"/>
      <c r="B39" s="2953"/>
      <c r="C39" s="2953"/>
      <c r="D39" s="2953"/>
      <c r="E39" s="2953"/>
      <c r="F39" s="2953"/>
      <c r="G39" s="2953"/>
      <c r="H39" s="2953"/>
      <c r="I39" s="2953"/>
      <c r="J39" s="2953"/>
      <c r="K39" s="2956"/>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3"/>
      <c r="B40" s="2953"/>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6"/>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3"/>
      <c r="B41" s="2953"/>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6"/>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4"/>
      <c r="B42" s="2954"/>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7"/>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1" t="str">
        <f>YEAR(C7)&amp;"-"&amp;MONTH(C7)</f>
        <v>2025-3</v>
      </c>
      <c r="D46" s="2283">
        <f>EDATE(C46,-1)</f>
        <v>45689</v>
      </c>
      <c r="E46" s="2283">
        <f t="shared" ref="E46:O46" si="13">EDATE(D46,-1)</f>
        <v>45658</v>
      </c>
      <c r="F46" s="2283">
        <f t="shared" si="13"/>
        <v>45627</v>
      </c>
      <c r="G46" s="2283">
        <f t="shared" si="13"/>
        <v>45597</v>
      </c>
      <c r="H46" s="2283">
        <f t="shared" si="13"/>
        <v>45566</v>
      </c>
      <c r="I46" s="2283">
        <f t="shared" si="13"/>
        <v>45536</v>
      </c>
      <c r="J46" s="2283">
        <f t="shared" si="13"/>
        <v>45505</v>
      </c>
      <c r="K46" s="2283">
        <f t="shared" si="13"/>
        <v>45474</v>
      </c>
      <c r="L46" s="2283">
        <f t="shared" si="13"/>
        <v>45444</v>
      </c>
      <c r="M46" s="2283">
        <f t="shared" si="13"/>
        <v>45413</v>
      </c>
      <c r="N46" s="2283">
        <f t="shared" si="13"/>
        <v>45383</v>
      </c>
      <c r="O46" s="2283">
        <f t="shared" si="13"/>
        <v>45352</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4" t="s">
        <v>1841</v>
      </c>
      <c r="C65" s="2205" t="s">
        <v>1842</v>
      </c>
      <c r="D65" s="2205" t="s">
        <v>1843</v>
      </c>
      <c r="E65" s="2205" t="s">
        <v>1844</v>
      </c>
      <c r="F65" s="2205" t="s">
        <v>1845</v>
      </c>
      <c r="G65" s="2205" t="s">
        <v>1846</v>
      </c>
      <c r="H65" s="642"/>
      <c r="I65" s="642"/>
      <c r="J65" s="642"/>
      <c r="K65" s="642"/>
      <c r="L65" s="642"/>
      <c r="M65" s="2208"/>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E19" sqref="E19"/>
      <selection pane="bottomLeft" activeCell="E19" sqref="E19"/>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233" t="s">
        <v>1661</v>
      </c>
      <c r="D1" s="4234"/>
      <c r="E1" s="4234"/>
      <c r="F1" s="4234"/>
      <c r="G1" s="4234"/>
      <c r="H1" s="4234"/>
      <c r="I1" s="4234"/>
      <c r="J1" s="4234"/>
      <c r="K1" s="4234"/>
      <c r="L1" s="4234"/>
      <c r="M1" s="4234"/>
      <c r="N1" s="4234"/>
      <c r="O1" s="4234"/>
      <c r="P1" s="4234"/>
      <c r="Q1" s="4234"/>
      <c r="R1" s="4234"/>
      <c r="S1" s="4235"/>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2189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2188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2200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230" t="s">
        <v>14</v>
      </c>
      <c r="D22" s="4231"/>
      <c r="E22" s="4231"/>
      <c r="F22" s="4231"/>
      <c r="G22" s="4231"/>
      <c r="H22" s="4231"/>
      <c r="I22" s="4231"/>
      <c r="J22" s="4231"/>
      <c r="K22" s="4231"/>
      <c r="L22" s="4231"/>
      <c r="M22" s="4231"/>
      <c r="N22" s="4231"/>
      <c r="O22" s="4231"/>
      <c r="P22" s="4231"/>
      <c r="Q22" s="4232"/>
      <c r="R22" s="467" t="e">
        <f>ROUND(S22*10000/B22,0)</f>
        <v>#DIV/0!</v>
      </c>
      <c r="S22" s="51">
        <f>SUM(S24:S10000)</f>
        <v>0</v>
      </c>
    </row>
    <row r="23" spans="1:45" s="1421" customFormat="1" ht="24">
      <c r="A23" s="15" t="s">
        <v>770</v>
      </c>
      <c r="B23" s="2613"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4">
        <v>1</v>
      </c>
      <c r="D24" s="3015"/>
      <c r="E24" s="3014">
        <v>1</v>
      </c>
      <c r="F24" s="3015"/>
      <c r="G24" s="3014">
        <v>1</v>
      </c>
      <c r="H24" s="3015"/>
      <c r="I24" s="3014">
        <v>1</v>
      </c>
      <c r="J24" s="3015"/>
      <c r="K24" s="3014">
        <v>1</v>
      </c>
      <c r="L24" s="3015"/>
      <c r="M24" s="3014">
        <v>1</v>
      </c>
      <c r="N24" s="3015"/>
      <c r="O24" s="3014">
        <v>1</v>
      </c>
      <c r="P24" s="3015"/>
      <c r="Q24" s="3014">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45744</v>
      </c>
      <c r="H1" s="2416">
        <f>IF(C1&gt;C13,0,MATCH(C1,C$13:C$111,-1))+IF(SUMIF(C13:C111,C1,D13:D111)=0,13,12)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1.5</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3.4500000000000003E-2</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2"/>
      <c r="C18" s="2469">
        <v>44550</v>
      </c>
      <c r="D18" s="2468">
        <v>3.8</v>
      </c>
      <c r="E18" s="2468">
        <f>D18</f>
        <v>3.8</v>
      </c>
      <c r="F18" s="2468">
        <f>D18</f>
        <v>3.8</v>
      </c>
      <c r="G18" s="2468">
        <f>D18</f>
        <v>3.8</v>
      </c>
      <c r="H18" s="2468">
        <v>4.6500000000000004</v>
      </c>
      <c r="I18" s="2464"/>
      <c r="J18" s="2464"/>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5.6">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5.6">
      <c r="A23" s="3019"/>
      <c r="B23" s="2462" t="s">
        <v>2288</v>
      </c>
      <c r="C23" s="2470">
        <v>43697</v>
      </c>
      <c r="D23" s="3016">
        <v>4.25</v>
      </c>
      <c r="E23" s="3016">
        <v>4.25</v>
      </c>
      <c r="F23" s="3016">
        <v>4.25</v>
      </c>
      <c r="G23" s="3016">
        <v>4.25</v>
      </c>
      <c r="H23" s="3016">
        <v>4.8499999999999996</v>
      </c>
      <c r="I23" s="3016"/>
      <c r="J23" s="3016"/>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5.6">
      <c r="B24" s="3020"/>
      <c r="C24" s="3021">
        <v>42301</v>
      </c>
      <c r="D24" s="3022">
        <v>4.3499999999999996</v>
      </c>
      <c r="E24" s="3022">
        <v>4.3499999999999996</v>
      </c>
      <c r="F24" s="3022">
        <v>4.75</v>
      </c>
      <c r="G24" s="3022">
        <v>4.75</v>
      </c>
      <c r="H24" s="3022">
        <v>4.9000000000000004</v>
      </c>
      <c r="I24" s="3022"/>
      <c r="J24" s="3022"/>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902" t="s">
        <v>1556</v>
      </c>
      <c r="B1" s="3902"/>
      <c r="C1" s="3902"/>
      <c r="D1" s="3902"/>
      <c r="E1" s="3902"/>
      <c r="F1" s="3902"/>
      <c r="G1" s="3902"/>
      <c r="H1" s="3902"/>
      <c r="I1" s="3902"/>
      <c r="J1" s="3902"/>
      <c r="K1" s="3902"/>
      <c r="L1" s="3902"/>
      <c r="M1" s="3902"/>
      <c r="N1" s="3902"/>
      <c r="O1" s="3902"/>
      <c r="P1" s="3902"/>
      <c r="Q1" s="3902"/>
      <c r="R1" s="3902"/>
    </row>
    <row r="2" spans="1:18">
      <c r="A2" s="1595" t="s">
        <v>1558</v>
      </c>
      <c r="B2" s="1595"/>
      <c r="C2" s="1595"/>
      <c r="D2" s="1595"/>
      <c r="E2" s="1595"/>
      <c r="F2" s="1595"/>
      <c r="G2" s="1595"/>
      <c r="H2" s="1595"/>
      <c r="I2" s="1596"/>
      <c r="J2" s="1596"/>
      <c r="K2" s="1597" t="str">
        <f>"估价期日："&amp;TEXT(项目基本情况!D3,"yyyy年m月d日;;")</f>
        <v>估价期日：2025年3月28日</v>
      </c>
      <c r="L2" s="1595"/>
      <c r="M2" s="1595"/>
      <c r="N2" s="1595"/>
      <c r="O2" s="1595"/>
      <c r="P2" s="1595"/>
      <c r="Q2" s="1595"/>
      <c r="R2" s="1597" t="str">
        <f>"估价期日的国有建设用地使用权性质："&amp;项目基本情况!A17</f>
        <v>估价期日的国有建设用地使用权性质：划拨</v>
      </c>
    </row>
    <row r="3" spans="1:18" ht="23.25" customHeight="1">
      <c r="A3" s="3903" t="s">
        <v>1547</v>
      </c>
      <c r="B3" s="3903" t="s">
        <v>2013</v>
      </c>
      <c r="C3" s="3904" t="s">
        <v>1548</v>
      </c>
      <c r="D3" s="3903" t="s">
        <v>2017</v>
      </c>
      <c r="E3" s="3898" t="s">
        <v>1549</v>
      </c>
      <c r="F3" s="3898"/>
      <c r="G3" s="3898"/>
      <c r="H3" s="3898" t="s">
        <v>1550</v>
      </c>
      <c r="I3" s="3898"/>
      <c r="J3" s="3898"/>
      <c r="K3" s="3904" t="s">
        <v>1551</v>
      </c>
      <c r="L3" s="3904" t="s">
        <v>1552</v>
      </c>
      <c r="M3" s="3903" t="s">
        <v>2014</v>
      </c>
      <c r="N3" s="3905" t="str">
        <f>"（分摊）"&amp;项目基本情况!A17&amp;"国有建设用地使用权面积/㎡"</f>
        <v>（分摊）划拨国有建设用地使用权面积/㎡</v>
      </c>
      <c r="O3" s="3903" t="s">
        <v>1581</v>
      </c>
      <c r="P3" s="3904" t="s">
        <v>1561</v>
      </c>
      <c r="Q3" s="3904" t="s">
        <v>1582</v>
      </c>
      <c r="R3" s="3904" t="s">
        <v>1553</v>
      </c>
    </row>
    <row r="4" spans="1:18" ht="36.75" customHeight="1">
      <c r="A4" s="3903"/>
      <c r="B4" s="3903"/>
      <c r="C4" s="3904"/>
      <c r="D4" s="3903"/>
      <c r="E4" s="2253" t="s">
        <v>1560</v>
      </c>
      <c r="F4" s="2253" t="s">
        <v>2026</v>
      </c>
      <c r="G4" s="2253" t="s">
        <v>1554</v>
      </c>
      <c r="H4" s="2253" t="s">
        <v>1555</v>
      </c>
      <c r="I4" s="2253" t="s">
        <v>2027</v>
      </c>
      <c r="J4" s="2253" t="s">
        <v>1554</v>
      </c>
      <c r="K4" s="3904"/>
      <c r="L4" s="3904"/>
      <c r="M4" s="3903"/>
      <c r="N4" s="3905"/>
      <c r="O4" s="3903"/>
      <c r="P4" s="3904"/>
      <c r="Q4" s="3904"/>
      <c r="R4" s="3904"/>
    </row>
    <row r="5" spans="1:18" ht="135" customHeight="1">
      <c r="A5" s="1699" t="s">
        <v>1937</v>
      </c>
      <c r="B5" s="2346" t="s">
        <v>1935</v>
      </c>
      <c r="C5" s="2252">
        <v>22</v>
      </c>
      <c r="D5" s="2251" t="s">
        <v>1936</v>
      </c>
      <c r="E5" s="1598">
        <f>项目基本情况!B12</f>
        <v>0</v>
      </c>
      <c r="F5" s="2251">
        <v>258</v>
      </c>
      <c r="G5" s="1598">
        <f>项目基本情况!B13</f>
        <v>0</v>
      </c>
      <c r="H5" s="2251">
        <v>1.5</v>
      </c>
      <c r="I5" s="2251">
        <v>1.5</v>
      </c>
      <c r="J5" s="2251">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10738.85</v>
      </c>
      <c r="O5" s="1598">
        <f>项目基本情况!C21</f>
        <v>10738.85</v>
      </c>
      <c r="P5" s="1598">
        <f ca="1">结果表!E42</f>
        <v>8816</v>
      </c>
      <c r="Q5" s="1598">
        <f ca="1">结果表!D42</f>
        <v>8816</v>
      </c>
      <c r="R5" s="1599">
        <f ca="1">结果表!C42</f>
        <v>9467</v>
      </c>
    </row>
    <row r="6" spans="1:18">
      <c r="A6" s="3899" t="str">
        <f>IF(项目基本情况!B9="市场价格","——","抵押价格")</f>
        <v>——</v>
      </c>
      <c r="B6" s="3900"/>
      <c r="C6" s="3900"/>
      <c r="D6" s="3900"/>
      <c r="E6" s="3900"/>
      <c r="F6" s="3900"/>
      <c r="G6" s="3900"/>
      <c r="H6" s="3900"/>
      <c r="I6" s="3900"/>
      <c r="J6" s="3900"/>
      <c r="K6" s="3900"/>
      <c r="L6" s="3900"/>
      <c r="M6" s="3900"/>
      <c r="N6" s="3900"/>
      <c r="O6" s="3900"/>
      <c r="P6" s="3900"/>
      <c r="Q6" s="3901"/>
      <c r="R6" s="1600" t="str">
        <f>结果表!O39</f>
        <v>——</v>
      </c>
    </row>
    <row r="7" spans="1:18">
      <c r="A7" s="3899" t="str">
        <f>IF(项目基本情况!B9="市场价格","——",IF(项目基本情况!E8="已注销及未注销","抵押担保权已注销时的抵押价格","——"))</f>
        <v>——</v>
      </c>
      <c r="B7" s="3900"/>
      <c r="C7" s="3900"/>
      <c r="D7" s="3900"/>
      <c r="E7" s="3900"/>
      <c r="F7" s="3900"/>
      <c r="G7" s="3900"/>
      <c r="H7" s="3900"/>
      <c r="I7" s="3900"/>
      <c r="J7" s="3900"/>
      <c r="K7" s="3900"/>
      <c r="L7" s="3900"/>
      <c r="M7" s="3900"/>
      <c r="N7" s="3900"/>
      <c r="O7" s="3900"/>
      <c r="P7" s="3900"/>
      <c r="Q7" s="3901"/>
      <c r="R7" s="1600" t="str">
        <f>结果表!O40</f>
        <v>——</v>
      </c>
    </row>
    <row r="8" spans="1:18">
      <c r="A8" s="3899" t="str">
        <f>IF(项目基本情况!B9="市场价格","——",项目基本情况!E9)</f>
        <v>——</v>
      </c>
      <c r="B8" s="3900"/>
      <c r="C8" s="3900"/>
      <c r="D8" s="3900"/>
      <c r="E8" s="3900"/>
      <c r="F8" s="3900"/>
      <c r="G8" s="3900"/>
      <c r="H8" s="3900"/>
      <c r="I8" s="3900"/>
      <c r="J8" s="3900"/>
      <c r="K8" s="3900"/>
      <c r="L8" s="3900"/>
      <c r="M8" s="3900"/>
      <c r="N8" s="3900"/>
      <c r="O8" s="3900"/>
      <c r="P8" s="3900"/>
      <c r="Q8" s="3901"/>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906" t="s">
        <v>1583</v>
      </c>
      <c r="B1" s="3906"/>
      <c r="C1" s="3906"/>
      <c r="D1" s="3906"/>
    </row>
    <row r="2" spans="1:4" ht="47.25" customHeight="1">
      <c r="A2" s="3910" t="str">
        <f>"1.权利限制："&amp;项目基本情况!L24&amp;"未设定租赁等其他他项权利。"</f>
        <v>1.权利限制：根据估价对象《不动产权证书》原件、《国有土地使用权》复印件，截至估价期日，估价对象抵押权未见登记。未设定租赁等其他他项权利。</v>
      </c>
      <c r="B2" s="3910"/>
      <c r="C2" s="3910"/>
      <c r="D2" s="3910"/>
    </row>
    <row r="3" spans="1:4" ht="48" customHeight="1">
      <c r="A3" s="39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06"/>
      <c r="C3" s="3906"/>
      <c r="D3" s="3906"/>
    </row>
    <row r="4" spans="1:4" ht="36.75" customHeight="1">
      <c r="A4" s="3906" t="str">
        <f>"3.估价规划限制条件：详见"&amp;项目基本情况!E21&amp;"。"</f>
        <v>3.估价规划限制条件：详见《建设工程规划许可证》[]、《出让合同》[]。</v>
      </c>
      <c r="B4" s="3906"/>
      <c r="C4" s="3906"/>
      <c r="D4" s="3906"/>
    </row>
    <row r="5" spans="1:4">
      <c r="A5" s="3909" t="s">
        <v>1584</v>
      </c>
      <c r="B5" s="3909"/>
      <c r="C5" s="3909"/>
      <c r="D5" s="3909"/>
    </row>
    <row r="6" spans="1:4">
      <c r="A6" s="3906" t="s">
        <v>1562</v>
      </c>
      <c r="B6" s="3906"/>
      <c r="C6" s="3906"/>
      <c r="D6" s="3906"/>
    </row>
    <row r="7" spans="1:4" ht="33" customHeight="1">
      <c r="A7" s="3906" t="s">
        <v>1857</v>
      </c>
      <c r="B7" s="3906"/>
      <c r="C7" s="3906"/>
      <c r="D7" s="3906"/>
    </row>
    <row r="8" spans="1:4" ht="32.25" customHeight="1">
      <c r="A8" s="39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06"/>
      <c r="C8" s="3906"/>
      <c r="D8" s="3906"/>
    </row>
    <row r="9" spans="1:4" ht="33.75" customHeight="1">
      <c r="A9" s="3906" t="str">
        <f>IF(项目基本情况!B8="抵押","3.抵押双方在办理抵押登记手续时，应使用本公司出具的正式《土地估价报告》，特提请报告使用者注意。","——")</f>
        <v>——</v>
      </c>
      <c r="B9" s="3906"/>
      <c r="C9" s="3906"/>
      <c r="D9" s="3906"/>
    </row>
    <row r="10" spans="1:4">
      <c r="A10" s="3906" t="str">
        <f>IF(项目基本情况!B8="抵押","4.估价师所知悉的法定优先受偿款情况为：","——")</f>
        <v>——</v>
      </c>
      <c r="B10" s="3906"/>
      <c r="C10" s="3906"/>
      <c r="D10" s="3906"/>
    </row>
    <row r="11" spans="1:4" ht="37.5" customHeight="1">
      <c r="A11" s="3908" t="str">
        <f>IF(项目基本情况!B8="抵押","（1）"&amp;CONCATENATE(项目基本情况!L24,项目基本情况!L25,项目基本情况!L26),"——")</f>
        <v>——</v>
      </c>
      <c r="B11" s="3908"/>
      <c r="C11" s="3908"/>
      <c r="D11" s="3908"/>
    </row>
    <row r="12" spans="1:4" ht="168" customHeight="1">
      <c r="A12" s="3909" t="s">
        <v>1586</v>
      </c>
      <c r="B12" s="3909"/>
      <c r="C12" s="3909"/>
      <c r="D12" s="3909"/>
    </row>
    <row r="13" spans="1:4">
      <c r="A13" s="3907" t="s">
        <v>2028</v>
      </c>
      <c r="B13" s="3907"/>
      <c r="C13" s="3907"/>
      <c r="D13" s="3907"/>
    </row>
    <row r="14" spans="1:4">
      <c r="A14" s="3908" t="str">
        <f>IF(项目基本情况!B8="抵押","综上，"&amp;结果表!K47,"——")</f>
        <v>——</v>
      </c>
      <c r="B14" s="3908"/>
      <c r="C14" s="3908"/>
      <c r="D14" s="3908"/>
    </row>
    <row r="15" spans="1:4" ht="58.5" customHeight="1">
      <c r="A15" s="39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06"/>
      <c r="C15" s="3906"/>
      <c r="D15" s="3906"/>
    </row>
    <row r="16" spans="1:4" ht="70.5" customHeight="1">
      <c r="A16" s="39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06"/>
      <c r="C16" s="3906"/>
      <c r="D16" s="3906"/>
    </row>
    <row r="17" spans="1:4">
      <c r="A17" s="3906" t="s">
        <v>1984</v>
      </c>
      <c r="B17" s="3906"/>
      <c r="C17" s="3906"/>
      <c r="D17" s="3906"/>
    </row>
    <row r="18" spans="1:4">
      <c r="A18" s="3906" t="s">
        <v>1976</v>
      </c>
      <c r="B18" s="3906"/>
      <c r="C18" s="3906"/>
      <c r="D18" s="3906"/>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906" t="s">
        <v>1981</v>
      </c>
      <c r="B23" s="3906"/>
      <c r="C23" s="3906"/>
      <c r="D23" s="3906"/>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918" t="s">
        <v>27</v>
      </c>
      <c r="B15" s="3919" t="s">
        <v>784</v>
      </c>
      <c r="C15" s="3915"/>
    </row>
    <row r="16" spans="1:7" ht="14.4">
      <c r="A16" s="3918"/>
      <c r="B16" s="3916" t="s">
        <v>28</v>
      </c>
      <c r="C16" s="1070" t="s">
        <v>27</v>
      </c>
    </row>
    <row r="17" spans="1:3" ht="14.4">
      <c r="A17" s="3918"/>
      <c r="B17" s="3916"/>
      <c r="C17" s="1070" t="s">
        <v>29</v>
      </c>
    </row>
    <row r="18" spans="1:3" ht="14.4">
      <c r="A18" s="3918"/>
      <c r="B18" s="3916"/>
      <c r="C18" s="1070" t="s">
        <v>30</v>
      </c>
    </row>
    <row r="19" spans="1:3" ht="14.4">
      <c r="A19" s="3918"/>
      <c r="B19" s="3914" t="s">
        <v>31</v>
      </c>
      <c r="C19" s="3915"/>
    </row>
    <row r="20" spans="1:3" ht="14.4">
      <c r="A20" s="1071" t="s">
        <v>32</v>
      </c>
      <c r="B20" s="1072"/>
      <c r="C20" s="1073"/>
    </row>
    <row r="21" spans="1:3" ht="14.4">
      <c r="A21" s="3917" t="s">
        <v>33</v>
      </c>
      <c r="B21" s="3914" t="s">
        <v>34</v>
      </c>
      <c r="C21" s="3915"/>
    </row>
    <row r="22" spans="1:3" ht="14.4">
      <c r="A22" s="3917"/>
      <c r="B22" s="3914" t="s">
        <v>35</v>
      </c>
      <c r="C22" s="3915"/>
    </row>
    <row r="23" spans="1:3" ht="14.4">
      <c r="A23" s="3917"/>
      <c r="B23" s="3914" t="s">
        <v>36</v>
      </c>
      <c r="C23" s="3915"/>
    </row>
    <row r="24" spans="1:3" ht="14.4">
      <c r="A24" s="3917"/>
      <c r="B24" s="3920" t="s">
        <v>37</v>
      </c>
      <c r="C24" s="1074" t="s">
        <v>775</v>
      </c>
    </row>
    <row r="25" spans="1:3" ht="14.4">
      <c r="A25" s="3917"/>
      <c r="B25" s="3921"/>
      <c r="C25" s="1074" t="s">
        <v>776</v>
      </c>
    </row>
    <row r="26" spans="1:3" ht="14.4">
      <c r="A26" s="3917"/>
      <c r="B26" s="3921"/>
      <c r="C26" s="1074" t="s">
        <v>777</v>
      </c>
    </row>
    <row r="27" spans="1:3" ht="14.4">
      <c r="A27" s="3917"/>
      <c r="B27" s="3921"/>
      <c r="C27" s="1074" t="s">
        <v>778</v>
      </c>
    </row>
    <row r="28" spans="1:3" ht="14.4">
      <c r="A28" s="3917"/>
      <c r="B28" s="3921"/>
      <c r="C28" s="1074" t="s">
        <v>779</v>
      </c>
    </row>
    <row r="29" spans="1:3" ht="14.4">
      <c r="A29" s="3917"/>
      <c r="B29" s="3921"/>
      <c r="C29" s="1074" t="s">
        <v>780</v>
      </c>
    </row>
    <row r="30" spans="1:3" ht="14.4">
      <c r="A30" s="3917"/>
      <c r="B30" s="3921"/>
      <c r="C30" s="1074" t="s">
        <v>781</v>
      </c>
    </row>
    <row r="31" spans="1:3" ht="14.4">
      <c r="A31" s="3917"/>
      <c r="B31" s="3921"/>
      <c r="C31" s="1074" t="s">
        <v>782</v>
      </c>
    </row>
    <row r="32" spans="1:3" ht="14.4">
      <c r="A32" s="3917"/>
      <c r="B32" s="3921"/>
      <c r="C32" s="1074" t="s">
        <v>1181</v>
      </c>
    </row>
    <row r="33" spans="1:3" ht="14.4">
      <c r="A33" s="3917"/>
      <c r="B33" s="3911" t="s">
        <v>1187</v>
      </c>
      <c r="C33" s="1074" t="s">
        <v>1182</v>
      </c>
    </row>
    <row r="34" spans="1:3" ht="14.4">
      <c r="A34" s="3917"/>
      <c r="B34" s="3912"/>
      <c r="C34" s="1079" t="s">
        <v>1183</v>
      </c>
    </row>
    <row r="35" spans="1:3" ht="14.4">
      <c r="A35" s="3917"/>
      <c r="B35" s="3912"/>
      <c r="C35" s="1080" t="s">
        <v>1184</v>
      </c>
    </row>
    <row r="36" spans="1:3" ht="14.4">
      <c r="A36" s="3917"/>
      <c r="B36" s="3912"/>
      <c r="C36" s="1080" t="s">
        <v>1185</v>
      </c>
    </row>
    <row r="37" spans="1:3" ht="14.4">
      <c r="A37" s="3917"/>
      <c r="B37" s="3913"/>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4" customWidth="1"/>
    <col min="2" max="2" width="22.77734375" style="2584" bestFit="1" customWidth="1"/>
    <col min="3" max="3" width="25.77734375" style="2584" bestFit="1" customWidth="1"/>
    <col min="4" max="4" width="22.6640625" style="2584"/>
    <col min="5" max="5" width="22.77734375" style="2584" bestFit="1" customWidth="1"/>
    <col min="6" max="6" width="25.6640625" style="2584" customWidth="1"/>
    <col min="7" max="16384" width="22.6640625" style="2584"/>
  </cols>
  <sheetData>
    <row r="1" spans="1:7" ht="20.25" customHeight="1">
      <c r="A1" s="2767"/>
      <c r="B1" s="2767"/>
      <c r="C1" s="2767"/>
      <c r="D1" s="2767"/>
      <c r="E1" s="2767"/>
      <c r="F1" s="2767"/>
      <c r="G1" s="2767"/>
    </row>
    <row r="2" spans="1:7" ht="20.25" customHeight="1">
      <c r="A2" s="2768" t="s">
        <v>1431</v>
      </c>
      <c r="B2" s="2769">
        <f ca="1">TODAY()</f>
        <v>45764</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t="str">
        <f ca="1">IF(C9&lt;B2,"已过期",1120060040)</f>
        <v>已过期</v>
      </c>
      <c r="C9" s="2775">
        <v>45592</v>
      </c>
      <c r="D9" s="2783" t="s">
        <v>1443</v>
      </c>
      <c r="E9" s="2772">
        <f ca="1">IF(F9&lt;B2,"已过期",2004110096)</f>
        <v>2004110096</v>
      </c>
      <c r="F9" s="2774">
        <v>47118</v>
      </c>
      <c r="G9" s="2767"/>
    </row>
    <row r="10" spans="1:7" ht="20.25" customHeight="1">
      <c r="A10" s="2772" t="s">
        <v>1444</v>
      </c>
      <c r="B10" s="2772" t="str">
        <f ca="1">IF(C10&lt;B2,"已过期",1120100036)</f>
        <v>已过期</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2237</v>
      </c>
      <c r="B12" s="2772">
        <f ca="1">IF(C12&lt;B2,"已过期",1120040230)</f>
        <v>1120040230</v>
      </c>
      <c r="C12" s="2775">
        <v>45937</v>
      </c>
      <c r="D12" s="2783" t="s">
        <v>2238</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2248</v>
      </c>
      <c r="B15" s="2772" t="str">
        <f ca="1">IF(C15&lt;B2,"已过期",1119980106)</f>
        <v>已过期</v>
      </c>
      <c r="C15" s="2775">
        <v>44969</v>
      </c>
      <c r="D15" s="2783"/>
      <c r="E15" s="2772"/>
      <c r="F15" s="2772"/>
      <c r="G15" s="2767"/>
    </row>
    <row r="16" spans="1:7" ht="20.25" customHeight="1">
      <c r="A16" s="2771" t="s">
        <v>2448</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925" t="s">
        <v>1448</v>
      </c>
      <c r="B18" s="3926"/>
      <c r="C18" s="3926"/>
      <c r="D18" s="3926"/>
      <c r="E18" s="3926"/>
      <c r="F18" s="3926"/>
      <c r="G18" s="2776"/>
    </row>
    <row r="19" spans="1:7" ht="20.25" customHeight="1">
      <c r="A19" s="3922" t="s">
        <v>1449</v>
      </c>
      <c r="B19" s="3922"/>
      <c r="C19" s="3923"/>
      <c r="D19" s="3924" t="s">
        <v>1450</v>
      </c>
      <c r="E19" s="3922"/>
      <c r="F19" s="3922"/>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2449</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5"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6" t="s">
        <v>2761</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2752</v>
      </c>
    </row>
    <row r="8" spans="1:23" ht="14.4">
      <c r="A8" s="6" t="s">
        <v>75</v>
      </c>
      <c r="B8" s="6" t="s">
        <v>76</v>
      </c>
      <c r="C8" s="1368" t="s">
        <v>1244</v>
      </c>
      <c r="F8" s="7" t="s">
        <v>121</v>
      </c>
      <c r="H8" s="3333" t="s">
        <v>2746</v>
      </c>
      <c r="I8" s="7" t="s">
        <v>2753</v>
      </c>
    </row>
    <row r="9" spans="1:23" ht="14.4">
      <c r="A9" s="6" t="s">
        <v>77</v>
      </c>
      <c r="B9" s="6" t="s">
        <v>122</v>
      </c>
      <c r="C9" s="1368" t="s">
        <v>1245</v>
      </c>
      <c r="F9" s="7" t="s">
        <v>78</v>
      </c>
      <c r="H9" s="7"/>
      <c r="I9" s="7" t="s">
        <v>2754</v>
      </c>
    </row>
    <row r="10" spans="1:23" ht="14.4">
      <c r="A10" s="6" t="s">
        <v>79</v>
      </c>
      <c r="B10" s="6" t="s">
        <v>123</v>
      </c>
      <c r="C10" s="1368" t="s">
        <v>1246</v>
      </c>
      <c r="F10" s="3333" t="s">
        <v>2745</v>
      </c>
      <c r="I10" s="7" t="s">
        <v>2755</v>
      </c>
    </row>
    <row r="11" spans="1:23" ht="14.4">
      <c r="A11" s="6" t="s">
        <v>80</v>
      </c>
      <c r="B11" s="6" t="s">
        <v>124</v>
      </c>
      <c r="C11" s="1368" t="s">
        <v>1247</v>
      </c>
      <c r="I11" s="7" t="s">
        <v>2756</v>
      </c>
    </row>
    <row r="12" spans="1:23" ht="14.4">
      <c r="A12" s="6" t="s">
        <v>81</v>
      </c>
      <c r="B12" s="6" t="s">
        <v>125</v>
      </c>
      <c r="C12" s="1368" t="s">
        <v>1248</v>
      </c>
      <c r="I12" s="7" t="s">
        <v>2757</v>
      </c>
    </row>
    <row r="13" spans="1:23" ht="14.4">
      <c r="A13" s="6" t="s">
        <v>82</v>
      </c>
      <c r="B13" s="6" t="s">
        <v>126</v>
      </c>
      <c r="C13" s="1368" t="s">
        <v>1249</v>
      </c>
      <c r="I13" s="7" t="s">
        <v>2758</v>
      </c>
    </row>
    <row r="14" spans="1:23" ht="14.4">
      <c r="A14" s="6" t="s">
        <v>83</v>
      </c>
      <c r="B14" s="6" t="s">
        <v>127</v>
      </c>
      <c r="C14" s="1371" t="s">
        <v>1421</v>
      </c>
      <c r="I14" s="7" t="s">
        <v>2759</v>
      </c>
    </row>
    <row r="15" spans="1:23" ht="14.4">
      <c r="A15" s="6" t="s">
        <v>84</v>
      </c>
      <c r="B15" s="6" t="s">
        <v>1214</v>
      </c>
      <c r="C15" s="1371"/>
      <c r="I15" s="7" t="s">
        <v>2760</v>
      </c>
    </row>
    <row r="16" spans="1:23" ht="14.4">
      <c r="A16" s="6" t="s">
        <v>85</v>
      </c>
      <c r="B16" s="6" t="s">
        <v>1215</v>
      </c>
      <c r="C16" s="1371"/>
    </row>
    <row r="17" spans="1:3" ht="14.4">
      <c r="A17" s="6" t="s">
        <v>86</v>
      </c>
      <c r="B17" s="6" t="s">
        <v>1216</v>
      </c>
      <c r="C17" s="1371"/>
    </row>
    <row r="18" spans="1:3" ht="14.4">
      <c r="A18" s="6" t="s">
        <v>87</v>
      </c>
      <c r="B18" s="2546" t="s">
        <v>2214</v>
      </c>
      <c r="C18" s="1371"/>
    </row>
    <row r="19" spans="1:3" ht="14.4">
      <c r="A19" s="6" t="s">
        <v>88</v>
      </c>
      <c r="B19" s="2546" t="s">
        <v>2221</v>
      </c>
      <c r="C19" s="1371"/>
    </row>
    <row r="20" spans="1:3" ht="14.4">
      <c r="A20" s="6" t="s">
        <v>89</v>
      </c>
      <c r="B20" s="2546" t="s">
        <v>2261</v>
      </c>
      <c r="C20" s="1371"/>
    </row>
    <row r="21" spans="1:3" ht="14.4">
      <c r="A21" s="6" t="s">
        <v>90</v>
      </c>
      <c r="B21" s="6" t="s">
        <v>2440</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927"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c r="D53" s="1558"/>
      <c r="E53" s="1558"/>
    </row>
    <row r="54" spans="1:5">
      <c r="A54" s="3927"/>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927"/>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927"/>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927"/>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案例（企业）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比较法-成本</vt:lpstr>
      <vt:lpstr>成本逼近法</vt:lpstr>
      <vt:lpstr>不动产比较法-住宅</vt:lpstr>
      <vt:lpstr>不动产比较法-商业</vt:lpstr>
      <vt:lpstr>不动产比较法-办公</vt:lpstr>
      <vt:lpstr>不动产比较法-工业</vt:lpstr>
      <vt:lpstr>昌平案例</vt:lpstr>
      <vt:lpstr>地价-分区</vt:lpstr>
      <vt:lpstr>案例（海淀）</vt:lpstr>
      <vt:lpstr>2013-2023</vt:lpstr>
      <vt:lpstr>不动产比较法-车位</vt:lpstr>
      <vt:lpstr>不动产比较法-仓储</vt:lpstr>
      <vt:lpstr>典型户型修正</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2024-05-20T02:19:22Z</cp:lastPrinted>
  <dcterms:created xsi:type="dcterms:W3CDTF">2015-07-13T07:17:23Z</dcterms:created>
  <dcterms:modified xsi:type="dcterms:W3CDTF">2025-04-17T10:36:04Z</dcterms:modified>
</cp:coreProperties>
</file>