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华熙公寓\"/>
    </mc:Choice>
  </mc:AlternateContent>
  <bookViews>
    <workbookView xWindow="11625" yWindow="165" windowWidth="11385" windowHeight="94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自制" sheetId="91" r:id="rId19"/>
    <sheet name="比较法-住宅" sheetId="90" r:id="rId20"/>
    <sheet name="比较法-住宅（北京高尔夫）" sheetId="89" r:id="rId21"/>
    <sheet name="比较法-住宅（三全）" sheetId="21" r:id="rId22"/>
    <sheet name="比较法-住宅（棕榈泉）" sheetId="88" r:id="rId23"/>
    <sheet name="市场案例" sheetId="84" r:id="rId24"/>
    <sheet name="成本法（住宅）" sheetId="83" r:id="rId25"/>
    <sheet name="基准地价修正（住宅）" sheetId="82" r:id="rId26"/>
    <sheet name="收益法" sheetId="15" r:id="rId27"/>
    <sheet name="租金整理（企业提供）" sheetId="85" r:id="rId28"/>
    <sheet name="市场租金情况" sheetId="86" r:id="rId29"/>
    <sheet name="四年收入支出" sheetId="87" r:id="rId30"/>
    <sheet name="结果表 (配套)" sheetId="80" r:id="rId31"/>
    <sheet name="成本法（配套）" sheetId="68" r:id="rId32"/>
    <sheet name="成本法 (元)" sheetId="69" state="hidden" r:id="rId33"/>
    <sheet name="假设开发法" sheetId="12" state="hidden" r:id="rId34"/>
    <sheet name="收益法 (元)" sheetId="67" state="hidden"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基准地价修正（办公）" sheetId="43" r:id="rId44"/>
    <sheet name="收益法 (配套)" sheetId="77" r:id="rId45"/>
    <sheet name="结果表 (车库)" sheetId="81" r:id="rId46"/>
    <sheet name="成本法（车库）" sheetId="79" r:id="rId47"/>
    <sheet name="收益法 (车库)" sheetId="78"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19" hidden="1">'比较法-住宅'!$A$1:$L$49</definedName>
    <definedName name="_xlnm._FilterDatabase" localSheetId="20" hidden="1">'比较法-住宅（北京高尔夫）'!$A$1:$L$49</definedName>
    <definedName name="_xlnm._FilterDatabase" localSheetId="21" hidden="1">'比较法-住宅（三全）'!$A$1:$L$49</definedName>
    <definedName name="_xlnm._FilterDatabase" localSheetId="22" hidden="1">'比较法-住宅（棕榈泉）'!$A$1:$L$49</definedName>
    <definedName name="_xlnm._FilterDatabase" localSheetId="11" hidden="1">'数据-基础表'!$A$12:$AT$587</definedName>
    <definedName name="_xlnm._FilterDatabase" localSheetId="48"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6">'成本法（车库）'!$A$1:$G$52</definedName>
    <definedName name="_xlnm.Print_Area" localSheetId="8">估价师及机构信息!$A$1:$F$29</definedName>
    <definedName name="_xlnm.Print_Area" localSheetId="25">'基准地价修正（住宅）'!$A$1:$J$39</definedName>
    <definedName name="_xlnm.Print_Area" localSheetId="26">收益法!$A$1:$AK$69</definedName>
    <definedName name="_xlnm.Print_Area" localSheetId="47">'收益法 (车库)'!$A$1:$F$43</definedName>
    <definedName name="_xlnm.Print_Area" localSheetId="44">'收益法 (配套)'!$A$1:$AK$69</definedName>
    <definedName name="_xlnm.Print_Area" localSheetId="34">'收益法 (元)'!$A$1:$AK$69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'基准地价修正（住宅）'!$Q$19:$AD$19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19">'比较法-住宅'!$B$88:$M$88</definedName>
    <definedName name="住宅朝向" localSheetId="20">'比较法-住宅（北京高尔夫）'!$B$88:$M$88</definedName>
    <definedName name="住宅朝向" localSheetId="22">'比较法-住宅（棕榈泉）'!$B$88:$M$88</definedName>
    <definedName name="住宅朝向">'比较法-住宅（三全）'!$B$88:$M$88</definedName>
    <definedName name="住宅房型" localSheetId="19">'比较法-住宅'!$B$118:$M$118</definedName>
    <definedName name="住宅房型" localSheetId="20">'比较法-住宅（北京高尔夫）'!$B$118:$M$118</definedName>
    <definedName name="住宅房型" localSheetId="22">'比较法-住宅（棕榈泉）'!$B$118:$M$118</definedName>
    <definedName name="住宅房型">'比较法-住宅（三全）'!$B$118:$M$118</definedName>
    <definedName name="住宅公共部分装修" localSheetId="19">'比较法-住宅'!$B$109:$M$109</definedName>
    <definedName name="住宅公共部分装修" localSheetId="20">'比较法-住宅（北京高尔夫）'!$B$109:$M$109</definedName>
    <definedName name="住宅公共部分装修" localSheetId="22">'比较法-住宅（棕榈泉）'!$B$109:$M$109</definedName>
    <definedName name="住宅公共部分装修">'比较法-住宅（三全）'!$B$109:$M$109</definedName>
    <definedName name="住宅基础设施水平" localSheetId="19">'比较法-住宅'!$B$116:$M$116</definedName>
    <definedName name="住宅基础设施水平" localSheetId="20">'比较法-住宅（北京高尔夫）'!$B$116:$M$116</definedName>
    <definedName name="住宅基础设施水平" localSheetId="22">'比较法-住宅（棕榈泉）'!$B$116:$M$116</definedName>
    <definedName name="住宅基础设施水平">'比较法-住宅（三全）'!$B$116:$M$116</definedName>
    <definedName name="住宅建筑结构" localSheetId="19">'比较法-住宅'!$B$105:$M$105</definedName>
    <definedName name="住宅建筑结构" localSheetId="20">'比较法-住宅（北京高尔夫）'!$B$105:$M$105</definedName>
    <definedName name="住宅建筑结构" localSheetId="22">'比较法-住宅（棕榈泉）'!$B$105:$M$105</definedName>
    <definedName name="住宅建筑结构">'比较法-住宅（三全）'!$B$105:$M$105</definedName>
    <definedName name="住宅建筑类型" localSheetId="19">'比较法-住宅'!$B$100:$M$100</definedName>
    <definedName name="住宅建筑类型" localSheetId="20">'比较法-住宅（北京高尔夫）'!$B$100:$M$100</definedName>
    <definedName name="住宅建筑类型" localSheetId="22">'比较法-住宅（棕榈泉）'!$B$100:$M$100</definedName>
    <definedName name="住宅建筑类型">'比较法-住宅（三全）'!$B$100:$M$100</definedName>
    <definedName name="住宅建筑品质" localSheetId="19">'比较法-住宅'!$B$107:$M$107</definedName>
    <definedName name="住宅建筑品质" localSheetId="20">'比较法-住宅（北京高尔夫）'!$B$107:$M$107</definedName>
    <definedName name="住宅建筑品质" localSheetId="22">'比较法-住宅（棕榈泉）'!$B$107:$M$107</definedName>
    <definedName name="住宅建筑品质">'比较法-住宅（三全）'!$B$107:$M$107</definedName>
    <definedName name="住宅交易情况" localSheetId="19">'比较法-住宅'!$A$61:$M$61</definedName>
    <definedName name="住宅交易情况" localSheetId="20">'比较法-住宅（北京高尔夫）'!$A$61:$M$61</definedName>
    <definedName name="住宅交易情况" localSheetId="22">'比较法-住宅（棕榈泉）'!$A$61:$M$61</definedName>
    <definedName name="住宅交易情况">'比较法-住宅（三全）'!$A$61:$M$61</definedName>
    <definedName name="住宅楼层" localSheetId="19">'比较法-住宅'!$B$86:$M$86</definedName>
    <definedName name="住宅楼层" localSheetId="20">'比较法-住宅（北京高尔夫）'!$B$86:$M$86</definedName>
    <definedName name="住宅楼层" localSheetId="22">'比较法-住宅（棕榈泉）'!$B$86:$M$86</definedName>
    <definedName name="住宅楼层">'比较法-住宅（三全）'!$B$86:$M$86</definedName>
    <definedName name="住宅内部装修" localSheetId="19">'比较法-住宅'!$B$122:$M$122</definedName>
    <definedName name="住宅内部装修" localSheetId="20">'比较法-住宅（北京高尔夫）'!$B$122:$M$122</definedName>
    <definedName name="住宅内部装修" localSheetId="22">'比较法-住宅（棕榈泉）'!$B$122:$M$122</definedName>
    <definedName name="住宅内部装修">'比较法-住宅（三全）'!$B$122:$M$122</definedName>
    <definedName name="住宅物业管理" localSheetId="19">'比较法-住宅'!$B$114:$M$114</definedName>
    <definedName name="住宅物业管理" localSheetId="20">'比较法-住宅（北京高尔夫）'!$B$114:$M$114</definedName>
    <definedName name="住宅物业管理" localSheetId="22">'比较法-住宅（棕榈泉）'!$B$114:$M$114</definedName>
    <definedName name="住宅物业管理">'比较法-住宅（三全）'!$B$114:$M$114</definedName>
    <definedName name="住宅用途" localSheetId="19">'比较法-住宅'!$B$63:$M$63</definedName>
    <definedName name="住宅用途" localSheetId="20">'比较法-住宅（北京高尔夫）'!$B$63:$M$63</definedName>
    <definedName name="住宅用途" localSheetId="22">'比较法-住宅（棕榈泉）'!$B$63:$M$63</definedName>
    <definedName name="住宅用途">'比较法-住宅（三全）'!$B$63:$M$63</definedName>
    <definedName name="住宅主力户型面积" localSheetId="19">'比较法-住宅'!$B$120:$M$120</definedName>
    <definedName name="住宅主力户型面积" localSheetId="20">'比较法-住宅（北京高尔夫）'!$B$120:$M$120</definedName>
    <definedName name="住宅主力户型面积" localSheetId="22">'比较法-住宅（棕榈泉）'!$B$120:$M$120</definedName>
    <definedName name="住宅主力户型面积">'比较法-住宅（三全）'!$B$120:$M$120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33" i="90" l="1"/>
  <c r="G33" i="90"/>
  <c r="E33" i="90"/>
  <c r="F33" i="90"/>
  <c r="AA33" i="90"/>
  <c r="F26" i="90"/>
  <c r="AA26" i="90"/>
  <c r="R48" i="90"/>
  <c r="H33" i="90"/>
  <c r="AB33" i="90"/>
  <c r="H26" i="90"/>
  <c r="AB26" i="90"/>
  <c r="T48" i="90"/>
  <c r="J33" i="90"/>
  <c r="AC33" i="90"/>
  <c r="J26" i="90"/>
  <c r="AC26" i="90"/>
  <c r="V48" i="90"/>
  <c r="R49" i="90"/>
  <c r="C49" i="90"/>
  <c r="B2" i="90"/>
  <c r="C19" i="9"/>
  <c r="F6" i="15"/>
  <c r="F8" i="15"/>
  <c r="F7" i="15"/>
  <c r="F9" i="15"/>
  <c r="C6" i="15"/>
  <c r="F4" i="73"/>
  <c r="I1" i="73"/>
  <c r="B39" i="1"/>
  <c r="F11" i="15"/>
  <c r="C10" i="15"/>
  <c r="C12"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D19" i="9"/>
  <c r="G19" i="9"/>
  <c r="C32" i="9"/>
  <c r="H118" i="9"/>
  <c r="H4" i="91"/>
  <c r="D4" i="73"/>
  <c r="E20" i="43"/>
  <c r="N28" i="43"/>
  <c r="G20" i="43"/>
  <c r="C20" i="43"/>
  <c r="C37" i="43"/>
  <c r="E37"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8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19" i="80"/>
  <c r="G19" i="80"/>
  <c r="C32" i="80"/>
  <c r="H118" i="80"/>
  <c r="H5" i="91"/>
  <c r="E20" i="82"/>
  <c r="O28" i="82"/>
  <c r="G20" i="82"/>
  <c r="E41" i="82"/>
  <c r="C41" i="82"/>
  <c r="C39" i="82"/>
  <c r="E39" i="82"/>
  <c r="C6" i="79"/>
  <c r="C7" i="79"/>
  <c r="D9" i="79"/>
  <c r="C9" i="79"/>
  <c r="D10" i="79"/>
  <c r="C10" i="79"/>
  <c r="C8" i="79"/>
  <c r="C5" i="79"/>
  <c r="C20" i="79"/>
  <c r="F22" i="79"/>
  <c r="C23" i="79"/>
  <c r="C24" i="79"/>
  <c r="C25" i="79"/>
  <c r="C22" i="79"/>
  <c r="F27" i="79"/>
  <c r="C28" i="79"/>
  <c r="C27" i="79"/>
  <c r="C26" i="79"/>
  <c r="D22" i="79"/>
  <c r="C29" i="79"/>
  <c r="D27" i="79"/>
  <c r="C31" i="79"/>
  <c r="F34" i="79"/>
  <c r="C34" i="79"/>
  <c r="C35" i="79"/>
  <c r="C36" i="79"/>
  <c r="D19" i="79"/>
  <c r="D37" i="79"/>
  <c r="C37" i="79"/>
  <c r="C38" i="79"/>
  <c r="C33" i="79"/>
  <c r="C39" i="79"/>
  <c r="C42" i="79"/>
  <c r="C43" i="79"/>
  <c r="C41" i="79"/>
  <c r="C46" i="79"/>
  <c r="C45" i="79"/>
  <c r="C44" i="79"/>
  <c r="D41" i="79"/>
  <c r="C47" i="79"/>
  <c r="D45" i="79"/>
  <c r="C49" i="79"/>
  <c r="C51" i="79"/>
  <c r="C52" i="79"/>
  <c r="B2" i="79"/>
  <c r="C19" i="81"/>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D19" i="81"/>
  <c r="G19" i="81"/>
  <c r="C32" i="81"/>
  <c r="H118" i="81"/>
  <c r="H6" i="91"/>
  <c r="H7" i="91"/>
  <c r="I7" i="91"/>
  <c r="B3" i="15"/>
  <c r="C76" i="15"/>
  <c r="C75" i="15"/>
  <c r="C80" i="15"/>
  <c r="D35" i="9"/>
  <c r="C35" i="9"/>
  <c r="F118" i="9"/>
  <c r="F4" i="91"/>
  <c r="B3" i="68"/>
  <c r="C57" i="68"/>
  <c r="D35" i="80"/>
  <c r="C35" i="80"/>
  <c r="F118" i="80"/>
  <c r="F5" i="91"/>
  <c r="B3" i="79"/>
  <c r="C57" i="79"/>
  <c r="D35" i="81"/>
  <c r="C35" i="81"/>
  <c r="F118" i="81"/>
  <c r="F6" i="91"/>
  <c r="F7" i="91"/>
  <c r="G7" i="91"/>
  <c r="E7" i="91"/>
  <c r="C34" i="9"/>
  <c r="D118" i="9"/>
  <c r="D4" i="91"/>
  <c r="C34" i="80"/>
  <c r="D118" i="80"/>
  <c r="D5" i="91"/>
  <c r="C34" i="81"/>
  <c r="D118" i="81"/>
  <c r="D6" i="91"/>
  <c r="D7" i="91"/>
  <c r="C7" i="91"/>
  <c r="B7" i="91"/>
  <c r="F8" i="91"/>
  <c r="H8" i="91"/>
  <c r="D8" i="91"/>
  <c r="I118" i="81"/>
  <c r="G118" i="81"/>
  <c r="E118" i="81"/>
  <c r="E6" i="91"/>
  <c r="G6" i="91"/>
  <c r="I6" i="91"/>
  <c r="I118" i="80"/>
  <c r="G118" i="80"/>
  <c r="E118" i="80"/>
  <c r="E5" i="91"/>
  <c r="G5" i="91"/>
  <c r="I5" i="91"/>
  <c r="I118" i="9"/>
  <c r="G118" i="9"/>
  <c r="E118" i="9"/>
  <c r="E4" i="91"/>
  <c r="G4" i="91"/>
  <c r="I4" i="91"/>
  <c r="N3" i="85"/>
  <c r="N151" i="85"/>
  <c r="G156" i="85"/>
  <c r="I154" i="85"/>
  <c r="L7" i="1"/>
  <c r="L6" i="1"/>
  <c r="E47" i="88"/>
  <c r="R47" i="88"/>
  <c r="E7" i="88"/>
  <c r="F7" i="88"/>
  <c r="AA7" i="88"/>
  <c r="E33" i="88"/>
  <c r="F33" i="88"/>
  <c r="AA33" i="88"/>
  <c r="R48" i="88"/>
  <c r="G47" i="88"/>
  <c r="T47" i="88"/>
  <c r="G7" i="88"/>
  <c r="H7" i="88"/>
  <c r="AB7" i="88"/>
  <c r="G33" i="88"/>
  <c r="H33" i="88"/>
  <c r="AB33" i="88"/>
  <c r="T48" i="88"/>
  <c r="I47" i="88"/>
  <c r="V47" i="88"/>
  <c r="I7" i="88"/>
  <c r="J7" i="88"/>
  <c r="AC7" i="88"/>
  <c r="I33" i="88"/>
  <c r="J33" i="88"/>
  <c r="AC33" i="88"/>
  <c r="V48" i="88"/>
  <c r="R49" i="88"/>
  <c r="C48" i="88"/>
  <c r="I47" i="90"/>
  <c r="E47" i="21"/>
  <c r="R47" i="21"/>
  <c r="E7" i="21"/>
  <c r="F7" i="21"/>
  <c r="AA7" i="21"/>
  <c r="E33" i="21"/>
  <c r="F33" i="21"/>
  <c r="AA33" i="21"/>
  <c r="R48" i="21"/>
  <c r="G47" i="21"/>
  <c r="T47" i="21"/>
  <c r="G7" i="21"/>
  <c r="H7" i="21"/>
  <c r="AB7" i="21"/>
  <c r="G33" i="21"/>
  <c r="H33" i="21"/>
  <c r="AB33" i="21"/>
  <c r="T48" i="21"/>
  <c r="I47" i="21"/>
  <c r="V47" i="21"/>
  <c r="I7" i="21"/>
  <c r="J7" i="21"/>
  <c r="AC7" i="21"/>
  <c r="I33" i="21"/>
  <c r="J33" i="21"/>
  <c r="AC33" i="21"/>
  <c r="V48" i="21"/>
  <c r="R49" i="21"/>
  <c r="C48" i="21"/>
  <c r="G47" i="90"/>
  <c r="J7" i="89"/>
  <c r="AC7" i="89"/>
  <c r="I47" i="89"/>
  <c r="V47" i="89"/>
  <c r="I33" i="89"/>
  <c r="J33" i="89"/>
  <c r="AC33" i="89"/>
  <c r="V48" i="89"/>
  <c r="E47" i="89"/>
  <c r="R47" i="89"/>
  <c r="E7" i="89"/>
  <c r="F7" i="89"/>
  <c r="AA7" i="89"/>
  <c r="E33" i="89"/>
  <c r="F33" i="89"/>
  <c r="AA33" i="89"/>
  <c r="R48" i="89"/>
  <c r="G47" i="89"/>
  <c r="T47" i="89"/>
  <c r="G7" i="89"/>
  <c r="H7" i="89"/>
  <c r="AB7" i="89"/>
  <c r="G33" i="89"/>
  <c r="H33" i="89"/>
  <c r="AB33" i="89"/>
  <c r="T48" i="89"/>
  <c r="R49" i="89"/>
  <c r="C48" i="89"/>
  <c r="E47" i="90"/>
  <c r="C37" i="90"/>
  <c r="I7" i="90"/>
  <c r="G7" i="90"/>
  <c r="E7" i="90"/>
  <c r="J140" i="90"/>
  <c r="C145" i="90"/>
  <c r="K139" i="90"/>
  <c r="K145" i="90"/>
  <c r="K144" i="90"/>
  <c r="K143" i="90"/>
  <c r="J142" i="90"/>
  <c r="K141" i="90"/>
  <c r="B130" i="90"/>
  <c r="B128" i="90"/>
  <c r="B126" i="90"/>
  <c r="D125" i="90"/>
  <c r="E125" i="90"/>
  <c r="F125" i="90"/>
  <c r="G125" i="90"/>
  <c r="D123" i="90"/>
  <c r="E123" i="90"/>
  <c r="F123" i="90"/>
  <c r="G123" i="90"/>
  <c r="H123" i="90"/>
  <c r="I123" i="90"/>
  <c r="J123" i="90"/>
  <c r="K123" i="90"/>
  <c r="L123" i="90"/>
  <c r="M123" i="90"/>
  <c r="D119" i="90"/>
  <c r="E119" i="90"/>
  <c r="F119" i="90"/>
  <c r="G119" i="90"/>
  <c r="H119" i="90"/>
  <c r="I119" i="90"/>
  <c r="J119" i="90"/>
  <c r="K119" i="90"/>
  <c r="L119" i="90"/>
  <c r="M119" i="90"/>
  <c r="D117" i="90"/>
  <c r="E117" i="90"/>
  <c r="F117" i="90"/>
  <c r="G117" i="90"/>
  <c r="D115" i="90"/>
  <c r="E115" i="90"/>
  <c r="F115" i="90"/>
  <c r="G115" i="90"/>
  <c r="H115" i="90"/>
  <c r="I115" i="90"/>
  <c r="J115" i="90"/>
  <c r="K115" i="90"/>
  <c r="L115" i="90"/>
  <c r="M115" i="90"/>
  <c r="D113" i="90"/>
  <c r="E113" i="90"/>
  <c r="F113" i="90"/>
  <c r="G113" i="90"/>
  <c r="H113" i="90"/>
  <c r="H111" i="90"/>
  <c r="G111" i="90"/>
  <c r="F111" i="90"/>
  <c r="E111" i="90"/>
  <c r="D111" i="90"/>
  <c r="C111" i="90"/>
  <c r="D110" i="90"/>
  <c r="E110" i="90"/>
  <c r="F110" i="90"/>
  <c r="G110" i="90"/>
  <c r="H110" i="90"/>
  <c r="I110" i="90"/>
  <c r="J110" i="90"/>
  <c r="K110" i="90"/>
  <c r="L110" i="90"/>
  <c r="M110" i="90"/>
  <c r="D108" i="90"/>
  <c r="E108" i="90"/>
  <c r="F108" i="90"/>
  <c r="G108" i="90"/>
  <c r="H108" i="90"/>
  <c r="I108" i="90"/>
  <c r="J108" i="90"/>
  <c r="K108" i="90"/>
  <c r="L108" i="90"/>
  <c r="M108" i="90"/>
  <c r="D106" i="90"/>
  <c r="E106" i="90"/>
  <c r="F106" i="90"/>
  <c r="G106" i="90"/>
  <c r="H106" i="90"/>
  <c r="I106" i="90"/>
  <c r="J106" i="90"/>
  <c r="K106" i="90"/>
  <c r="L106" i="90"/>
  <c r="M106" i="90"/>
  <c r="M102" i="90"/>
  <c r="L102" i="90"/>
  <c r="K102" i="90"/>
  <c r="J102" i="90"/>
  <c r="I102" i="90"/>
  <c r="H102" i="90"/>
  <c r="G102" i="90"/>
  <c r="F102" i="90"/>
  <c r="E102" i="90"/>
  <c r="D102" i="90"/>
  <c r="C102" i="90"/>
  <c r="D101" i="90"/>
  <c r="E101" i="90"/>
  <c r="F101" i="90"/>
  <c r="G101" i="90"/>
  <c r="H101" i="90"/>
  <c r="I101" i="90"/>
  <c r="J101" i="90"/>
  <c r="K101" i="90"/>
  <c r="L101" i="90"/>
  <c r="M101" i="90"/>
  <c r="B98" i="90"/>
  <c r="B96" i="90"/>
  <c r="B94" i="90"/>
  <c r="B92" i="90"/>
  <c r="B90" i="90"/>
  <c r="D89" i="90"/>
  <c r="E89" i="90"/>
  <c r="F89" i="90"/>
  <c r="G89" i="90"/>
  <c r="H89" i="90"/>
  <c r="I89" i="90"/>
  <c r="J89" i="90"/>
  <c r="K89" i="90"/>
  <c r="L89" i="90"/>
  <c r="M89" i="90"/>
  <c r="M87" i="90"/>
  <c r="L87" i="90"/>
  <c r="K87" i="90"/>
  <c r="J87" i="90"/>
  <c r="I87" i="90"/>
  <c r="H87" i="90"/>
  <c r="G87" i="90"/>
  <c r="F87" i="90"/>
  <c r="E87" i="90"/>
  <c r="D87" i="90"/>
  <c r="D85" i="90"/>
  <c r="E85" i="90"/>
  <c r="F85" i="90"/>
  <c r="G85" i="90"/>
  <c r="D83" i="90"/>
  <c r="E83" i="90"/>
  <c r="F83" i="90"/>
  <c r="G83" i="90"/>
  <c r="D81" i="90"/>
  <c r="E81" i="90"/>
  <c r="F81" i="90"/>
  <c r="G81" i="90"/>
  <c r="D79" i="90"/>
  <c r="E79" i="90"/>
  <c r="F79" i="90"/>
  <c r="G79" i="90"/>
  <c r="D77" i="90"/>
  <c r="E77" i="90"/>
  <c r="F77" i="90"/>
  <c r="G77" i="90"/>
  <c r="B74" i="90"/>
  <c r="B72" i="90"/>
  <c r="B70" i="90"/>
  <c r="D69" i="90"/>
  <c r="E69" i="90"/>
  <c r="F69" i="90"/>
  <c r="G69" i="90"/>
  <c r="H69" i="90"/>
  <c r="I69" i="90"/>
  <c r="J69" i="90"/>
  <c r="K69" i="90"/>
  <c r="L69" i="90"/>
  <c r="M69" i="90"/>
  <c r="M67" i="90"/>
  <c r="L67" i="90"/>
  <c r="K67" i="90"/>
  <c r="J67" i="90"/>
  <c r="I67" i="90"/>
  <c r="H67" i="90"/>
  <c r="G67" i="90"/>
  <c r="F67" i="90"/>
  <c r="E67" i="90"/>
  <c r="D67" i="90"/>
  <c r="C67" i="90"/>
  <c r="D66" i="90"/>
  <c r="E66" i="90"/>
  <c r="F66" i="90"/>
  <c r="G66" i="90"/>
  <c r="H66" i="90"/>
  <c r="I66" i="90"/>
  <c r="C63" i="90"/>
  <c r="D59" i="90"/>
  <c r="E59" i="90"/>
  <c r="F59" i="90"/>
  <c r="G59" i="90"/>
  <c r="H59" i="90"/>
  <c r="I59" i="90"/>
  <c r="J59" i="90"/>
  <c r="K59" i="90"/>
  <c r="L59" i="90"/>
  <c r="M59" i="90"/>
  <c r="N59" i="90"/>
  <c r="O59" i="90"/>
  <c r="C7" i="90"/>
  <c r="C58" i="90"/>
  <c r="D58" i="90"/>
  <c r="E58" i="90"/>
  <c r="F58" i="90"/>
  <c r="G58" i="90"/>
  <c r="H58" i="90"/>
  <c r="I58" i="90"/>
  <c r="J58" i="90"/>
  <c r="K58" i="90"/>
  <c r="L58" i="90"/>
  <c r="M58" i="90"/>
  <c r="N58" i="90"/>
  <c r="O58" i="90"/>
  <c r="I54" i="90"/>
  <c r="J54" i="90"/>
  <c r="G54" i="90"/>
  <c r="H54" i="90"/>
  <c r="E54" i="90"/>
  <c r="F54" i="90"/>
  <c r="V47" i="90"/>
  <c r="J7" i="90"/>
  <c r="AC7" i="90"/>
  <c r="J17" i="90"/>
  <c r="AC17" i="90"/>
  <c r="J28" i="90"/>
  <c r="AC28" i="90"/>
  <c r="J29" i="90"/>
  <c r="AC29" i="90"/>
  <c r="J30" i="90"/>
  <c r="AC30" i="90"/>
  <c r="J31" i="90"/>
  <c r="AC31" i="90"/>
  <c r="J27" i="90"/>
  <c r="AC27" i="90"/>
  <c r="J32" i="90"/>
  <c r="AC32" i="90"/>
  <c r="J38" i="90"/>
  <c r="AC38" i="90"/>
  <c r="J35" i="90"/>
  <c r="AC35" i="90"/>
  <c r="J34" i="90"/>
  <c r="AC34" i="90"/>
  <c r="J36" i="90"/>
  <c r="AC36" i="90"/>
  <c r="J39" i="90"/>
  <c r="AC39" i="90"/>
  <c r="J43" i="90"/>
  <c r="AC43" i="90"/>
  <c r="J40" i="90"/>
  <c r="AC40" i="90"/>
  <c r="J37" i="90"/>
  <c r="AC37" i="90"/>
  <c r="I48" i="90"/>
  <c r="R47" i="90"/>
  <c r="F7" i="90"/>
  <c r="AA7" i="90"/>
  <c r="F8" i="90"/>
  <c r="AA8" i="90"/>
  <c r="F9" i="90"/>
  <c r="AA9" i="90"/>
  <c r="F10" i="90"/>
  <c r="AA10" i="90"/>
  <c r="F11" i="90"/>
  <c r="AA11" i="90"/>
  <c r="F12" i="90"/>
  <c r="AA12" i="90"/>
  <c r="F13" i="90"/>
  <c r="AA13" i="90"/>
  <c r="F14" i="90"/>
  <c r="AA14" i="90"/>
  <c r="F15" i="90"/>
  <c r="AA15" i="90"/>
  <c r="F17" i="90"/>
  <c r="AA17" i="90"/>
  <c r="F19" i="90"/>
  <c r="AA19" i="90"/>
  <c r="F21" i="90"/>
  <c r="AA21" i="90"/>
  <c r="F23" i="90"/>
  <c r="AA23" i="90"/>
  <c r="F25" i="90"/>
  <c r="AA25" i="90"/>
  <c r="F27" i="90"/>
  <c r="AA27" i="90"/>
  <c r="F28" i="90"/>
  <c r="AA28" i="90"/>
  <c r="F29" i="90"/>
  <c r="AA29" i="90"/>
  <c r="F30" i="90"/>
  <c r="AA30" i="90"/>
  <c r="F31" i="90"/>
  <c r="AA31" i="90"/>
  <c r="F32" i="90"/>
  <c r="AA32" i="90"/>
  <c r="F34" i="90"/>
  <c r="AA34" i="90"/>
  <c r="F35" i="90"/>
  <c r="AA35" i="90"/>
  <c r="F36" i="90"/>
  <c r="AA36" i="90"/>
  <c r="F37" i="90"/>
  <c r="AA37" i="90"/>
  <c r="F38" i="90"/>
  <c r="AA38" i="90"/>
  <c r="F39" i="90"/>
  <c r="AA39" i="90"/>
  <c r="F40" i="90"/>
  <c r="AA40" i="90"/>
  <c r="F41" i="90"/>
  <c r="AA41" i="90"/>
  <c r="F42" i="90"/>
  <c r="AA42" i="90"/>
  <c r="F43" i="90"/>
  <c r="AA43" i="90"/>
  <c r="F44" i="90"/>
  <c r="AA44" i="90"/>
  <c r="F45" i="90"/>
  <c r="AA45" i="90"/>
  <c r="F46" i="90"/>
  <c r="AA46" i="90"/>
  <c r="E48" i="90"/>
  <c r="I53" i="90"/>
  <c r="J53" i="90"/>
  <c r="T47" i="90"/>
  <c r="H7" i="90"/>
  <c r="AB7" i="90"/>
  <c r="H8" i="90"/>
  <c r="AB8" i="90"/>
  <c r="H9" i="90"/>
  <c r="AB9" i="90"/>
  <c r="H10" i="90"/>
  <c r="AB10" i="90"/>
  <c r="H11" i="90"/>
  <c r="AB11" i="90"/>
  <c r="H12" i="90"/>
  <c r="AB12" i="90"/>
  <c r="H13" i="90"/>
  <c r="AB13" i="90"/>
  <c r="H14" i="90"/>
  <c r="AB14" i="90"/>
  <c r="H15" i="90"/>
  <c r="AB15" i="90"/>
  <c r="H17" i="90"/>
  <c r="AB17" i="90"/>
  <c r="H19" i="90"/>
  <c r="AB19" i="90"/>
  <c r="H21" i="90"/>
  <c r="AB21" i="90"/>
  <c r="H23" i="90"/>
  <c r="AB23" i="90"/>
  <c r="H25" i="90"/>
  <c r="AB25" i="90"/>
  <c r="H27" i="90"/>
  <c r="AB27" i="90"/>
  <c r="H28" i="90"/>
  <c r="AB28" i="90"/>
  <c r="H29" i="90"/>
  <c r="AB29" i="90"/>
  <c r="H30" i="90"/>
  <c r="AB30" i="90"/>
  <c r="H31" i="90"/>
  <c r="AB31" i="90"/>
  <c r="H32" i="90"/>
  <c r="AB32" i="90"/>
  <c r="H34" i="90"/>
  <c r="AB34" i="90"/>
  <c r="H35" i="90"/>
  <c r="AB35" i="90"/>
  <c r="H36" i="90"/>
  <c r="AB36" i="90"/>
  <c r="H37" i="90"/>
  <c r="AB37" i="90"/>
  <c r="H38" i="90"/>
  <c r="AB38" i="90"/>
  <c r="H39" i="90"/>
  <c r="AB39" i="90"/>
  <c r="H40" i="90"/>
  <c r="AB40" i="90"/>
  <c r="H41" i="90"/>
  <c r="AB41" i="90"/>
  <c r="H42" i="90"/>
  <c r="AB42" i="90"/>
  <c r="H43" i="90"/>
  <c r="AB43" i="90"/>
  <c r="H44" i="90"/>
  <c r="AB44" i="90"/>
  <c r="H45" i="90"/>
  <c r="AB45" i="90"/>
  <c r="H46" i="90"/>
  <c r="AB46" i="90"/>
  <c r="G48" i="90"/>
  <c r="G53" i="90"/>
  <c r="H53" i="90"/>
  <c r="E53" i="90"/>
  <c r="F53" i="90"/>
  <c r="I52" i="90"/>
  <c r="J52" i="90"/>
  <c r="G52" i="90"/>
  <c r="H52" i="90"/>
  <c r="E52" i="90"/>
  <c r="F52" i="90"/>
  <c r="P49" i="90"/>
  <c r="P48" i="90"/>
  <c r="C48" i="90"/>
  <c r="P47" i="90"/>
  <c r="J46" i="90"/>
  <c r="AC46" i="90"/>
  <c r="Q46" i="90"/>
  <c r="Z46" i="90"/>
  <c r="W46" i="90"/>
  <c r="U46" i="90"/>
  <c r="S46" i="90"/>
  <c r="J45" i="90"/>
  <c r="AC45" i="90"/>
  <c r="Q45" i="90"/>
  <c r="Z45" i="90"/>
  <c r="W45" i="90"/>
  <c r="U45" i="90"/>
  <c r="S45" i="90"/>
  <c r="J44" i="90"/>
  <c r="AC44" i="90"/>
  <c r="Q44" i="90"/>
  <c r="Z44" i="90"/>
  <c r="W44" i="90"/>
  <c r="U44" i="90"/>
  <c r="S44" i="90"/>
  <c r="Q43" i="90"/>
  <c r="Z43" i="90"/>
  <c r="W43" i="90"/>
  <c r="U43" i="90"/>
  <c r="S43" i="90"/>
  <c r="J42" i="90"/>
  <c r="AC42" i="90"/>
  <c r="Q42" i="90"/>
  <c r="Z42" i="90"/>
  <c r="W42" i="90"/>
  <c r="U42" i="90"/>
  <c r="S42" i="90"/>
  <c r="J41" i="90"/>
  <c r="AC41" i="90"/>
  <c r="Q41" i="90"/>
  <c r="Z41" i="90"/>
  <c r="W41" i="90"/>
  <c r="U41" i="90"/>
  <c r="S41" i="90"/>
  <c r="Q40" i="90"/>
  <c r="Z40" i="90"/>
  <c r="W40" i="90"/>
  <c r="U40" i="90"/>
  <c r="S40" i="90"/>
  <c r="Q39" i="90"/>
  <c r="Z39" i="90"/>
  <c r="W39" i="90"/>
  <c r="U39" i="90"/>
  <c r="S39" i="90"/>
  <c r="Q38" i="90"/>
  <c r="Z38" i="90"/>
  <c r="W38" i="90"/>
  <c r="U38" i="90"/>
  <c r="S38" i="90"/>
  <c r="Q37" i="90"/>
  <c r="Z37" i="90"/>
  <c r="W37" i="90"/>
  <c r="U37" i="90"/>
  <c r="S37" i="90"/>
  <c r="Q36" i="90"/>
  <c r="Z36" i="90"/>
  <c r="W36" i="90"/>
  <c r="U36" i="90"/>
  <c r="S36" i="90"/>
  <c r="Q35" i="90"/>
  <c r="Z35" i="90"/>
  <c r="W35" i="90"/>
  <c r="U35" i="90"/>
  <c r="S35" i="90"/>
  <c r="Q34" i="90"/>
  <c r="Z34" i="90"/>
  <c r="W34" i="90"/>
  <c r="U34" i="90"/>
  <c r="S34" i="90"/>
  <c r="Q33" i="90"/>
  <c r="Z33" i="90"/>
  <c r="W33" i="90"/>
  <c r="U33" i="90"/>
  <c r="S33" i="90"/>
  <c r="Q32" i="90"/>
  <c r="Z32" i="90"/>
  <c r="W32" i="90"/>
  <c r="U32" i="90"/>
  <c r="S32" i="90"/>
  <c r="Q31" i="90"/>
  <c r="Z31" i="90"/>
  <c r="W31" i="90"/>
  <c r="U31" i="90"/>
  <c r="S31" i="90"/>
  <c r="Q30" i="90"/>
  <c r="Z30" i="90"/>
  <c r="W30" i="90"/>
  <c r="U30" i="90"/>
  <c r="S30" i="90"/>
  <c r="Q29" i="90"/>
  <c r="Z29" i="90"/>
  <c r="W29" i="90"/>
  <c r="U29" i="90"/>
  <c r="S29" i="90"/>
  <c r="Q28" i="90"/>
  <c r="Z28" i="90"/>
  <c r="W28" i="90"/>
  <c r="U28" i="90"/>
  <c r="S28" i="90"/>
  <c r="Q27" i="90"/>
  <c r="Z27" i="90"/>
  <c r="W27" i="90"/>
  <c r="U27" i="90"/>
  <c r="S27" i="90"/>
  <c r="Q26" i="90"/>
  <c r="Z26" i="90"/>
  <c r="W26" i="90"/>
  <c r="U26" i="90"/>
  <c r="S26" i="90"/>
  <c r="J25" i="90"/>
  <c r="AC25" i="90"/>
  <c r="Q25" i="90"/>
  <c r="Z25" i="90"/>
  <c r="W25" i="90"/>
  <c r="U25" i="90"/>
  <c r="S25" i="90"/>
  <c r="J23" i="90"/>
  <c r="AC23" i="90"/>
  <c r="Q23" i="90"/>
  <c r="Z23" i="90"/>
  <c r="W23" i="90"/>
  <c r="U23" i="90"/>
  <c r="S23" i="90"/>
  <c r="C23" i="90"/>
  <c r="J21" i="90"/>
  <c r="AC21" i="90"/>
  <c r="Q21" i="90"/>
  <c r="Z21" i="90"/>
  <c r="W21" i="90"/>
  <c r="U21" i="90"/>
  <c r="S21" i="90"/>
  <c r="C21" i="90"/>
  <c r="J19" i="90"/>
  <c r="AC19" i="90"/>
  <c r="Q19" i="90"/>
  <c r="Z19" i="90"/>
  <c r="W19" i="90"/>
  <c r="U19" i="90"/>
  <c r="S19" i="90"/>
  <c r="C19" i="90"/>
  <c r="Q17" i="90"/>
  <c r="Z17" i="90"/>
  <c r="W17" i="90"/>
  <c r="U17" i="90"/>
  <c r="S17" i="90"/>
  <c r="C17" i="90"/>
  <c r="J15" i="90"/>
  <c r="AC15" i="90"/>
  <c r="Q15" i="90"/>
  <c r="Z15" i="90"/>
  <c r="W15" i="90"/>
  <c r="U15" i="90"/>
  <c r="S15" i="90"/>
  <c r="C15" i="90"/>
  <c r="J14" i="90"/>
  <c r="AC14" i="90"/>
  <c r="Q14" i="90"/>
  <c r="Z14" i="90"/>
  <c r="W14" i="90"/>
  <c r="U14" i="90"/>
  <c r="S14" i="90"/>
  <c r="J13" i="90"/>
  <c r="AC13" i="90"/>
  <c r="Q13" i="90"/>
  <c r="Z13" i="90"/>
  <c r="W13" i="90"/>
  <c r="U13" i="90"/>
  <c r="S13" i="90"/>
  <c r="J12" i="90"/>
  <c r="AC12" i="90"/>
  <c r="Q12" i="90"/>
  <c r="Z12" i="90"/>
  <c r="W12" i="90"/>
  <c r="U12" i="90"/>
  <c r="S12" i="90"/>
  <c r="J11" i="90"/>
  <c r="AC11" i="90"/>
  <c r="Q11" i="90"/>
  <c r="Z11" i="90"/>
  <c r="W11" i="90"/>
  <c r="U11" i="90"/>
  <c r="S11" i="90"/>
  <c r="J10" i="90"/>
  <c r="AC10" i="90"/>
  <c r="Q10" i="90"/>
  <c r="Z10" i="90"/>
  <c r="W10" i="90"/>
  <c r="U10" i="90"/>
  <c r="S10" i="90"/>
  <c r="J9" i="90"/>
  <c r="AC9" i="90"/>
  <c r="Q9" i="90"/>
  <c r="Z9" i="90"/>
  <c r="W9" i="90"/>
  <c r="U9" i="90"/>
  <c r="S9" i="90"/>
  <c r="J8" i="90"/>
  <c r="AC8" i="90"/>
  <c r="W8" i="90"/>
  <c r="U8" i="90"/>
  <c r="S8" i="90"/>
  <c r="W7" i="90"/>
  <c r="U7" i="90"/>
  <c r="S7" i="90"/>
  <c r="D3" i="90"/>
  <c r="B3" i="90"/>
  <c r="D2" i="90"/>
  <c r="J140" i="89"/>
  <c r="C145" i="89"/>
  <c r="K139" i="89"/>
  <c r="K145" i="89"/>
  <c r="K144" i="89"/>
  <c r="K143" i="89"/>
  <c r="J142" i="89"/>
  <c r="K141" i="89"/>
  <c r="B130" i="89"/>
  <c r="B128" i="89"/>
  <c r="B126" i="89"/>
  <c r="D125" i="89"/>
  <c r="E125" i="89"/>
  <c r="F125" i="89"/>
  <c r="G125" i="89"/>
  <c r="D123" i="89"/>
  <c r="E123" i="89"/>
  <c r="F123" i="89"/>
  <c r="G123" i="89"/>
  <c r="H123" i="89"/>
  <c r="I123" i="89"/>
  <c r="J123" i="89"/>
  <c r="K123" i="89"/>
  <c r="L123" i="89"/>
  <c r="M123" i="89"/>
  <c r="D119" i="89"/>
  <c r="E119" i="89"/>
  <c r="F119" i="89"/>
  <c r="G119" i="89"/>
  <c r="H119" i="89"/>
  <c r="I119" i="89"/>
  <c r="J119" i="89"/>
  <c r="K119" i="89"/>
  <c r="L119" i="89"/>
  <c r="M119" i="89"/>
  <c r="D117" i="89"/>
  <c r="E117" i="89"/>
  <c r="F117" i="89"/>
  <c r="G117" i="89"/>
  <c r="D115" i="89"/>
  <c r="E115" i="89"/>
  <c r="F115" i="89"/>
  <c r="G115" i="89"/>
  <c r="H115" i="89"/>
  <c r="I115" i="89"/>
  <c r="J115" i="89"/>
  <c r="K115" i="89"/>
  <c r="L115" i="89"/>
  <c r="M115" i="89"/>
  <c r="D113" i="89"/>
  <c r="E113" i="89"/>
  <c r="F113" i="89"/>
  <c r="G113" i="89"/>
  <c r="H113" i="89"/>
  <c r="H111" i="89"/>
  <c r="G111" i="89"/>
  <c r="F111" i="89"/>
  <c r="E111" i="89"/>
  <c r="D111" i="89"/>
  <c r="C111" i="89"/>
  <c r="D110" i="89"/>
  <c r="E110" i="89"/>
  <c r="F110" i="89"/>
  <c r="G110" i="89"/>
  <c r="H110" i="89"/>
  <c r="I110" i="89"/>
  <c r="J110" i="89"/>
  <c r="K110" i="89"/>
  <c r="L110" i="89"/>
  <c r="M110" i="89"/>
  <c r="D108" i="89"/>
  <c r="E108" i="89"/>
  <c r="F108" i="89"/>
  <c r="G108" i="89"/>
  <c r="H108" i="89"/>
  <c r="I108" i="89"/>
  <c r="J108" i="89"/>
  <c r="K108" i="89"/>
  <c r="L108" i="89"/>
  <c r="M108" i="89"/>
  <c r="D106" i="89"/>
  <c r="E106" i="89"/>
  <c r="F106" i="89"/>
  <c r="G106" i="89"/>
  <c r="H106" i="89"/>
  <c r="I106" i="89"/>
  <c r="J106" i="89"/>
  <c r="K106" i="89"/>
  <c r="L106" i="89"/>
  <c r="M106" i="89"/>
  <c r="M102" i="89"/>
  <c r="L102" i="89"/>
  <c r="K102" i="89"/>
  <c r="J102" i="89"/>
  <c r="I102" i="89"/>
  <c r="H102" i="89"/>
  <c r="G102" i="89"/>
  <c r="F102" i="89"/>
  <c r="E102" i="89"/>
  <c r="D102" i="89"/>
  <c r="C102" i="89"/>
  <c r="D101" i="89"/>
  <c r="E101" i="89"/>
  <c r="F101" i="89"/>
  <c r="G101" i="89"/>
  <c r="H101" i="89"/>
  <c r="I101" i="89"/>
  <c r="J101" i="89"/>
  <c r="K101" i="89"/>
  <c r="L101" i="89"/>
  <c r="M101" i="89"/>
  <c r="B98" i="89"/>
  <c r="B96" i="89"/>
  <c r="B94" i="89"/>
  <c r="B92" i="89"/>
  <c r="B90" i="89"/>
  <c r="D89" i="89"/>
  <c r="E89" i="89"/>
  <c r="F89" i="89"/>
  <c r="G89" i="89"/>
  <c r="H89" i="89"/>
  <c r="I89" i="89"/>
  <c r="J89" i="89"/>
  <c r="K89" i="89"/>
  <c r="L89" i="89"/>
  <c r="M89" i="89"/>
  <c r="M87" i="89"/>
  <c r="L87" i="89"/>
  <c r="K87" i="89"/>
  <c r="J87" i="89"/>
  <c r="I87" i="89"/>
  <c r="H87" i="89"/>
  <c r="G87" i="89"/>
  <c r="F87" i="89"/>
  <c r="E87" i="89"/>
  <c r="D87" i="89"/>
  <c r="D85" i="89"/>
  <c r="E85" i="89"/>
  <c r="F85" i="89"/>
  <c r="G85" i="89"/>
  <c r="D83" i="89"/>
  <c r="E83" i="89"/>
  <c r="F83" i="89"/>
  <c r="G83" i="89"/>
  <c r="D81" i="89"/>
  <c r="E81" i="89"/>
  <c r="F81" i="89"/>
  <c r="G81" i="89"/>
  <c r="D79" i="89"/>
  <c r="E79" i="89"/>
  <c r="F79" i="89"/>
  <c r="G79" i="89"/>
  <c r="D77" i="89"/>
  <c r="E77" i="89"/>
  <c r="F77" i="89"/>
  <c r="G77" i="89"/>
  <c r="B74" i="89"/>
  <c r="B72" i="89"/>
  <c r="B70" i="89"/>
  <c r="D69" i="89"/>
  <c r="E69" i="89"/>
  <c r="F69" i="89"/>
  <c r="G69" i="89"/>
  <c r="H69" i="89"/>
  <c r="I69" i="89"/>
  <c r="J69" i="89"/>
  <c r="K69" i="89"/>
  <c r="L69" i="89"/>
  <c r="M69" i="89"/>
  <c r="M67" i="89"/>
  <c r="L67" i="89"/>
  <c r="K67" i="89"/>
  <c r="J67" i="89"/>
  <c r="I67" i="89"/>
  <c r="H67" i="89"/>
  <c r="G67" i="89"/>
  <c r="F67" i="89"/>
  <c r="E67" i="89"/>
  <c r="D67" i="89"/>
  <c r="C67" i="89"/>
  <c r="D66" i="89"/>
  <c r="E66" i="89"/>
  <c r="F66" i="89"/>
  <c r="G66" i="89"/>
  <c r="H66" i="89"/>
  <c r="I66" i="89"/>
  <c r="C63" i="89"/>
  <c r="D59" i="89"/>
  <c r="E59" i="89"/>
  <c r="F59" i="89"/>
  <c r="G59" i="89"/>
  <c r="H59" i="89"/>
  <c r="I59" i="89"/>
  <c r="J59" i="89"/>
  <c r="K59" i="89"/>
  <c r="L59" i="89"/>
  <c r="M59" i="89"/>
  <c r="N59" i="89"/>
  <c r="O59" i="89"/>
  <c r="C7" i="89"/>
  <c r="C58" i="89"/>
  <c r="D58" i="89"/>
  <c r="E58" i="89"/>
  <c r="F58" i="89"/>
  <c r="G58" i="89"/>
  <c r="H58" i="89"/>
  <c r="I58" i="89"/>
  <c r="J58" i="89"/>
  <c r="K58" i="89"/>
  <c r="L58" i="89"/>
  <c r="M58" i="89"/>
  <c r="N58" i="89"/>
  <c r="O58" i="89"/>
  <c r="I54" i="89"/>
  <c r="J54" i="89"/>
  <c r="G54" i="89"/>
  <c r="H54" i="89"/>
  <c r="E54" i="89"/>
  <c r="F54" i="89"/>
  <c r="J8" i="89"/>
  <c r="AC8" i="89"/>
  <c r="J9" i="89"/>
  <c r="AC9" i="89"/>
  <c r="J10" i="89"/>
  <c r="AC10" i="89"/>
  <c r="J11" i="89"/>
  <c r="AC11" i="89"/>
  <c r="J12" i="89"/>
  <c r="AC12" i="89"/>
  <c r="J13" i="89"/>
  <c r="AC13" i="89"/>
  <c r="J14" i="89"/>
  <c r="AC14" i="89"/>
  <c r="J15" i="89"/>
  <c r="AC15" i="89"/>
  <c r="J17" i="89"/>
  <c r="AC17" i="89"/>
  <c r="J19" i="89"/>
  <c r="AC19" i="89"/>
  <c r="J21" i="89"/>
  <c r="AC21" i="89"/>
  <c r="J23" i="89"/>
  <c r="AC23" i="89"/>
  <c r="J25" i="89"/>
  <c r="AC25" i="89"/>
  <c r="J26" i="89"/>
  <c r="AC26" i="89"/>
  <c r="J27" i="89"/>
  <c r="AC27" i="89"/>
  <c r="J28" i="89"/>
  <c r="AC28" i="89"/>
  <c r="J29" i="89"/>
  <c r="AC29" i="89"/>
  <c r="J30" i="89"/>
  <c r="AC30" i="89"/>
  <c r="J31" i="89"/>
  <c r="AC31" i="89"/>
  <c r="J32" i="89"/>
  <c r="AC32" i="89"/>
  <c r="J34" i="89"/>
  <c r="AC34" i="89"/>
  <c r="J35" i="89"/>
  <c r="AC35" i="89"/>
  <c r="J36" i="89"/>
  <c r="AC36" i="89"/>
  <c r="I37" i="89"/>
  <c r="J37" i="89"/>
  <c r="AC37" i="89"/>
  <c r="J38" i="89"/>
  <c r="AC38" i="89"/>
  <c r="J39" i="89"/>
  <c r="AC39" i="89"/>
  <c r="J40" i="89"/>
  <c r="AC40" i="89"/>
  <c r="J41" i="89"/>
  <c r="AC41" i="89"/>
  <c r="J42" i="89"/>
  <c r="AC42" i="89"/>
  <c r="J43" i="89"/>
  <c r="AC43" i="89"/>
  <c r="J44" i="89"/>
  <c r="AC44" i="89"/>
  <c r="J45" i="89"/>
  <c r="AC45" i="89"/>
  <c r="J46" i="89"/>
  <c r="AC46" i="89"/>
  <c r="I48" i="89"/>
  <c r="F8" i="89"/>
  <c r="AA8" i="89"/>
  <c r="F9" i="89"/>
  <c r="AA9" i="89"/>
  <c r="F10" i="89"/>
  <c r="AA10" i="89"/>
  <c r="F11" i="89"/>
  <c r="AA11" i="89"/>
  <c r="F12" i="89"/>
  <c r="AA12" i="89"/>
  <c r="F13" i="89"/>
  <c r="AA13" i="89"/>
  <c r="F14" i="89"/>
  <c r="AA14" i="89"/>
  <c r="F15" i="89"/>
  <c r="AA15" i="89"/>
  <c r="F17" i="89"/>
  <c r="AA17" i="89"/>
  <c r="F19" i="89"/>
  <c r="AA19" i="89"/>
  <c r="F21" i="89"/>
  <c r="AA21" i="89"/>
  <c r="F23" i="89"/>
  <c r="AA23" i="89"/>
  <c r="F25" i="89"/>
  <c r="AA25" i="89"/>
  <c r="F26" i="89"/>
  <c r="AA26" i="89"/>
  <c r="F27" i="89"/>
  <c r="AA27" i="89"/>
  <c r="F28" i="89"/>
  <c r="AA28" i="89"/>
  <c r="F29" i="89"/>
  <c r="AA29" i="89"/>
  <c r="F30" i="89"/>
  <c r="AA30" i="89"/>
  <c r="F31" i="89"/>
  <c r="AA31" i="89"/>
  <c r="F32" i="89"/>
  <c r="AA32" i="89"/>
  <c r="F34" i="89"/>
  <c r="AA34" i="89"/>
  <c r="F35" i="89"/>
  <c r="AA35" i="89"/>
  <c r="F36" i="89"/>
  <c r="AA36" i="89"/>
  <c r="E37" i="89"/>
  <c r="F37" i="89"/>
  <c r="AA37" i="89"/>
  <c r="F38" i="89"/>
  <c r="AA38" i="89"/>
  <c r="F39" i="89"/>
  <c r="AA39" i="89"/>
  <c r="F40" i="89"/>
  <c r="AA40" i="89"/>
  <c r="F41" i="89"/>
  <c r="AA41" i="89"/>
  <c r="F42" i="89"/>
  <c r="AA42" i="89"/>
  <c r="F43" i="89"/>
  <c r="AA43" i="89"/>
  <c r="F44" i="89"/>
  <c r="AA44" i="89"/>
  <c r="F45" i="89"/>
  <c r="AA45" i="89"/>
  <c r="F46" i="89"/>
  <c r="AA46" i="89"/>
  <c r="E48" i="89"/>
  <c r="I53" i="89"/>
  <c r="J53" i="89"/>
  <c r="H8" i="89"/>
  <c r="AB8" i="89"/>
  <c r="H9" i="89"/>
  <c r="AB9" i="89"/>
  <c r="H10" i="89"/>
  <c r="AB10" i="89"/>
  <c r="H11" i="89"/>
  <c r="AB11" i="89"/>
  <c r="H12" i="89"/>
  <c r="AB12" i="89"/>
  <c r="H13" i="89"/>
  <c r="AB13" i="89"/>
  <c r="H14" i="89"/>
  <c r="AB14" i="89"/>
  <c r="H15" i="89"/>
  <c r="AB15" i="89"/>
  <c r="H17" i="89"/>
  <c r="AB17" i="89"/>
  <c r="H19" i="89"/>
  <c r="AB19" i="89"/>
  <c r="H21" i="89"/>
  <c r="AB21" i="89"/>
  <c r="H23" i="89"/>
  <c r="AB23" i="89"/>
  <c r="H25" i="89"/>
  <c r="AB25" i="89"/>
  <c r="H26" i="89"/>
  <c r="AB26" i="89"/>
  <c r="H27" i="89"/>
  <c r="AB27" i="89"/>
  <c r="H28" i="89"/>
  <c r="AB28" i="89"/>
  <c r="H29" i="89"/>
  <c r="AB29" i="89"/>
  <c r="H30" i="89"/>
  <c r="AB30" i="89"/>
  <c r="H31" i="89"/>
  <c r="AB31" i="89"/>
  <c r="H32" i="89"/>
  <c r="AB32" i="89"/>
  <c r="H34" i="89"/>
  <c r="AB34" i="89"/>
  <c r="H35" i="89"/>
  <c r="AB35" i="89"/>
  <c r="H36" i="89"/>
  <c r="AB36" i="89"/>
  <c r="G37" i="89"/>
  <c r="H37" i="89"/>
  <c r="AB37" i="89"/>
  <c r="H38" i="89"/>
  <c r="AB38" i="89"/>
  <c r="H39" i="89"/>
  <c r="AB39" i="89"/>
  <c r="H40" i="89"/>
  <c r="AB40" i="89"/>
  <c r="H41" i="89"/>
  <c r="AB41" i="89"/>
  <c r="H42" i="89"/>
  <c r="AB42" i="89"/>
  <c r="H43" i="89"/>
  <c r="AB43" i="89"/>
  <c r="H44" i="89"/>
  <c r="AB44" i="89"/>
  <c r="H45" i="89"/>
  <c r="AB45" i="89"/>
  <c r="H46" i="89"/>
  <c r="AB46" i="89"/>
  <c r="G48" i="89"/>
  <c r="G53" i="89"/>
  <c r="H53" i="89"/>
  <c r="E53" i="89"/>
  <c r="F53" i="89"/>
  <c r="I52" i="89"/>
  <c r="J52" i="89"/>
  <c r="G52" i="89"/>
  <c r="H52" i="89"/>
  <c r="E52" i="89"/>
  <c r="F52" i="89"/>
  <c r="P49" i="89"/>
  <c r="C49" i="89"/>
  <c r="P48" i="89"/>
  <c r="P47" i="89"/>
  <c r="Q46" i="89"/>
  <c r="Z46" i="89"/>
  <c r="W46" i="89"/>
  <c r="U46" i="89"/>
  <c r="S46" i="89"/>
  <c r="Q45" i="89"/>
  <c r="Z45" i="89"/>
  <c r="W45" i="89"/>
  <c r="U45" i="89"/>
  <c r="S45" i="89"/>
  <c r="Q44" i="89"/>
  <c r="Z44" i="89"/>
  <c r="W44" i="89"/>
  <c r="U44" i="89"/>
  <c r="S44" i="89"/>
  <c r="Q43" i="89"/>
  <c r="Z43" i="89"/>
  <c r="W43" i="89"/>
  <c r="U43" i="89"/>
  <c r="S43" i="89"/>
  <c r="Q42" i="89"/>
  <c r="Z42" i="89"/>
  <c r="W42" i="89"/>
  <c r="U42" i="89"/>
  <c r="S42" i="89"/>
  <c r="Q41" i="89"/>
  <c r="Z41" i="89"/>
  <c r="W41" i="89"/>
  <c r="U41" i="89"/>
  <c r="S41" i="89"/>
  <c r="Q40" i="89"/>
  <c r="Z40" i="89"/>
  <c r="W40" i="89"/>
  <c r="U40" i="89"/>
  <c r="S40" i="89"/>
  <c r="Q39" i="89"/>
  <c r="Z39" i="89"/>
  <c r="W39" i="89"/>
  <c r="U39" i="89"/>
  <c r="S39" i="89"/>
  <c r="Q38" i="89"/>
  <c r="Z38" i="89"/>
  <c r="W38" i="89"/>
  <c r="U38" i="89"/>
  <c r="S38" i="89"/>
  <c r="Q37" i="89"/>
  <c r="Z37" i="89"/>
  <c r="W37" i="89"/>
  <c r="U37" i="89"/>
  <c r="S37" i="89"/>
  <c r="Q36" i="89"/>
  <c r="Z36" i="89"/>
  <c r="W36" i="89"/>
  <c r="U36" i="89"/>
  <c r="S36" i="89"/>
  <c r="Q35" i="89"/>
  <c r="Z35" i="89"/>
  <c r="W35" i="89"/>
  <c r="U35" i="89"/>
  <c r="S35" i="89"/>
  <c r="Q34" i="89"/>
  <c r="Z34" i="89"/>
  <c r="W34" i="89"/>
  <c r="U34" i="89"/>
  <c r="S34" i="89"/>
  <c r="Q33" i="89"/>
  <c r="Z33" i="89"/>
  <c r="W33" i="89"/>
  <c r="U33" i="89"/>
  <c r="S33" i="89"/>
  <c r="Q32" i="89"/>
  <c r="Z32" i="89"/>
  <c r="W32" i="89"/>
  <c r="U32" i="89"/>
  <c r="S32" i="89"/>
  <c r="Q31" i="89"/>
  <c r="Z31" i="89"/>
  <c r="W31" i="89"/>
  <c r="U31" i="89"/>
  <c r="S31" i="89"/>
  <c r="Q30" i="89"/>
  <c r="Z30" i="89"/>
  <c r="W30" i="89"/>
  <c r="U30" i="89"/>
  <c r="S30" i="89"/>
  <c r="Q29" i="89"/>
  <c r="Z29" i="89"/>
  <c r="W29" i="89"/>
  <c r="U29" i="89"/>
  <c r="S29" i="89"/>
  <c r="Q28" i="89"/>
  <c r="Z28" i="89"/>
  <c r="W28" i="89"/>
  <c r="U28" i="89"/>
  <c r="S28" i="89"/>
  <c r="Q27" i="89"/>
  <c r="Z27" i="89"/>
  <c r="W27" i="89"/>
  <c r="U27" i="89"/>
  <c r="S27" i="89"/>
  <c r="Q26" i="89"/>
  <c r="Z26" i="89"/>
  <c r="W26" i="89"/>
  <c r="U26" i="89"/>
  <c r="S26" i="89"/>
  <c r="Q25" i="89"/>
  <c r="Z25" i="89"/>
  <c r="W25" i="89"/>
  <c r="U25" i="89"/>
  <c r="S25" i="89"/>
  <c r="Q23" i="89"/>
  <c r="Z23" i="89"/>
  <c r="W23" i="89"/>
  <c r="U23" i="89"/>
  <c r="S23" i="89"/>
  <c r="C23" i="89"/>
  <c r="Q21" i="89"/>
  <c r="Z21" i="89"/>
  <c r="W21" i="89"/>
  <c r="U21" i="89"/>
  <c r="S21" i="89"/>
  <c r="C21" i="89"/>
  <c r="Q19" i="89"/>
  <c r="Z19" i="89"/>
  <c r="W19" i="89"/>
  <c r="U19" i="89"/>
  <c r="S19" i="89"/>
  <c r="C19" i="89"/>
  <c r="Q17" i="89"/>
  <c r="Z17" i="89"/>
  <c r="W17" i="89"/>
  <c r="U17" i="89"/>
  <c r="S17" i="89"/>
  <c r="C17" i="89"/>
  <c r="Q15" i="89"/>
  <c r="Z15" i="89"/>
  <c r="W15" i="89"/>
  <c r="U15" i="89"/>
  <c r="S15" i="89"/>
  <c r="C15" i="89"/>
  <c r="Q14" i="89"/>
  <c r="Z14" i="89"/>
  <c r="W14" i="89"/>
  <c r="U14" i="89"/>
  <c r="S14" i="89"/>
  <c r="Q13" i="89"/>
  <c r="Z13" i="89"/>
  <c r="W13" i="89"/>
  <c r="U13" i="89"/>
  <c r="S13" i="89"/>
  <c r="Q12" i="89"/>
  <c r="Z12" i="89"/>
  <c r="W12" i="89"/>
  <c r="U12" i="89"/>
  <c r="S12" i="89"/>
  <c r="Q11" i="89"/>
  <c r="Z11" i="89"/>
  <c r="W11" i="89"/>
  <c r="U11" i="89"/>
  <c r="S11" i="89"/>
  <c r="Q10" i="89"/>
  <c r="Z10" i="89"/>
  <c r="W10" i="89"/>
  <c r="U10" i="89"/>
  <c r="S10" i="89"/>
  <c r="Q9" i="89"/>
  <c r="Z9" i="89"/>
  <c r="W9" i="89"/>
  <c r="U9" i="89"/>
  <c r="S9" i="89"/>
  <c r="W8" i="89"/>
  <c r="U8" i="89"/>
  <c r="S8" i="89"/>
  <c r="W7" i="89"/>
  <c r="U7" i="89"/>
  <c r="S7" i="89"/>
  <c r="I5" i="89"/>
  <c r="G5" i="89"/>
  <c r="D3" i="89"/>
  <c r="B3" i="89"/>
  <c r="D2" i="89"/>
  <c r="B2" i="89"/>
  <c r="I37" i="88"/>
  <c r="G37" i="88"/>
  <c r="E37" i="88"/>
  <c r="G5" i="88"/>
  <c r="J140" i="88"/>
  <c r="C145" i="88"/>
  <c r="K139" i="88"/>
  <c r="K145" i="88"/>
  <c r="K144" i="88"/>
  <c r="K143" i="88"/>
  <c r="J142" i="88"/>
  <c r="K141" i="88"/>
  <c r="B130" i="88"/>
  <c r="B128" i="88"/>
  <c r="B126" i="88"/>
  <c r="D125" i="88"/>
  <c r="E125" i="88"/>
  <c r="F125" i="88"/>
  <c r="G125" i="88"/>
  <c r="D123" i="88"/>
  <c r="E123" i="88"/>
  <c r="F123" i="88"/>
  <c r="G123" i="88"/>
  <c r="H123" i="88"/>
  <c r="I123" i="88"/>
  <c r="J123" i="88"/>
  <c r="K123" i="88"/>
  <c r="L123" i="88"/>
  <c r="M123" i="88"/>
  <c r="D119" i="88"/>
  <c r="E119" i="88"/>
  <c r="F119" i="88"/>
  <c r="G119" i="88"/>
  <c r="H119" i="88"/>
  <c r="I119" i="88"/>
  <c r="J119" i="88"/>
  <c r="K119" i="88"/>
  <c r="L119" i="88"/>
  <c r="M119" i="88"/>
  <c r="D117" i="88"/>
  <c r="E117" i="88"/>
  <c r="F117" i="88"/>
  <c r="G117" i="88"/>
  <c r="D115" i="88"/>
  <c r="E115" i="88"/>
  <c r="F115" i="88"/>
  <c r="G115" i="88"/>
  <c r="H115" i="88"/>
  <c r="I115" i="88"/>
  <c r="J115" i="88"/>
  <c r="K115" i="88"/>
  <c r="L115" i="88"/>
  <c r="M115" i="88"/>
  <c r="D113" i="88"/>
  <c r="E113" i="88"/>
  <c r="F113" i="88"/>
  <c r="G113" i="88"/>
  <c r="H113" i="88"/>
  <c r="H111" i="88"/>
  <c r="G111" i="88"/>
  <c r="F111" i="88"/>
  <c r="E111" i="88"/>
  <c r="D111" i="88"/>
  <c r="C111" i="88"/>
  <c r="D110" i="88"/>
  <c r="E110" i="88"/>
  <c r="F110" i="88"/>
  <c r="G110" i="88"/>
  <c r="H110" i="88"/>
  <c r="I110" i="88"/>
  <c r="J110" i="88"/>
  <c r="K110" i="88"/>
  <c r="L110" i="88"/>
  <c r="M110" i="88"/>
  <c r="D108" i="88"/>
  <c r="E108" i="88"/>
  <c r="F108" i="88"/>
  <c r="G108" i="88"/>
  <c r="H108" i="88"/>
  <c r="I108" i="88"/>
  <c r="J108" i="88"/>
  <c r="K108" i="88"/>
  <c r="L108" i="88"/>
  <c r="M108" i="88"/>
  <c r="D106" i="88"/>
  <c r="E106" i="88"/>
  <c r="F106" i="88"/>
  <c r="G106" i="88"/>
  <c r="H106" i="88"/>
  <c r="I106" i="88"/>
  <c r="J106" i="88"/>
  <c r="K106" i="88"/>
  <c r="L106" i="88"/>
  <c r="M106" i="88"/>
  <c r="M102" i="88"/>
  <c r="L102" i="88"/>
  <c r="K102" i="88"/>
  <c r="J102" i="88"/>
  <c r="I102" i="88"/>
  <c r="H102" i="88"/>
  <c r="G102" i="88"/>
  <c r="F102" i="88"/>
  <c r="E102" i="88"/>
  <c r="D102" i="88"/>
  <c r="C102" i="88"/>
  <c r="D101" i="88"/>
  <c r="E101" i="88"/>
  <c r="F101" i="88"/>
  <c r="G101" i="88"/>
  <c r="H101" i="88"/>
  <c r="I101" i="88"/>
  <c r="J101" i="88"/>
  <c r="K101" i="88"/>
  <c r="L101" i="88"/>
  <c r="M101" i="88"/>
  <c r="B98" i="88"/>
  <c r="B96" i="88"/>
  <c r="B94" i="88"/>
  <c r="B92" i="88"/>
  <c r="B90" i="88"/>
  <c r="D89" i="88"/>
  <c r="E89" i="88"/>
  <c r="F89" i="88"/>
  <c r="G89" i="88"/>
  <c r="H89" i="88"/>
  <c r="I89" i="88"/>
  <c r="J89" i="88"/>
  <c r="K89" i="88"/>
  <c r="L89" i="88"/>
  <c r="M89" i="88"/>
  <c r="M87" i="88"/>
  <c r="L87" i="88"/>
  <c r="K87" i="88"/>
  <c r="J87" i="88"/>
  <c r="I87" i="88"/>
  <c r="H87" i="88"/>
  <c r="G87" i="88"/>
  <c r="F87" i="88"/>
  <c r="E87" i="88"/>
  <c r="D87" i="88"/>
  <c r="D85" i="88"/>
  <c r="E85" i="88"/>
  <c r="F85" i="88"/>
  <c r="G85" i="88"/>
  <c r="D83" i="88"/>
  <c r="E83" i="88"/>
  <c r="F83" i="88"/>
  <c r="G83" i="88"/>
  <c r="D81" i="88"/>
  <c r="E81" i="88"/>
  <c r="F81" i="88"/>
  <c r="G81" i="88"/>
  <c r="D79" i="88"/>
  <c r="E79" i="88"/>
  <c r="F79" i="88"/>
  <c r="G79" i="88"/>
  <c r="D77" i="88"/>
  <c r="E77" i="88"/>
  <c r="F77" i="88"/>
  <c r="G77" i="88"/>
  <c r="B74" i="88"/>
  <c r="B72" i="88"/>
  <c r="B70" i="88"/>
  <c r="D69" i="88"/>
  <c r="E69" i="88"/>
  <c r="F69" i="88"/>
  <c r="G69" i="88"/>
  <c r="H69" i="88"/>
  <c r="I69" i="88"/>
  <c r="J69" i="88"/>
  <c r="K69" i="88"/>
  <c r="L69" i="88"/>
  <c r="M69" i="88"/>
  <c r="M67" i="88"/>
  <c r="L67" i="88"/>
  <c r="K67" i="88"/>
  <c r="J67" i="88"/>
  <c r="I67" i="88"/>
  <c r="H67" i="88"/>
  <c r="G67" i="88"/>
  <c r="F67" i="88"/>
  <c r="E67" i="88"/>
  <c r="D67" i="88"/>
  <c r="C67" i="88"/>
  <c r="D66" i="88"/>
  <c r="E66" i="88"/>
  <c r="F66" i="88"/>
  <c r="G66" i="88"/>
  <c r="H66" i="88"/>
  <c r="I66" i="88"/>
  <c r="C63" i="88"/>
  <c r="D59" i="88"/>
  <c r="E59" i="88"/>
  <c r="F59" i="88"/>
  <c r="G59" i="88"/>
  <c r="H59" i="88"/>
  <c r="I59" i="88"/>
  <c r="J59" i="88"/>
  <c r="K59" i="88"/>
  <c r="L59" i="88"/>
  <c r="M59" i="88"/>
  <c r="N59" i="88"/>
  <c r="O59" i="88"/>
  <c r="C7" i="88"/>
  <c r="C58" i="88"/>
  <c r="D58" i="88"/>
  <c r="E58" i="88"/>
  <c r="F58" i="88"/>
  <c r="G58" i="88"/>
  <c r="H58" i="88"/>
  <c r="I58" i="88"/>
  <c r="J58" i="88"/>
  <c r="K58" i="88"/>
  <c r="L58" i="88"/>
  <c r="M58" i="88"/>
  <c r="N58" i="88"/>
  <c r="O58" i="88"/>
  <c r="I54" i="88"/>
  <c r="J54" i="88"/>
  <c r="G54" i="88"/>
  <c r="H54" i="88"/>
  <c r="E54" i="88"/>
  <c r="F54" i="88"/>
  <c r="J8" i="88"/>
  <c r="AC8" i="88"/>
  <c r="J9" i="88"/>
  <c r="AC9" i="88"/>
  <c r="J10" i="88"/>
  <c r="AC10" i="88"/>
  <c r="J11" i="88"/>
  <c r="AC11" i="88"/>
  <c r="J12" i="88"/>
  <c r="AC12" i="88"/>
  <c r="J13" i="88"/>
  <c r="AC13" i="88"/>
  <c r="J14" i="88"/>
  <c r="AC14" i="88"/>
  <c r="J15" i="88"/>
  <c r="AC15" i="88"/>
  <c r="J17" i="88"/>
  <c r="AC17" i="88"/>
  <c r="J19" i="88"/>
  <c r="AC19" i="88"/>
  <c r="J21" i="88"/>
  <c r="AC21" i="88"/>
  <c r="J23" i="88"/>
  <c r="AC23" i="88"/>
  <c r="J25" i="88"/>
  <c r="AC25" i="88"/>
  <c r="J26" i="88"/>
  <c r="AC26" i="88"/>
  <c r="J27" i="88"/>
  <c r="AC27" i="88"/>
  <c r="J28" i="88"/>
  <c r="AC28" i="88"/>
  <c r="J29" i="88"/>
  <c r="AC29" i="88"/>
  <c r="J30" i="88"/>
  <c r="AC30" i="88"/>
  <c r="J31" i="88"/>
  <c r="AC31" i="88"/>
  <c r="J32" i="88"/>
  <c r="AC32" i="88"/>
  <c r="J34" i="88"/>
  <c r="AC34" i="88"/>
  <c r="J35" i="88"/>
  <c r="AC35" i="88"/>
  <c r="J36" i="88"/>
  <c r="AC36" i="88"/>
  <c r="J37" i="88"/>
  <c r="AC37" i="88"/>
  <c r="J38" i="88"/>
  <c r="AC38" i="88"/>
  <c r="J39" i="88"/>
  <c r="AC39" i="88"/>
  <c r="J40" i="88"/>
  <c r="AC40" i="88"/>
  <c r="J41" i="88"/>
  <c r="AC41" i="88"/>
  <c r="J42" i="88"/>
  <c r="AC42" i="88"/>
  <c r="J43" i="88"/>
  <c r="AC43" i="88"/>
  <c r="J44" i="88"/>
  <c r="AC44" i="88"/>
  <c r="J45" i="88"/>
  <c r="AC45" i="88"/>
  <c r="J46" i="88"/>
  <c r="AC46" i="88"/>
  <c r="I48" i="88"/>
  <c r="F8" i="88"/>
  <c r="AA8" i="88"/>
  <c r="F9" i="88"/>
  <c r="AA9" i="88"/>
  <c r="F10" i="88"/>
  <c r="AA10" i="88"/>
  <c r="F11" i="88"/>
  <c r="AA11" i="88"/>
  <c r="F12" i="88"/>
  <c r="AA12" i="88"/>
  <c r="F13" i="88"/>
  <c r="AA13" i="88"/>
  <c r="F14" i="88"/>
  <c r="AA14" i="88"/>
  <c r="F15" i="88"/>
  <c r="AA15" i="88"/>
  <c r="F17" i="88"/>
  <c r="AA17" i="88"/>
  <c r="F19" i="88"/>
  <c r="AA19" i="88"/>
  <c r="F21" i="88"/>
  <c r="AA21" i="88"/>
  <c r="F23" i="88"/>
  <c r="AA23" i="88"/>
  <c r="F25" i="88"/>
  <c r="AA25" i="88"/>
  <c r="F26" i="88"/>
  <c r="AA26" i="88"/>
  <c r="F27" i="88"/>
  <c r="AA27" i="88"/>
  <c r="F28" i="88"/>
  <c r="AA28" i="88"/>
  <c r="F29" i="88"/>
  <c r="AA29" i="88"/>
  <c r="F30" i="88"/>
  <c r="AA30" i="88"/>
  <c r="F31" i="88"/>
  <c r="AA31" i="88"/>
  <c r="F32" i="88"/>
  <c r="AA32" i="88"/>
  <c r="F34" i="88"/>
  <c r="AA34" i="88"/>
  <c r="F35" i="88"/>
  <c r="AA35" i="88"/>
  <c r="F36" i="88"/>
  <c r="AA36" i="88"/>
  <c r="F37" i="88"/>
  <c r="AA37" i="88"/>
  <c r="F38" i="88"/>
  <c r="AA38" i="88"/>
  <c r="F39" i="88"/>
  <c r="AA39" i="88"/>
  <c r="F40" i="88"/>
  <c r="AA40" i="88"/>
  <c r="F41" i="88"/>
  <c r="AA41" i="88"/>
  <c r="F42" i="88"/>
  <c r="AA42" i="88"/>
  <c r="F43" i="88"/>
  <c r="AA43" i="88"/>
  <c r="F44" i="88"/>
  <c r="AA44" i="88"/>
  <c r="F45" i="88"/>
  <c r="AA45" i="88"/>
  <c r="F46" i="88"/>
  <c r="AA46" i="88"/>
  <c r="E48" i="88"/>
  <c r="I53" i="88"/>
  <c r="J53" i="88"/>
  <c r="H8" i="88"/>
  <c r="AB8" i="88"/>
  <c r="H9" i="88"/>
  <c r="AB9" i="88"/>
  <c r="H10" i="88"/>
  <c r="AB10" i="88"/>
  <c r="H11" i="88"/>
  <c r="AB11" i="88"/>
  <c r="H12" i="88"/>
  <c r="AB12" i="88"/>
  <c r="H13" i="88"/>
  <c r="AB13" i="88"/>
  <c r="H14" i="88"/>
  <c r="AB14" i="88"/>
  <c r="H15" i="88"/>
  <c r="AB15" i="88"/>
  <c r="H17" i="88"/>
  <c r="AB17" i="88"/>
  <c r="H19" i="88"/>
  <c r="AB19" i="88"/>
  <c r="H21" i="88"/>
  <c r="AB21" i="88"/>
  <c r="H23" i="88"/>
  <c r="AB23" i="88"/>
  <c r="H25" i="88"/>
  <c r="AB25" i="88"/>
  <c r="H26" i="88"/>
  <c r="AB26" i="88"/>
  <c r="H27" i="88"/>
  <c r="AB27" i="88"/>
  <c r="H28" i="88"/>
  <c r="AB28" i="88"/>
  <c r="H29" i="88"/>
  <c r="AB29" i="88"/>
  <c r="H30" i="88"/>
  <c r="AB30" i="88"/>
  <c r="H31" i="88"/>
  <c r="AB31" i="88"/>
  <c r="H32" i="88"/>
  <c r="AB32" i="88"/>
  <c r="H34" i="88"/>
  <c r="AB34" i="88"/>
  <c r="H35" i="88"/>
  <c r="AB35" i="88"/>
  <c r="H36" i="88"/>
  <c r="AB36" i="88"/>
  <c r="H37" i="88"/>
  <c r="AB37" i="88"/>
  <c r="H38" i="88"/>
  <c r="AB38" i="88"/>
  <c r="H39" i="88"/>
  <c r="AB39" i="88"/>
  <c r="H40" i="88"/>
  <c r="AB40" i="88"/>
  <c r="H41" i="88"/>
  <c r="AB41" i="88"/>
  <c r="H42" i="88"/>
  <c r="AB42" i="88"/>
  <c r="H43" i="88"/>
  <c r="AB43" i="88"/>
  <c r="H44" i="88"/>
  <c r="AB44" i="88"/>
  <c r="H45" i="88"/>
  <c r="AB45" i="88"/>
  <c r="H46" i="88"/>
  <c r="AB46" i="88"/>
  <c r="G48" i="88"/>
  <c r="G53" i="88"/>
  <c r="H53" i="88"/>
  <c r="E53" i="88"/>
  <c r="F53" i="88"/>
  <c r="I52" i="88"/>
  <c r="J52" i="88"/>
  <c r="G52" i="88"/>
  <c r="H52" i="88"/>
  <c r="E52" i="88"/>
  <c r="F52" i="88"/>
  <c r="P49" i="88"/>
  <c r="C49" i="88"/>
  <c r="P48" i="88"/>
  <c r="P47" i="88"/>
  <c r="Q46" i="88"/>
  <c r="Z46" i="88"/>
  <c r="W46" i="88"/>
  <c r="U46" i="88"/>
  <c r="S46" i="88"/>
  <c r="Q45" i="88"/>
  <c r="Z45" i="88"/>
  <c r="W45" i="88"/>
  <c r="U45" i="88"/>
  <c r="S45" i="88"/>
  <c r="Q44" i="88"/>
  <c r="Z44" i="88"/>
  <c r="W44" i="88"/>
  <c r="U44" i="88"/>
  <c r="S44" i="88"/>
  <c r="Q43" i="88"/>
  <c r="Z43" i="88"/>
  <c r="W43" i="88"/>
  <c r="U43" i="88"/>
  <c r="S43" i="88"/>
  <c r="Q42" i="88"/>
  <c r="Z42" i="88"/>
  <c r="W42" i="88"/>
  <c r="U42" i="88"/>
  <c r="S42" i="88"/>
  <c r="Q41" i="88"/>
  <c r="Z41" i="88"/>
  <c r="W41" i="88"/>
  <c r="U41" i="88"/>
  <c r="S41" i="88"/>
  <c r="Q40" i="88"/>
  <c r="Z40" i="88"/>
  <c r="W40" i="88"/>
  <c r="U40" i="88"/>
  <c r="S40" i="88"/>
  <c r="Q39" i="88"/>
  <c r="Z39" i="88"/>
  <c r="W39" i="88"/>
  <c r="U39" i="88"/>
  <c r="S39" i="88"/>
  <c r="Q38" i="88"/>
  <c r="Z38" i="88"/>
  <c r="W38" i="88"/>
  <c r="U38" i="88"/>
  <c r="S38" i="88"/>
  <c r="Q37" i="88"/>
  <c r="Z37" i="88"/>
  <c r="W37" i="88"/>
  <c r="U37" i="88"/>
  <c r="S37" i="88"/>
  <c r="Q36" i="88"/>
  <c r="Z36" i="88"/>
  <c r="W36" i="88"/>
  <c r="U36" i="88"/>
  <c r="S36" i="88"/>
  <c r="Q35" i="88"/>
  <c r="Z35" i="88"/>
  <c r="W35" i="88"/>
  <c r="U35" i="88"/>
  <c r="S35" i="88"/>
  <c r="Q34" i="88"/>
  <c r="Z34" i="88"/>
  <c r="W34" i="88"/>
  <c r="U34" i="88"/>
  <c r="S34" i="88"/>
  <c r="Q33" i="88"/>
  <c r="Z33" i="88"/>
  <c r="W33" i="88"/>
  <c r="U33" i="88"/>
  <c r="S33" i="88"/>
  <c r="Q32" i="88"/>
  <c r="Z32" i="88"/>
  <c r="W32" i="88"/>
  <c r="U32" i="88"/>
  <c r="S32" i="88"/>
  <c r="Q31" i="88"/>
  <c r="Z31" i="88"/>
  <c r="W31" i="88"/>
  <c r="U31" i="88"/>
  <c r="S31" i="88"/>
  <c r="Q30" i="88"/>
  <c r="Z30" i="88"/>
  <c r="W30" i="88"/>
  <c r="U30" i="88"/>
  <c r="S30" i="88"/>
  <c r="Q29" i="88"/>
  <c r="Z29" i="88"/>
  <c r="W29" i="88"/>
  <c r="U29" i="88"/>
  <c r="S29" i="88"/>
  <c r="Q28" i="88"/>
  <c r="Z28" i="88"/>
  <c r="W28" i="88"/>
  <c r="U28" i="88"/>
  <c r="S28" i="88"/>
  <c r="Q27" i="88"/>
  <c r="Z27" i="88"/>
  <c r="W27" i="88"/>
  <c r="U27" i="88"/>
  <c r="S27" i="88"/>
  <c r="Q26" i="88"/>
  <c r="Z26" i="88"/>
  <c r="W26" i="88"/>
  <c r="U26" i="88"/>
  <c r="S26" i="88"/>
  <c r="Q25" i="88"/>
  <c r="Z25" i="88"/>
  <c r="W25" i="88"/>
  <c r="U25" i="88"/>
  <c r="S25" i="88"/>
  <c r="Q23" i="88"/>
  <c r="Z23" i="88"/>
  <c r="W23" i="88"/>
  <c r="U23" i="88"/>
  <c r="S23" i="88"/>
  <c r="C23" i="88"/>
  <c r="Q21" i="88"/>
  <c r="Z21" i="88"/>
  <c r="W21" i="88"/>
  <c r="U21" i="88"/>
  <c r="S21" i="88"/>
  <c r="C21" i="88"/>
  <c r="Q19" i="88"/>
  <c r="Z19" i="88"/>
  <c r="W19" i="88"/>
  <c r="U19" i="88"/>
  <c r="S19" i="88"/>
  <c r="C19" i="88"/>
  <c r="Q17" i="88"/>
  <c r="Z17" i="88"/>
  <c r="W17" i="88"/>
  <c r="U17" i="88"/>
  <c r="S17" i="88"/>
  <c r="C17" i="88"/>
  <c r="Q15" i="88"/>
  <c r="Z15" i="88"/>
  <c r="W15" i="88"/>
  <c r="U15" i="88"/>
  <c r="S15" i="88"/>
  <c r="C15" i="88"/>
  <c r="Q14" i="88"/>
  <c r="Z14" i="88"/>
  <c r="W14" i="88"/>
  <c r="U14" i="88"/>
  <c r="S14" i="88"/>
  <c r="Q13" i="88"/>
  <c r="Z13" i="88"/>
  <c r="W13" i="88"/>
  <c r="U13" i="88"/>
  <c r="S13" i="88"/>
  <c r="Q12" i="88"/>
  <c r="Z12" i="88"/>
  <c r="W12" i="88"/>
  <c r="U12" i="88"/>
  <c r="S12" i="88"/>
  <c r="Q11" i="88"/>
  <c r="Z11" i="88"/>
  <c r="W11" i="88"/>
  <c r="U11" i="88"/>
  <c r="S11" i="88"/>
  <c r="Q10" i="88"/>
  <c r="Z10" i="88"/>
  <c r="W10" i="88"/>
  <c r="U10" i="88"/>
  <c r="S10" i="88"/>
  <c r="Q9" i="88"/>
  <c r="Z9" i="88"/>
  <c r="W9" i="88"/>
  <c r="U9" i="88"/>
  <c r="S9" i="88"/>
  <c r="W8" i="88"/>
  <c r="U8" i="88"/>
  <c r="S8" i="88"/>
  <c r="W7" i="88"/>
  <c r="U7" i="88"/>
  <c r="S7" i="88"/>
  <c r="I5" i="88"/>
  <c r="D3" i="88"/>
  <c r="B3" i="88"/>
  <c r="D2" i="88"/>
  <c r="B2" i="88"/>
  <c r="E59" i="21"/>
  <c r="F59" i="21"/>
  <c r="G59" i="21"/>
  <c r="H59" i="21"/>
  <c r="I59" i="21"/>
  <c r="J59" i="21"/>
  <c r="K59" i="21"/>
  <c r="L59" i="21"/>
  <c r="M59" i="21"/>
  <c r="N59" i="21"/>
  <c r="O59" i="21"/>
  <c r="D59" i="21"/>
  <c r="I5" i="21"/>
  <c r="G5" i="21"/>
  <c r="E4" i="84"/>
  <c r="I12" i="84"/>
  <c r="B20" i="86"/>
  <c r="C20" i="86"/>
  <c r="D20" i="86"/>
  <c r="D17" i="86"/>
  <c r="C17" i="86"/>
  <c r="B16" i="86"/>
  <c r="B17" i="86"/>
  <c r="D16" i="86"/>
  <c r="C16" i="86"/>
  <c r="I4" i="87"/>
  <c r="H4" i="87"/>
  <c r="B15" i="86"/>
  <c r="J6" i="87"/>
  <c r="I6" i="87"/>
  <c r="H6" i="87"/>
  <c r="J5" i="87"/>
  <c r="I5" i="87"/>
  <c r="H5" i="87"/>
  <c r="J4" i="87"/>
  <c r="J12" i="84"/>
  <c r="K12" i="84"/>
  <c r="J4" i="84"/>
  <c r="K4" i="84"/>
  <c r="I4" i="84"/>
  <c r="F20" i="84"/>
  <c r="E20" i="84"/>
  <c r="F12" i="84"/>
  <c r="G12" i="84"/>
  <c r="E12" i="84"/>
  <c r="B24" i="86"/>
  <c r="C22" i="86"/>
  <c r="D22" i="86"/>
  <c r="C23" i="86"/>
  <c r="B22" i="86"/>
  <c r="B23" i="86"/>
  <c r="C21" i="86"/>
  <c r="B21" i="86"/>
  <c r="B18" i="86"/>
  <c r="D15" i="86"/>
  <c r="C15" i="86"/>
  <c r="AH2" i="85"/>
  <c r="G158" i="85"/>
  <c r="G157" i="85"/>
  <c r="G155" i="85"/>
  <c r="G154" i="85"/>
  <c r="G153" i="85"/>
  <c r="G149" i="85"/>
  <c r="G139" i="85"/>
  <c r="G92" i="85"/>
  <c r="G30" i="85"/>
  <c r="G15" i="85"/>
  <c r="G150" i="85"/>
  <c r="A149" i="85"/>
  <c r="A139" i="85"/>
  <c r="A92" i="85"/>
  <c r="A30" i="85"/>
  <c r="A15" i="85"/>
  <c r="A150" i="85"/>
  <c r="L148" i="85"/>
  <c r="J148" i="85"/>
  <c r="AH147" i="85"/>
  <c r="L147" i="85"/>
  <c r="J147" i="85"/>
  <c r="AH146" i="85"/>
  <c r="L146" i="85"/>
  <c r="J146" i="85"/>
  <c r="AH145" i="85"/>
  <c r="L145" i="85"/>
  <c r="J145" i="85"/>
  <c r="AH144" i="85"/>
  <c r="L144" i="85"/>
  <c r="J144" i="85"/>
  <c r="AH143" i="85"/>
  <c r="L143" i="85"/>
  <c r="J143" i="85"/>
  <c r="AH142" i="85"/>
  <c r="L142" i="85"/>
  <c r="J142" i="85"/>
  <c r="L141" i="85"/>
  <c r="J141" i="85"/>
  <c r="AH140" i="85"/>
  <c r="L140" i="85"/>
  <c r="J140" i="85"/>
  <c r="AH138" i="85"/>
  <c r="L138" i="85"/>
  <c r="J138" i="85"/>
  <c r="L137" i="85"/>
  <c r="J137" i="85"/>
  <c r="AH136" i="85"/>
  <c r="L136" i="85"/>
  <c r="J136" i="85"/>
  <c r="AH135" i="85"/>
  <c r="L135" i="85"/>
  <c r="J135" i="85"/>
  <c r="AH134" i="85"/>
  <c r="L134" i="85"/>
  <c r="J134" i="85"/>
  <c r="AH133" i="85"/>
  <c r="L133" i="85"/>
  <c r="J133" i="85"/>
  <c r="AH132" i="85"/>
  <c r="L132" i="85"/>
  <c r="J132" i="85"/>
  <c r="AH131" i="85"/>
  <c r="L131" i="85"/>
  <c r="J131" i="85"/>
  <c r="AH130" i="85"/>
  <c r="L130" i="85"/>
  <c r="J130" i="85"/>
  <c r="AH129" i="85"/>
  <c r="L129" i="85"/>
  <c r="J129" i="85"/>
  <c r="AH128" i="85"/>
  <c r="L128" i="85"/>
  <c r="J128" i="85"/>
  <c r="AH127" i="85"/>
  <c r="L127" i="85"/>
  <c r="J127" i="85"/>
  <c r="AH126" i="85"/>
  <c r="L126" i="85"/>
  <c r="J126" i="85"/>
  <c r="AH125" i="85"/>
  <c r="L125" i="85"/>
  <c r="J125" i="85"/>
  <c r="AH124" i="85"/>
  <c r="L124" i="85"/>
  <c r="J124" i="85"/>
  <c r="AH123" i="85"/>
  <c r="L123" i="85"/>
  <c r="J123" i="85"/>
  <c r="AH122" i="85"/>
  <c r="L122" i="85"/>
  <c r="J122" i="85"/>
  <c r="L121" i="85"/>
  <c r="J121" i="85"/>
  <c r="AH120" i="85"/>
  <c r="L120" i="85"/>
  <c r="J120" i="85"/>
  <c r="L119" i="85"/>
  <c r="J119" i="85"/>
  <c r="L118" i="85"/>
  <c r="AH117" i="85"/>
  <c r="L117" i="85"/>
  <c r="J117" i="85"/>
  <c r="AH116" i="85"/>
  <c r="L116" i="85"/>
  <c r="J116" i="85"/>
  <c r="AH115" i="85"/>
  <c r="L115" i="85"/>
  <c r="J115" i="85"/>
  <c r="L114" i="85"/>
  <c r="J114" i="85"/>
  <c r="AH113" i="85"/>
  <c r="L113" i="85"/>
  <c r="J113" i="85"/>
  <c r="AH112" i="85"/>
  <c r="L112" i="85"/>
  <c r="J112" i="85"/>
  <c r="L111" i="85"/>
  <c r="J111" i="85"/>
  <c r="AH110" i="85"/>
  <c r="L110" i="85"/>
  <c r="J110" i="85"/>
  <c r="AH109" i="85"/>
  <c r="L109" i="85"/>
  <c r="J109" i="85"/>
  <c r="AH108" i="85"/>
  <c r="L108" i="85"/>
  <c r="J108" i="85"/>
  <c r="AH107" i="85"/>
  <c r="L107" i="85"/>
  <c r="J107" i="85"/>
  <c r="L106" i="85"/>
  <c r="J106" i="85"/>
  <c r="AH105" i="85"/>
  <c r="L105" i="85"/>
  <c r="J105" i="85"/>
  <c r="L104" i="85"/>
  <c r="J104" i="85"/>
  <c r="AH103" i="85"/>
  <c r="L103" i="85"/>
  <c r="J103" i="85"/>
  <c r="AH102" i="85"/>
  <c r="L102" i="85"/>
  <c r="J102" i="85"/>
  <c r="L101" i="85"/>
  <c r="J101" i="85"/>
  <c r="L100" i="85"/>
  <c r="J100" i="85"/>
  <c r="AH99" i="85"/>
  <c r="L99" i="85"/>
  <c r="J99" i="85"/>
  <c r="AH98" i="85"/>
  <c r="L98" i="85"/>
  <c r="J98" i="85"/>
  <c r="L96" i="85"/>
  <c r="J96" i="85"/>
  <c r="L94" i="85"/>
  <c r="J94" i="85"/>
  <c r="AH93" i="85"/>
  <c r="L93" i="85"/>
  <c r="AH91" i="85"/>
  <c r="L91" i="85"/>
  <c r="J91" i="85"/>
  <c r="AH90" i="85"/>
  <c r="L90" i="85"/>
  <c r="J90" i="85"/>
  <c r="AH89" i="85"/>
  <c r="L89" i="85"/>
  <c r="J89" i="85"/>
  <c r="AH88" i="85"/>
  <c r="L88" i="85"/>
  <c r="J88" i="85"/>
  <c r="L87" i="85"/>
  <c r="AH86" i="85"/>
  <c r="L86" i="85"/>
  <c r="J86" i="85"/>
  <c r="AH85" i="85"/>
  <c r="L85" i="85"/>
  <c r="J85" i="85"/>
  <c r="AH84" i="85"/>
  <c r="L84" i="85"/>
  <c r="J84" i="85"/>
  <c r="AH83" i="85"/>
  <c r="L83" i="85"/>
  <c r="J83" i="85"/>
  <c r="AH82" i="85"/>
  <c r="L82" i="85"/>
  <c r="J82" i="85"/>
  <c r="AH81" i="85"/>
  <c r="L81" i="85"/>
  <c r="J81" i="85"/>
  <c r="AH80" i="85"/>
  <c r="L80" i="85"/>
  <c r="J80" i="85"/>
  <c r="AH79" i="85"/>
  <c r="L79" i="85"/>
  <c r="J79" i="85"/>
  <c r="AH78" i="85"/>
  <c r="L78" i="85"/>
  <c r="J78" i="85"/>
  <c r="AH77" i="85"/>
  <c r="L77" i="85"/>
  <c r="J77" i="85"/>
  <c r="AH76" i="85"/>
  <c r="L76" i="85"/>
  <c r="J76" i="85"/>
  <c r="L75" i="85"/>
  <c r="J75" i="85"/>
  <c r="AH74" i="85"/>
  <c r="L74" i="85"/>
  <c r="J74" i="85"/>
  <c r="AH73" i="85"/>
  <c r="L73" i="85"/>
  <c r="J73" i="85"/>
  <c r="AH72" i="85"/>
  <c r="L72" i="85"/>
  <c r="J72" i="85"/>
  <c r="L71" i="85"/>
  <c r="J71" i="85"/>
  <c r="AH70" i="85"/>
  <c r="L70" i="85"/>
  <c r="J70" i="85"/>
  <c r="AH69" i="85"/>
  <c r="L69" i="85"/>
  <c r="J69" i="85"/>
  <c r="L68" i="85"/>
  <c r="J68" i="85"/>
  <c r="AH67" i="85"/>
  <c r="L67" i="85"/>
  <c r="J67" i="85"/>
  <c r="AH66" i="85"/>
  <c r="L66" i="85"/>
  <c r="J66" i="85"/>
  <c r="AH65" i="85"/>
  <c r="L65" i="85"/>
  <c r="J65" i="85"/>
  <c r="AH64" i="85"/>
  <c r="L64" i="85"/>
  <c r="J64" i="85"/>
  <c r="AH63" i="85"/>
  <c r="L63" i="85"/>
  <c r="J63" i="85"/>
  <c r="AH62" i="85"/>
  <c r="L62" i="85"/>
  <c r="J62" i="85"/>
  <c r="AH61" i="85"/>
  <c r="L61" i="85"/>
  <c r="J61" i="85"/>
  <c r="L60" i="85"/>
  <c r="J60" i="85"/>
  <c r="AH59" i="85"/>
  <c r="L59" i="85"/>
  <c r="J59" i="85"/>
  <c r="AH58" i="85"/>
  <c r="L58" i="85"/>
  <c r="J58" i="85"/>
  <c r="AH57" i="85"/>
  <c r="L57" i="85"/>
  <c r="J57" i="85"/>
  <c r="L56" i="85"/>
  <c r="J56" i="85"/>
  <c r="L55" i="85"/>
  <c r="AH54" i="85"/>
  <c r="L54" i="85"/>
  <c r="J54" i="85"/>
  <c r="AH53" i="85"/>
  <c r="L53" i="85"/>
  <c r="J53" i="85"/>
  <c r="AH52" i="85"/>
  <c r="L52" i="85"/>
  <c r="J52" i="85"/>
  <c r="AH51" i="85"/>
  <c r="L51" i="85"/>
  <c r="J51" i="85"/>
  <c r="AH50" i="85"/>
  <c r="L50" i="85"/>
  <c r="J50" i="85"/>
  <c r="AH49" i="85"/>
  <c r="L49" i="85"/>
  <c r="J49" i="85"/>
  <c r="AH48" i="85"/>
  <c r="L48" i="85"/>
  <c r="J48" i="85"/>
  <c r="AH47" i="85"/>
  <c r="L47" i="85"/>
  <c r="J47" i="85"/>
  <c r="AH46" i="85"/>
  <c r="L46" i="85"/>
  <c r="J46" i="85"/>
  <c r="L45" i="85"/>
  <c r="J45" i="85"/>
  <c r="AH44" i="85"/>
  <c r="L44" i="85"/>
  <c r="J44" i="85"/>
  <c r="AH43" i="85"/>
  <c r="L43" i="85"/>
  <c r="J43" i="85"/>
  <c r="L42" i="85"/>
  <c r="J42" i="85"/>
  <c r="L41" i="85"/>
  <c r="J41" i="85"/>
  <c r="L40" i="85"/>
  <c r="J40" i="85"/>
  <c r="AH39" i="85"/>
  <c r="L39" i="85"/>
  <c r="J39" i="85"/>
  <c r="AH38" i="85"/>
  <c r="L38" i="85"/>
  <c r="J38" i="85"/>
  <c r="AH37" i="85"/>
  <c r="L37" i="85"/>
  <c r="J37" i="85"/>
  <c r="AH36" i="85"/>
  <c r="L36" i="85"/>
  <c r="J36" i="85"/>
  <c r="AH35" i="85"/>
  <c r="L35" i="85"/>
  <c r="J35" i="85"/>
  <c r="AH34" i="85"/>
  <c r="L34" i="85"/>
  <c r="J34" i="85"/>
  <c r="L32" i="85"/>
  <c r="J32" i="85"/>
  <c r="L31" i="85"/>
  <c r="J31" i="85"/>
  <c r="AD29" i="85"/>
  <c r="L29" i="85"/>
  <c r="AD28" i="85"/>
  <c r="L28" i="85"/>
  <c r="AH27" i="85"/>
  <c r="AD27" i="85"/>
  <c r="L27" i="85"/>
  <c r="J27" i="85"/>
  <c r="AH26" i="85"/>
  <c r="AD26" i="85"/>
  <c r="L26" i="85"/>
  <c r="J26" i="85"/>
  <c r="AH25" i="85"/>
  <c r="AD25" i="85"/>
  <c r="L25" i="85"/>
  <c r="J25" i="85"/>
  <c r="AH24" i="85"/>
  <c r="AD24" i="85"/>
  <c r="L24" i="85"/>
  <c r="J24" i="85"/>
  <c r="AD23" i="85"/>
  <c r="L23" i="85"/>
  <c r="J23" i="85"/>
  <c r="AH22" i="85"/>
  <c r="AD22" i="85"/>
  <c r="L22" i="85"/>
  <c r="J22" i="85"/>
  <c r="AH21" i="85"/>
  <c r="AD21" i="85"/>
  <c r="L21" i="85"/>
  <c r="J21" i="85"/>
  <c r="AH20" i="85"/>
  <c r="AD20" i="85"/>
  <c r="L20" i="85"/>
  <c r="J20" i="85"/>
  <c r="AH19" i="85"/>
  <c r="AD19" i="85"/>
  <c r="L19" i="85"/>
  <c r="J19" i="85"/>
  <c r="AH18" i="85"/>
  <c r="AD18" i="85"/>
  <c r="L18" i="85"/>
  <c r="J18" i="85"/>
  <c r="AH17" i="85"/>
  <c r="AD17" i="85"/>
  <c r="L17" i="85"/>
  <c r="J17" i="85"/>
  <c r="AH16" i="85"/>
  <c r="L16" i="85"/>
  <c r="J16" i="85"/>
  <c r="AD14" i="85"/>
  <c r="L14" i="85"/>
  <c r="J14" i="85"/>
  <c r="AH13" i="85"/>
  <c r="AD13" i="85"/>
  <c r="L13" i="85"/>
  <c r="J13" i="85"/>
  <c r="AH12" i="85"/>
  <c r="AD12" i="85"/>
  <c r="L12" i="85"/>
  <c r="J12" i="85"/>
  <c r="AH11" i="85"/>
  <c r="AD11" i="85"/>
  <c r="L11" i="85"/>
  <c r="J11" i="85"/>
  <c r="AH10" i="85"/>
  <c r="AD10" i="85"/>
  <c r="L10" i="85"/>
  <c r="J10" i="85"/>
  <c r="AH9" i="85"/>
  <c r="AD9" i="85"/>
  <c r="L9" i="85"/>
  <c r="J9" i="85"/>
  <c r="AH8" i="85"/>
  <c r="AD8" i="85"/>
  <c r="L8" i="85"/>
  <c r="J8" i="85"/>
  <c r="AH7" i="85"/>
  <c r="AD7" i="85"/>
  <c r="L7" i="85"/>
  <c r="J7" i="85"/>
  <c r="AH6" i="85"/>
  <c r="AD6" i="85"/>
  <c r="L6" i="85"/>
  <c r="J6" i="85"/>
  <c r="AH5" i="85"/>
  <c r="AD5" i="85"/>
  <c r="L5" i="85"/>
  <c r="J5" i="85"/>
  <c r="AH4" i="85"/>
  <c r="AD4" i="85"/>
  <c r="L4" i="85"/>
  <c r="J4" i="85"/>
  <c r="AH3" i="85"/>
  <c r="AD3" i="85"/>
  <c r="O3" i="85"/>
  <c r="L3" i="85"/>
  <c r="J3" i="85"/>
  <c r="L2" i="85"/>
  <c r="J2" i="85"/>
  <c r="G17" i="74"/>
  <c r="D70" i="82"/>
  <c r="D74" i="82"/>
  <c r="D78" i="82"/>
  <c r="D71" i="82"/>
  <c r="E70" i="82"/>
  <c r="B68" i="82"/>
  <c r="C24" i="82"/>
  <c r="C16" i="82"/>
  <c r="D5" i="82"/>
  <c r="M7" i="1"/>
  <c r="M6" i="1"/>
  <c r="M16" i="1"/>
  <c r="N16" i="1"/>
  <c r="F50" i="79"/>
  <c r="B3" i="3"/>
  <c r="AY6" i="3"/>
  <c r="D3" i="6"/>
  <c r="D21" i="6"/>
  <c r="H21" i="6"/>
  <c r="R21" i="6"/>
  <c r="D16" i="74"/>
  <c r="G16" i="74"/>
  <c r="D65" i="43"/>
  <c r="D67" i="43"/>
  <c r="D60" i="43"/>
  <c r="E59" i="43"/>
  <c r="B57" i="43"/>
  <c r="C24" i="43"/>
  <c r="C16" i="43"/>
  <c r="D5" i="43"/>
  <c r="F50" i="68"/>
  <c r="D20" i="6"/>
  <c r="H20" i="6"/>
  <c r="R20" i="6"/>
  <c r="D15" i="74"/>
  <c r="G15" i="74"/>
  <c r="D28" i="6"/>
  <c r="C17" i="74"/>
  <c r="B17" i="74"/>
  <c r="C16" i="74"/>
  <c r="B16" i="74"/>
  <c r="C15" i="74"/>
  <c r="B15" i="74"/>
  <c r="G41" i="82"/>
  <c r="H7" i="1"/>
  <c r="C20" i="82"/>
  <c r="D15" i="82"/>
  <c r="C12" i="82"/>
  <c r="C5" i="82"/>
  <c r="G3" i="82"/>
  <c r="E22" i="82"/>
  <c r="G22" i="82"/>
  <c r="F22" i="82"/>
  <c r="H22" i="82"/>
  <c r="D22" i="82"/>
  <c r="C21" i="82"/>
  <c r="C29" i="82"/>
  <c r="E29" i="82"/>
  <c r="C6" i="83"/>
  <c r="D29" i="82"/>
  <c r="C33" i="82"/>
  <c r="E33" i="82"/>
  <c r="B21" i="1"/>
  <c r="B24" i="1"/>
  <c r="F34" i="83"/>
  <c r="G1" i="83"/>
  <c r="C34" i="83"/>
  <c r="F35" i="83"/>
  <c r="C35" i="83"/>
  <c r="C36" i="83"/>
  <c r="E37" i="83"/>
  <c r="D9" i="83"/>
  <c r="D10" i="83"/>
  <c r="D19" i="83"/>
  <c r="D37" i="83"/>
  <c r="C37" i="83"/>
  <c r="F38" i="83"/>
  <c r="C38" i="83"/>
  <c r="C33" i="83"/>
  <c r="F20" i="83"/>
  <c r="C39" i="83"/>
  <c r="D6" i="73"/>
  <c r="B22" i="1"/>
  <c r="E1" i="73"/>
  <c r="K1" i="73"/>
  <c r="F22" i="83"/>
  <c r="C42" i="83"/>
  <c r="C43" i="83"/>
  <c r="C41" i="83"/>
  <c r="F27" i="83"/>
  <c r="C46" i="83"/>
  <c r="C45" i="83"/>
  <c r="F21" i="83"/>
  <c r="C40" i="83"/>
  <c r="C44" i="83"/>
  <c r="D41" i="83"/>
  <c r="C47" i="83"/>
  <c r="D45" i="83"/>
  <c r="F30" i="83"/>
  <c r="C48" i="83"/>
  <c r="C49" i="83"/>
  <c r="F50" i="83"/>
  <c r="C51" i="83"/>
  <c r="F7" i="83"/>
  <c r="C7" i="83"/>
  <c r="E9" i="83"/>
  <c r="C9" i="83"/>
  <c r="E10" i="83"/>
  <c r="C10" i="83"/>
  <c r="C8" i="83"/>
  <c r="C5" i="83"/>
  <c r="C19" i="83"/>
  <c r="C20" i="83"/>
  <c r="B23" i="1"/>
  <c r="C23" i="83"/>
  <c r="C24" i="83"/>
  <c r="C25" i="83"/>
  <c r="C22" i="83"/>
  <c r="C28" i="83"/>
  <c r="C27" i="83"/>
  <c r="C21" i="83"/>
  <c r="C26" i="83"/>
  <c r="D22" i="83"/>
  <c r="C29" i="83"/>
  <c r="D27" i="83"/>
  <c r="C30" i="83"/>
  <c r="C31" i="83"/>
  <c r="C52" i="83"/>
  <c r="C57" i="83"/>
  <c r="C56" i="83"/>
  <c r="G41" i="83"/>
  <c r="F36" i="83"/>
  <c r="G22" i="83"/>
  <c r="E19" i="83"/>
  <c r="B2" i="83"/>
  <c r="B3" i="83"/>
  <c r="E2" i="83"/>
  <c r="G71" i="82"/>
  <c r="G72" i="82"/>
  <c r="G73" i="82"/>
  <c r="G74" i="82"/>
  <c r="G75" i="82"/>
  <c r="G76" i="82"/>
  <c r="G77" i="82"/>
  <c r="G78" i="82"/>
  <c r="G70" i="82"/>
  <c r="B113" i="82"/>
  <c r="I118" i="82"/>
  <c r="J118" i="82"/>
  <c r="K118" i="82"/>
  <c r="L118" i="82"/>
  <c r="M118" i="82"/>
  <c r="G118" i="82"/>
  <c r="H118" i="82"/>
  <c r="D118" i="82"/>
  <c r="E118" i="82"/>
  <c r="F118" i="82"/>
  <c r="B118" i="82"/>
  <c r="C118" i="82"/>
  <c r="I117" i="82"/>
  <c r="J117" i="82"/>
  <c r="K117" i="82"/>
  <c r="L117" i="82"/>
  <c r="M117" i="82"/>
  <c r="D117" i="82"/>
  <c r="E117" i="82"/>
  <c r="F117" i="82"/>
  <c r="G117" i="82"/>
  <c r="H117" i="82"/>
  <c r="B117" i="82"/>
  <c r="C117" i="82"/>
  <c r="I116" i="82"/>
  <c r="J116" i="82"/>
  <c r="K116" i="82"/>
  <c r="L116" i="82"/>
  <c r="M116" i="82"/>
  <c r="D116" i="82"/>
  <c r="E116" i="82"/>
  <c r="F116" i="82"/>
  <c r="G116" i="82"/>
  <c r="H116" i="82"/>
  <c r="B116" i="82"/>
  <c r="C116" i="82"/>
  <c r="I115" i="82"/>
  <c r="J115" i="82"/>
  <c r="K115" i="82"/>
  <c r="L115" i="82"/>
  <c r="M115" i="82"/>
  <c r="D115" i="82"/>
  <c r="E115" i="82"/>
  <c r="F115" i="82"/>
  <c r="G115" i="82"/>
  <c r="H115" i="82"/>
  <c r="B115" i="82"/>
  <c r="C115" i="82"/>
  <c r="G2" i="82"/>
  <c r="H113" i="82"/>
  <c r="F113" i="82"/>
  <c r="D113" i="82"/>
  <c r="N99" i="82"/>
  <c r="N108" i="82"/>
  <c r="N101" i="82"/>
  <c r="N109" i="82"/>
  <c r="M99" i="82"/>
  <c r="M108" i="82"/>
  <c r="M101" i="82"/>
  <c r="M109" i="82"/>
  <c r="L99" i="82"/>
  <c r="L108" i="82"/>
  <c r="L101" i="82"/>
  <c r="L109" i="82"/>
  <c r="K99" i="82"/>
  <c r="K108" i="82"/>
  <c r="K101" i="82"/>
  <c r="K109" i="82"/>
  <c r="J99" i="82"/>
  <c r="J108" i="82"/>
  <c r="J101" i="82"/>
  <c r="J109" i="82"/>
  <c r="I99" i="82"/>
  <c r="I108" i="82"/>
  <c r="I101" i="82"/>
  <c r="I109" i="82"/>
  <c r="H99" i="82"/>
  <c r="H108" i="82"/>
  <c r="H101" i="82"/>
  <c r="H109" i="82"/>
  <c r="G99" i="82"/>
  <c r="G108" i="82"/>
  <c r="G101" i="82"/>
  <c r="G109" i="82"/>
  <c r="F99" i="82"/>
  <c r="F108" i="82"/>
  <c r="F101" i="82"/>
  <c r="F109" i="82"/>
  <c r="E99" i="82"/>
  <c r="E108" i="82"/>
  <c r="E101" i="82"/>
  <c r="E109" i="82"/>
  <c r="D99" i="82"/>
  <c r="D108" i="82"/>
  <c r="D101" i="82"/>
  <c r="D109" i="82"/>
  <c r="C99" i="82"/>
  <c r="C108" i="82"/>
  <c r="C101" i="82"/>
  <c r="C109" i="82"/>
  <c r="N107" i="82"/>
  <c r="M107" i="82"/>
  <c r="L107" i="82"/>
  <c r="K107" i="82"/>
  <c r="J107" i="82"/>
  <c r="I107" i="82"/>
  <c r="H107" i="82"/>
  <c r="G107" i="82"/>
  <c r="F107" i="82"/>
  <c r="E107" i="82"/>
  <c r="D107" i="82"/>
  <c r="C107" i="82"/>
  <c r="N106" i="82"/>
  <c r="M106" i="82"/>
  <c r="L106" i="82"/>
  <c r="K106" i="82"/>
  <c r="J106" i="82"/>
  <c r="I106" i="82"/>
  <c r="H106" i="82"/>
  <c r="G106" i="82"/>
  <c r="F106" i="82"/>
  <c r="E106" i="82"/>
  <c r="D106" i="82"/>
  <c r="C106" i="82"/>
  <c r="N105" i="82"/>
  <c r="M105" i="82"/>
  <c r="L105" i="82"/>
  <c r="K105" i="82"/>
  <c r="J105" i="82"/>
  <c r="I105" i="82"/>
  <c r="H105" i="82"/>
  <c r="G105" i="82"/>
  <c r="F105" i="82"/>
  <c r="E105" i="82"/>
  <c r="D105" i="82"/>
  <c r="C105" i="82"/>
  <c r="N104" i="82"/>
  <c r="M104" i="82"/>
  <c r="L104" i="82"/>
  <c r="K104" i="82"/>
  <c r="J104" i="82"/>
  <c r="I104" i="82"/>
  <c r="H104" i="82"/>
  <c r="G104" i="82"/>
  <c r="F104" i="82"/>
  <c r="E104" i="82"/>
  <c r="D104" i="82"/>
  <c r="C104" i="82"/>
  <c r="N103" i="82"/>
  <c r="M103" i="82"/>
  <c r="L103" i="82"/>
  <c r="K103" i="82"/>
  <c r="J103" i="82"/>
  <c r="I103" i="82"/>
  <c r="H103" i="82"/>
  <c r="G103" i="82"/>
  <c r="F103" i="82"/>
  <c r="E103" i="82"/>
  <c r="D103" i="82"/>
  <c r="C103" i="82"/>
  <c r="N102" i="82"/>
  <c r="M102" i="82"/>
  <c r="L102" i="82"/>
  <c r="K102" i="82"/>
  <c r="J102" i="82"/>
  <c r="I102" i="82"/>
  <c r="H102" i="82"/>
  <c r="G102" i="82"/>
  <c r="F102" i="82"/>
  <c r="E102" i="82"/>
  <c r="D102" i="82"/>
  <c r="C102" i="82"/>
  <c r="N100" i="82"/>
  <c r="M100" i="82"/>
  <c r="L100" i="82"/>
  <c r="K100" i="82"/>
  <c r="J100" i="82"/>
  <c r="I100" i="82"/>
  <c r="H100" i="82"/>
  <c r="G100" i="82"/>
  <c r="F100" i="82"/>
  <c r="E100" i="82"/>
  <c r="D100" i="82"/>
  <c r="C100" i="82"/>
  <c r="M88" i="82"/>
  <c r="N88" i="82"/>
  <c r="K88" i="82"/>
  <c r="J88" i="82"/>
  <c r="F81" i="82"/>
  <c r="H88" i="82"/>
  <c r="D88" i="82"/>
  <c r="B88" i="82"/>
  <c r="M87" i="82"/>
  <c r="N87" i="82"/>
  <c r="K87" i="82"/>
  <c r="J87" i="82"/>
  <c r="H87" i="82"/>
  <c r="D87" i="82"/>
  <c r="M86" i="82"/>
  <c r="N86" i="82"/>
  <c r="K86" i="82"/>
  <c r="J86" i="82"/>
  <c r="H86" i="82"/>
  <c r="D86" i="82"/>
  <c r="B86" i="82"/>
  <c r="M85" i="82"/>
  <c r="N85" i="82"/>
  <c r="K85" i="82"/>
  <c r="J85" i="82"/>
  <c r="H85" i="82"/>
  <c r="D85" i="82"/>
  <c r="B85" i="82"/>
  <c r="M84" i="82"/>
  <c r="N84" i="82"/>
  <c r="K84" i="82"/>
  <c r="J84" i="82"/>
  <c r="H84" i="82"/>
  <c r="D84" i="82"/>
  <c r="B84" i="82"/>
  <c r="M83" i="82"/>
  <c r="N83" i="82"/>
  <c r="K83" i="82"/>
  <c r="J83" i="82"/>
  <c r="H83" i="82"/>
  <c r="D83" i="82"/>
  <c r="B83" i="82"/>
  <c r="M82" i="82"/>
  <c r="N82" i="82"/>
  <c r="K82" i="82"/>
  <c r="J82" i="82"/>
  <c r="H82" i="82"/>
  <c r="D82" i="82"/>
  <c r="B82" i="82"/>
  <c r="M81" i="82"/>
  <c r="N81" i="82"/>
  <c r="K81" i="82"/>
  <c r="J81" i="82"/>
  <c r="H81" i="82"/>
  <c r="D81" i="82"/>
  <c r="E81" i="82"/>
  <c r="B81" i="82"/>
  <c r="B79" i="82"/>
  <c r="M78" i="82"/>
  <c r="N78" i="82"/>
  <c r="K78" i="82"/>
  <c r="J78" i="82"/>
  <c r="I2" i="82"/>
  <c r="N2" i="82"/>
  <c r="F70" i="82"/>
  <c r="H78" i="82"/>
  <c r="M77" i="82"/>
  <c r="N77" i="82"/>
  <c r="K77" i="82"/>
  <c r="J77" i="82"/>
  <c r="H77" i="82"/>
  <c r="D77" i="82"/>
  <c r="C20" i="20"/>
  <c r="B77" i="82"/>
  <c r="M76" i="82"/>
  <c r="N76" i="82"/>
  <c r="K76" i="82"/>
  <c r="J76" i="82"/>
  <c r="H76" i="82"/>
  <c r="D76" i="82"/>
  <c r="M75" i="82"/>
  <c r="N75" i="82"/>
  <c r="K75" i="82"/>
  <c r="J75" i="82"/>
  <c r="H75" i="82"/>
  <c r="D75" i="82"/>
  <c r="C22" i="20"/>
  <c r="B75" i="82"/>
  <c r="M74" i="82"/>
  <c r="N74" i="82"/>
  <c r="K74" i="82"/>
  <c r="J74" i="82"/>
  <c r="H74" i="82"/>
  <c r="C21" i="20"/>
  <c r="B74" i="82"/>
  <c r="M73" i="82"/>
  <c r="N73" i="82"/>
  <c r="K73" i="82"/>
  <c r="J73" i="82"/>
  <c r="H73" i="82"/>
  <c r="D73" i="82"/>
  <c r="C24" i="20"/>
  <c r="B73" i="82"/>
  <c r="M72" i="82"/>
  <c r="N72" i="82"/>
  <c r="K72" i="82"/>
  <c r="J72" i="82"/>
  <c r="H72" i="82"/>
  <c r="D72" i="82"/>
  <c r="B72" i="82"/>
  <c r="M71" i="82"/>
  <c r="N71" i="82"/>
  <c r="K71" i="82"/>
  <c r="J71" i="82"/>
  <c r="H71" i="82"/>
  <c r="C18" i="20"/>
  <c r="B71" i="82"/>
  <c r="M70" i="82"/>
  <c r="N70" i="82"/>
  <c r="K70" i="82"/>
  <c r="J70" i="82"/>
  <c r="H70" i="82"/>
  <c r="C15" i="20"/>
  <c r="B70" i="82"/>
  <c r="F59" i="82"/>
  <c r="H67" i="82"/>
  <c r="G67" i="82"/>
  <c r="M67" i="82"/>
  <c r="N67" i="82"/>
  <c r="K67" i="82"/>
  <c r="J67" i="82"/>
  <c r="D67" i="82"/>
  <c r="B67" i="82"/>
  <c r="H66" i="82"/>
  <c r="G66" i="82"/>
  <c r="M66" i="82"/>
  <c r="N66" i="82"/>
  <c r="K66" i="82"/>
  <c r="J66" i="82"/>
  <c r="D66" i="82"/>
  <c r="B66" i="82"/>
  <c r="H65" i="82"/>
  <c r="G65" i="82"/>
  <c r="M65" i="82"/>
  <c r="N65" i="82"/>
  <c r="K65" i="82"/>
  <c r="J65" i="82"/>
  <c r="D65" i="82"/>
  <c r="B65" i="82"/>
  <c r="H64" i="82"/>
  <c r="G64" i="82"/>
  <c r="M64" i="82"/>
  <c r="N64" i="82"/>
  <c r="K64" i="82"/>
  <c r="J64" i="82"/>
  <c r="D64" i="82"/>
  <c r="H63" i="82"/>
  <c r="G63" i="82"/>
  <c r="M63" i="82"/>
  <c r="N63" i="82"/>
  <c r="K63" i="82"/>
  <c r="J63" i="82"/>
  <c r="D63" i="82"/>
  <c r="B63" i="82"/>
  <c r="H62" i="82"/>
  <c r="G62" i="82"/>
  <c r="M62" i="82"/>
  <c r="N62" i="82"/>
  <c r="K62" i="82"/>
  <c r="J62" i="82"/>
  <c r="D62" i="82"/>
  <c r="H61" i="82"/>
  <c r="G61" i="82"/>
  <c r="M61" i="82"/>
  <c r="N61" i="82"/>
  <c r="K61" i="82"/>
  <c r="J61" i="82"/>
  <c r="D61" i="82"/>
  <c r="B61" i="82"/>
  <c r="H60" i="82"/>
  <c r="G60" i="82"/>
  <c r="M60" i="82"/>
  <c r="N60" i="82"/>
  <c r="K60" i="82"/>
  <c r="J60" i="82"/>
  <c r="D60" i="82"/>
  <c r="B60" i="82"/>
  <c r="H59" i="82"/>
  <c r="G59" i="82"/>
  <c r="M59" i="82"/>
  <c r="N59" i="82"/>
  <c r="K59" i="82"/>
  <c r="J59" i="82"/>
  <c r="D59" i="82"/>
  <c r="E59" i="82"/>
  <c r="C17" i="20"/>
  <c r="B59" i="82"/>
  <c r="B57" i="82"/>
  <c r="M56" i="82"/>
  <c r="N56" i="82"/>
  <c r="K56" i="82"/>
  <c r="J56" i="82"/>
  <c r="F48" i="82"/>
  <c r="H56" i="82"/>
  <c r="D56" i="82"/>
  <c r="B56" i="82"/>
  <c r="M55" i="82"/>
  <c r="N55" i="82"/>
  <c r="K55" i="82"/>
  <c r="J55" i="82"/>
  <c r="H55" i="82"/>
  <c r="D55" i="82"/>
  <c r="B55" i="82"/>
  <c r="M54" i="82"/>
  <c r="N54" i="82"/>
  <c r="K54" i="82"/>
  <c r="J54" i="82"/>
  <c r="H54" i="82"/>
  <c r="D54" i="82"/>
  <c r="B54" i="82"/>
  <c r="M53" i="82"/>
  <c r="N53" i="82"/>
  <c r="K53" i="82"/>
  <c r="J53" i="82"/>
  <c r="H53" i="82"/>
  <c r="D53" i="82"/>
  <c r="M52" i="82"/>
  <c r="N52" i="82"/>
  <c r="K52" i="82"/>
  <c r="J52" i="82"/>
  <c r="H52" i="82"/>
  <c r="D52" i="82"/>
  <c r="B52" i="82"/>
  <c r="M51" i="82"/>
  <c r="N51" i="82"/>
  <c r="K51" i="82"/>
  <c r="J51" i="82"/>
  <c r="H51" i="82"/>
  <c r="D51" i="82"/>
  <c r="M50" i="82"/>
  <c r="N50" i="82"/>
  <c r="K50" i="82"/>
  <c r="J50" i="82"/>
  <c r="H50" i="82"/>
  <c r="D50" i="82"/>
  <c r="B50" i="82"/>
  <c r="M49" i="82"/>
  <c r="N49" i="82"/>
  <c r="K49" i="82"/>
  <c r="J49" i="82"/>
  <c r="H49" i="82"/>
  <c r="D49" i="82"/>
  <c r="B49" i="82"/>
  <c r="M48" i="82"/>
  <c r="N48" i="82"/>
  <c r="K48" i="82"/>
  <c r="J48" i="82"/>
  <c r="H48" i="82"/>
  <c r="D48" i="82"/>
  <c r="E48" i="82"/>
  <c r="B48" i="82"/>
  <c r="B46" i="82"/>
  <c r="N28" i="82"/>
  <c r="M2" i="82"/>
  <c r="C6" i="82"/>
  <c r="G19" i="82"/>
  <c r="M20" i="82"/>
  <c r="M19" i="82"/>
  <c r="C19" i="82"/>
  <c r="F39" i="82"/>
  <c r="G39" i="82"/>
  <c r="D39" i="82"/>
  <c r="H39" i="82"/>
  <c r="I39" i="82"/>
  <c r="F38" i="82"/>
  <c r="C38" i="82"/>
  <c r="G38" i="82"/>
  <c r="H38" i="82"/>
  <c r="I38" i="82"/>
  <c r="E38" i="82"/>
  <c r="J20" i="82"/>
  <c r="I20" i="82"/>
  <c r="F37" i="82"/>
  <c r="C37" i="82"/>
  <c r="G37" i="82"/>
  <c r="H37" i="82"/>
  <c r="I37" i="82"/>
  <c r="E37" i="82"/>
  <c r="F36" i="82"/>
  <c r="C36" i="82"/>
  <c r="G36" i="82"/>
  <c r="H36" i="82"/>
  <c r="I36" i="82"/>
  <c r="E36" i="82"/>
  <c r="F35" i="82"/>
  <c r="C35" i="82"/>
  <c r="G35" i="82"/>
  <c r="H35" i="82"/>
  <c r="I35" i="82"/>
  <c r="E35" i="82"/>
  <c r="F34" i="82"/>
  <c r="C34" i="82"/>
  <c r="G34" i="82"/>
  <c r="H34" i="82"/>
  <c r="I34" i="82"/>
  <c r="E34" i="82"/>
  <c r="F33" i="82"/>
  <c r="G33" i="82"/>
  <c r="H33" i="82"/>
  <c r="I33" i="82"/>
  <c r="C15" i="82"/>
  <c r="E15" i="82"/>
  <c r="F15" i="82"/>
  <c r="C18" i="82"/>
  <c r="C30" i="82"/>
  <c r="E30" i="82"/>
  <c r="P28" i="82"/>
  <c r="M28" i="82"/>
  <c r="C27" i="82"/>
  <c r="C26" i="82"/>
  <c r="P25" i="82"/>
  <c r="P24" i="82"/>
  <c r="P23" i="82"/>
  <c r="C23" i="82"/>
  <c r="P22" i="82"/>
  <c r="J22" i="82"/>
  <c r="P21" i="82"/>
  <c r="O19" i="82"/>
  <c r="I19" i="82"/>
  <c r="O17" i="82"/>
  <c r="N17" i="82"/>
  <c r="M17" i="82"/>
  <c r="L17" i="82"/>
  <c r="K17" i="82"/>
  <c r="J17" i="82"/>
  <c r="I17" i="82"/>
  <c r="H17" i="82"/>
  <c r="G17" i="82"/>
  <c r="E17" i="82"/>
  <c r="D17" i="82"/>
  <c r="C17" i="82"/>
  <c r="T16" i="82"/>
  <c r="V16" i="82"/>
  <c r="T15" i="82"/>
  <c r="V15" i="82"/>
  <c r="T14" i="82"/>
  <c r="V14" i="82"/>
  <c r="AJ9" i="82"/>
  <c r="AJ12" i="82"/>
  <c r="AJ11" i="82"/>
  <c r="AJ13" i="82"/>
  <c r="AI9" i="82"/>
  <c r="AI12" i="82"/>
  <c r="AI11" i="82"/>
  <c r="AI13" i="82"/>
  <c r="AH9" i="82"/>
  <c r="AH12" i="82"/>
  <c r="AH11" i="82"/>
  <c r="AH13" i="82"/>
  <c r="AG9" i="82"/>
  <c r="AG12" i="82"/>
  <c r="AG11" i="82"/>
  <c r="AG13" i="82"/>
  <c r="AF9" i="82"/>
  <c r="AF12" i="82"/>
  <c r="AF11" i="82"/>
  <c r="AF13" i="82"/>
  <c r="AE9" i="82"/>
  <c r="AE12" i="82"/>
  <c r="AE11" i="82"/>
  <c r="AE13" i="82"/>
  <c r="AD9" i="82"/>
  <c r="AD12" i="82"/>
  <c r="AD11" i="82"/>
  <c r="AD13" i="82"/>
  <c r="AC9" i="82"/>
  <c r="AC12" i="82"/>
  <c r="AC11" i="82"/>
  <c r="AC13" i="82"/>
  <c r="AB9" i="82"/>
  <c r="AB12" i="82"/>
  <c r="AB11" i="82"/>
  <c r="AB13" i="82"/>
  <c r="AA9" i="82"/>
  <c r="AA12" i="82"/>
  <c r="AA11" i="82"/>
  <c r="AA13" i="82"/>
  <c r="Z9" i="82"/>
  <c r="Z12" i="82"/>
  <c r="Z11" i="82"/>
  <c r="Z13" i="82"/>
  <c r="Y12" i="82"/>
  <c r="Y11" i="82"/>
  <c r="Y13" i="82"/>
  <c r="T13" i="82"/>
  <c r="V13" i="82"/>
  <c r="T12" i="82"/>
  <c r="V12" i="82"/>
  <c r="N12" i="82"/>
  <c r="M12" i="82"/>
  <c r="T11" i="82"/>
  <c r="V11" i="82"/>
  <c r="N11" i="82"/>
  <c r="M11" i="82"/>
  <c r="C10" i="82"/>
  <c r="C11" i="82"/>
  <c r="E11" i="82"/>
  <c r="AJ10" i="82"/>
  <c r="AI10" i="82"/>
  <c r="AH10" i="82"/>
  <c r="AG10" i="82"/>
  <c r="AF10" i="82"/>
  <c r="AE10" i="82"/>
  <c r="AD10" i="82"/>
  <c r="AC10" i="82"/>
  <c r="AB10" i="82"/>
  <c r="AA10" i="82"/>
  <c r="Z10" i="82"/>
  <c r="Y10" i="82"/>
  <c r="T10" i="82"/>
  <c r="V10" i="82"/>
  <c r="N10" i="82"/>
  <c r="M10" i="82"/>
  <c r="E10" i="82"/>
  <c r="T9" i="82"/>
  <c r="V9" i="82"/>
  <c r="N9" i="82"/>
  <c r="M9" i="82"/>
  <c r="E9" i="82"/>
  <c r="C9" i="82"/>
  <c r="T8" i="82"/>
  <c r="V8" i="82"/>
  <c r="N8" i="82"/>
  <c r="M8" i="82"/>
  <c r="E8" i="82"/>
  <c r="Z7" i="82"/>
  <c r="X7" i="82"/>
  <c r="S7" i="82"/>
  <c r="T7" i="82"/>
  <c r="V7" i="82"/>
  <c r="N7" i="82"/>
  <c r="M7" i="82"/>
  <c r="C7" i="82"/>
  <c r="A7" i="82"/>
  <c r="S6" i="82"/>
  <c r="T6" i="82"/>
  <c r="V6" i="82"/>
  <c r="N6" i="82"/>
  <c r="M6" i="82"/>
  <c r="S5" i="82"/>
  <c r="T5" i="82"/>
  <c r="V5" i="82"/>
  <c r="N5" i="82"/>
  <c r="M5" i="82"/>
  <c r="S4" i="82"/>
  <c r="T4" i="82"/>
  <c r="V4" i="82"/>
  <c r="N4" i="82"/>
  <c r="M4" i="82"/>
  <c r="S3" i="82"/>
  <c r="T3" i="82"/>
  <c r="V3" i="82"/>
  <c r="N3" i="82"/>
  <c r="M3" i="82"/>
  <c r="B2" i="82"/>
  <c r="D1" i="82"/>
  <c r="B3" i="82"/>
  <c r="S2" i="82"/>
  <c r="T2" i="82"/>
  <c r="V2" i="82"/>
  <c r="N1" i="82"/>
  <c r="M1" i="82"/>
  <c r="N6" i="1"/>
  <c r="N20" i="1"/>
  <c r="G1" i="68"/>
  <c r="C19" i="43"/>
  <c r="G2" i="43"/>
  <c r="I2" i="43"/>
  <c r="N2" i="43"/>
  <c r="F59" i="43"/>
  <c r="H60" i="43"/>
  <c r="G60" i="43"/>
  <c r="K60" i="43"/>
  <c r="J60" i="43"/>
  <c r="H61" i="43"/>
  <c r="G61" i="43"/>
  <c r="K61" i="43"/>
  <c r="J61" i="43"/>
  <c r="D61" i="43"/>
  <c r="H59" i="43"/>
  <c r="G59" i="43"/>
  <c r="K59" i="43"/>
  <c r="D59" i="43"/>
  <c r="H62" i="43"/>
  <c r="G62" i="43"/>
  <c r="K62" i="43"/>
  <c r="D62" i="43"/>
  <c r="H63" i="43"/>
  <c r="G63" i="43"/>
  <c r="K63" i="43"/>
  <c r="D63" i="43"/>
  <c r="H64" i="43"/>
  <c r="G64" i="43"/>
  <c r="K64" i="43"/>
  <c r="D64" i="43"/>
  <c r="H65" i="43"/>
  <c r="G65" i="43"/>
  <c r="K65" i="43"/>
  <c r="H66" i="43"/>
  <c r="G66" i="43"/>
  <c r="K66" i="43"/>
  <c r="J66" i="43"/>
  <c r="D66" i="43"/>
  <c r="H67" i="43"/>
  <c r="G67" i="43"/>
  <c r="K67" i="43"/>
  <c r="M2" i="43"/>
  <c r="C6" i="43"/>
  <c r="F37" i="43"/>
  <c r="G41" i="43"/>
  <c r="D37" i="43"/>
  <c r="E111" i="81"/>
  <c r="H111" i="81"/>
  <c r="D126" i="81"/>
  <c r="D127" i="81"/>
  <c r="A126" i="81"/>
  <c r="E109" i="81"/>
  <c r="H109" i="81"/>
  <c r="D124" i="81"/>
  <c r="D125" i="81"/>
  <c r="A124" i="81"/>
  <c r="E107" i="81"/>
  <c r="C17" i="81"/>
  <c r="D17" i="81"/>
  <c r="C18" i="81"/>
  <c r="D19" i="6"/>
  <c r="H19" i="6"/>
  <c r="R19" i="6"/>
  <c r="D18" i="81"/>
  <c r="C24" i="81"/>
  <c r="H101" i="81"/>
  <c r="H105" i="81"/>
  <c r="H106" i="81"/>
  <c r="H103" i="81"/>
  <c r="H107" i="81"/>
  <c r="D122" i="81"/>
  <c r="D123" i="81"/>
  <c r="A122" i="81"/>
  <c r="D120" i="81"/>
  <c r="D121" i="81"/>
  <c r="A120" i="81"/>
  <c r="K120" i="81"/>
  <c r="H119" i="81"/>
  <c r="F119" i="81"/>
  <c r="D119" i="81"/>
  <c r="M18" i="81"/>
  <c r="B118" i="81"/>
  <c r="M19" i="81"/>
  <c r="C118" i="81"/>
  <c r="S2" i="4"/>
  <c r="A118" i="81"/>
  <c r="H112" i="81"/>
  <c r="H110" i="81"/>
  <c r="H108" i="81"/>
  <c r="C105" i="81"/>
  <c r="H104" i="81"/>
  <c r="C104" i="81"/>
  <c r="B3" i="78"/>
  <c r="D20" i="81"/>
  <c r="D103" i="81"/>
  <c r="C20" i="81"/>
  <c r="C103" i="81"/>
  <c r="H102" i="81"/>
  <c r="D102" i="81"/>
  <c r="C102" i="81"/>
  <c r="D101" i="81"/>
  <c r="C101" i="81"/>
  <c r="D45" i="81"/>
  <c r="C42" i="1"/>
  <c r="C85" i="81"/>
  <c r="D89" i="81"/>
  <c r="C89" i="81"/>
  <c r="C87" i="81"/>
  <c r="C91" i="81"/>
  <c r="C92" i="81"/>
  <c r="B43" i="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B41" i="1"/>
  <c r="D68" i="81"/>
  <c r="C64" i="81"/>
  <c r="C63" i="81"/>
  <c r="C67" i="81"/>
  <c r="C68" i="81"/>
  <c r="D48" i="81"/>
  <c r="M52" i="81"/>
  <c r="I55" i="81"/>
  <c r="D55" i="81"/>
  <c r="M53" i="81"/>
  <c r="D58" i="81"/>
  <c r="D56" i="81"/>
  <c r="M54" i="81"/>
  <c r="D59" i="81"/>
  <c r="M55" i="81"/>
  <c r="K6" i="4"/>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C56" i="79"/>
  <c r="D34" i="81"/>
  <c r="F33" i="81"/>
  <c r="D27" i="81"/>
  <c r="C25" i="81"/>
  <c r="D22" i="81"/>
  <c r="L19" i="81"/>
  <c r="G21" i="81"/>
  <c r="D21" i="81"/>
  <c r="C21" i="81"/>
  <c r="G20" i="81"/>
  <c r="L18" i="81"/>
  <c r="L4" i="81"/>
  <c r="K4" i="81"/>
  <c r="A2" i="81"/>
  <c r="H1" i="81"/>
  <c r="E111" i="80"/>
  <c r="H111" i="80"/>
  <c r="D126" i="80"/>
  <c r="D127" i="80"/>
  <c r="A126" i="80"/>
  <c r="E109" i="80"/>
  <c r="H109" i="80"/>
  <c r="D124" i="80"/>
  <c r="D125" i="80"/>
  <c r="A124" i="80"/>
  <c r="E107" i="80"/>
  <c r="N7" i="1"/>
  <c r="N8" i="1"/>
  <c r="N14" i="1"/>
  <c r="C17" i="80"/>
  <c r="D17" i="80"/>
  <c r="C18" i="80"/>
  <c r="F23" i="77"/>
  <c r="Y7" i="1"/>
  <c r="D18" i="80"/>
  <c r="C24" i="80"/>
  <c r="H101" i="80"/>
  <c r="H105" i="80"/>
  <c r="H106" i="80"/>
  <c r="H103" i="80"/>
  <c r="H107" i="80"/>
  <c r="D122" i="80"/>
  <c r="D123" i="80"/>
  <c r="A122" i="80"/>
  <c r="D120" i="80"/>
  <c r="D121" i="80"/>
  <c r="A120" i="80"/>
  <c r="K120" i="80"/>
  <c r="H119" i="80"/>
  <c r="F119" i="80"/>
  <c r="D119" i="80"/>
  <c r="M18" i="80"/>
  <c r="B118" i="80"/>
  <c r="M19" i="80"/>
  <c r="C118" i="80"/>
  <c r="A118" i="80"/>
  <c r="H112" i="80"/>
  <c r="H110" i="80"/>
  <c r="H108" i="80"/>
  <c r="C105" i="80"/>
  <c r="H104" i="80"/>
  <c r="C104" i="80"/>
  <c r="B3" i="77"/>
  <c r="D20" i="80"/>
  <c r="D103" i="80"/>
  <c r="C20"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56" i="68"/>
  <c r="D34" i="80"/>
  <c r="F33" i="80"/>
  <c r="D27" i="80"/>
  <c r="C25" i="80"/>
  <c r="D22" i="80"/>
  <c r="L19" i="80"/>
  <c r="G21" i="80"/>
  <c r="D21" i="80"/>
  <c r="C21" i="80"/>
  <c r="G20" i="80"/>
  <c r="L18" i="80"/>
  <c r="L4" i="80"/>
  <c r="K4" i="80"/>
  <c r="A2" i="80"/>
  <c r="H1" i="80"/>
  <c r="G1" i="79"/>
  <c r="F35" i="79"/>
  <c r="F36" i="79"/>
  <c r="E37" i="79"/>
  <c r="F38" i="79"/>
  <c r="F20" i="79"/>
  <c r="F21" i="79"/>
  <c r="C40" i="79"/>
  <c r="F30" i="79"/>
  <c r="C48" i="79"/>
  <c r="F7" i="79"/>
  <c r="B31" i="1"/>
  <c r="E19" i="79"/>
  <c r="C19" i="79"/>
  <c r="C21" i="79"/>
  <c r="C30" i="79"/>
  <c r="G41" i="79"/>
  <c r="G22" i="79"/>
  <c r="E10" i="79"/>
  <c r="E9" i="79"/>
  <c r="E2" i="79"/>
  <c r="G1" i="78"/>
  <c r="F15" i="78"/>
  <c r="F17" i="78"/>
  <c r="F18" i="78"/>
  <c r="F20" i="78"/>
  <c r="F23" i="78"/>
  <c r="F21" i="78"/>
  <c r="F28" i="78"/>
  <c r="C28" i="78"/>
  <c r="Y8" i="1"/>
  <c r="F32" i="78"/>
  <c r="F33" i="78"/>
  <c r="B52" i="1"/>
  <c r="F34" i="78"/>
  <c r="M47" i="78"/>
  <c r="C83" i="78"/>
  <c r="C82" i="78"/>
  <c r="C76" i="78"/>
  <c r="C75" i="78"/>
  <c r="C80" i="78"/>
  <c r="C79" i="78"/>
  <c r="Q65" i="78"/>
  <c r="J50" i="78"/>
  <c r="J51" i="78"/>
  <c r="L60" i="78"/>
  <c r="Q66" i="78"/>
  <c r="Q75" i="78"/>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1" i="77"/>
  <c r="F28" i="77"/>
  <c r="C28" i="77"/>
  <c r="F32" i="77"/>
  <c r="F33" i="77"/>
  <c r="F34" i="77"/>
  <c r="M47" i="77"/>
  <c r="C83" i="77"/>
  <c r="C82" i="77"/>
  <c r="C76" i="77"/>
  <c r="C75" i="77"/>
  <c r="C80" i="77"/>
  <c r="C79" i="77"/>
  <c r="Q65"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M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Y6" i="1"/>
  <c r="L14" i="1"/>
  <c r="AN13" i="3"/>
  <c r="D3" i="4"/>
  <c r="G21" i="6"/>
  <c r="G20" i="6"/>
  <c r="F19" i="6"/>
  <c r="A6" i="1"/>
  <c r="A7" i="1"/>
  <c r="A8" i="1"/>
  <c r="G1" i="67"/>
  <c r="D15" i="4"/>
  <c r="F6" i="1"/>
  <c r="F9" i="1"/>
  <c r="L48" i="67"/>
  <c r="M47" i="67"/>
  <c r="J50" i="67"/>
  <c r="J51" i="67"/>
  <c r="J53" i="67"/>
  <c r="G1" i="15"/>
  <c r="M47" i="15"/>
  <c r="J50"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J63" i="43"/>
  <c r="M62" i="43"/>
  <c r="N62" i="43"/>
  <c r="J62" i="43"/>
  <c r="M61" i="43"/>
  <c r="N61" i="43"/>
  <c r="M60" i="43"/>
  <c r="N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G15" i="4"/>
  <c r="F8"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7" i="1"/>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N3" i="43"/>
  <c r="F38"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55" i="43"/>
  <c r="H56" i="43"/>
  <c r="H72" i="43"/>
  <c r="L20" i="6"/>
  <c r="E62" i="39"/>
  <c r="E56" i="39"/>
  <c r="E51" i="40"/>
  <c r="B6" i="1"/>
  <c r="E6" i="1"/>
  <c r="K21" i="6"/>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O7" i="1"/>
  <c r="Q16" i="1"/>
  <c r="F27" i="69"/>
  <c r="C47" i="69"/>
  <c r="D45" i="69"/>
  <c r="H16" i="1"/>
  <c r="K16" i="1"/>
  <c r="AB45" i="21"/>
  <c r="W33" i="21"/>
  <c r="S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F27" i="11"/>
  <c r="F1" i="67"/>
  <c r="Q52" i="67"/>
  <c r="AC11" i="37"/>
  <c r="W11" i="37"/>
  <c r="W11" i="34"/>
  <c r="AC11" i="34"/>
  <c r="B2" i="74"/>
  <c r="E6" i="3"/>
  <c r="D10" i="11"/>
  <c r="C10" i="11"/>
  <c r="D20" i="12"/>
  <c r="C20" i="12"/>
  <c r="D25" i="6"/>
  <c r="D26" i="6"/>
  <c r="D15" i="6"/>
  <c r="C18" i="4"/>
  <c r="D22" i="6"/>
  <c r="D8" i="6"/>
  <c r="D23" i="6"/>
  <c r="D24" i="6"/>
  <c r="D14" i="6"/>
  <c r="D5" i="6"/>
  <c r="D6" i="6"/>
  <c r="D12" i="6"/>
  <c r="D9" i="6"/>
  <c r="D11" i="6"/>
  <c r="D10" i="6"/>
  <c r="D13" i="6"/>
  <c r="L19" i="9"/>
  <c r="D29" i="6"/>
  <c r="E61" i="40"/>
  <c r="H25" i="6"/>
  <c r="R25" i="6"/>
  <c r="H22" i="6"/>
  <c r="H23" i="6"/>
  <c r="H26" i="6"/>
  <c r="H24" i="6"/>
  <c r="P16" i="1"/>
  <c r="C11" i="12"/>
  <c r="C15" i="12"/>
  <c r="F34" i="11"/>
  <c r="C37" i="11"/>
  <c r="F11" i="12"/>
  <c r="S19" i="6"/>
  <c r="S27" i="6"/>
  <c r="I27" i="6"/>
  <c r="F50" i="11"/>
  <c r="F50" i="69"/>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AG6" i="1"/>
  <c r="H109" i="9"/>
  <c r="D2" i="21"/>
  <c r="C49" i="21"/>
  <c r="B2" i="21"/>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AO6" i="1"/>
  <c r="B12" i="76"/>
  <c r="E11" i="76"/>
  <c r="M29" i="15"/>
  <c r="F7" i="73"/>
  <c r="E10" i="76"/>
  <c r="F16" i="67"/>
  <c r="F36" i="67"/>
  <c r="M22" i="67"/>
  <c r="M6" i="67"/>
  <c r="AO10" i="1"/>
  <c r="AO12" i="1"/>
  <c r="F6" i="73"/>
  <c r="F6" i="67"/>
  <c r="M26" i="67"/>
  <c r="C79" i="15"/>
  <c r="C83" i="15"/>
  <c r="C82" i="15"/>
  <c r="D34" i="9"/>
  <c r="M8" i="67"/>
  <c r="D20" i="9"/>
  <c r="M23" i="67"/>
  <c r="D2" i="37"/>
  <c r="E9" i="76"/>
  <c r="F40" i="67"/>
  <c r="B3" i="21"/>
  <c r="C20" i="9"/>
  <c r="F42" i="67"/>
  <c r="E2" i="69"/>
  <c r="M21" i="67"/>
  <c r="L47" i="15"/>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J57" i="15"/>
  <c r="J55" i="15"/>
  <c r="J58" i="15"/>
  <c r="Q50" i="15"/>
  <c r="I54" i="15"/>
  <c r="L56" i="15"/>
  <c r="F71" i="67"/>
  <c r="F66" i="15"/>
  <c r="F50" i="15"/>
  <c r="J18" i="15"/>
  <c r="B10" i="70"/>
  <c r="F68" i="67"/>
  <c r="F66" i="67"/>
  <c r="L59" i="67"/>
  <c r="M59" i="67"/>
  <c r="N59" i="67"/>
  <c r="L58" i="67"/>
  <c r="F68" i="15"/>
  <c r="N59" i="15"/>
  <c r="L59" i="15"/>
  <c r="M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M28" i="43"/>
  <c r="D65" i="40"/>
  <c r="E63" i="40"/>
  <c r="G17" i="43"/>
  <c r="C5" i="43"/>
  <c r="E58" i="21"/>
  <c r="F58" i="21"/>
  <c r="G58" i="21"/>
  <c r="H58" i="21"/>
  <c r="I58" i="21"/>
  <c r="J58" i="21"/>
  <c r="K58" i="21"/>
  <c r="L58" i="21"/>
  <c r="M58" i="21"/>
  <c r="N58" i="21"/>
  <c r="O58"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P28" i="43"/>
  <c r="Q60" i="15"/>
  <c r="Q73" i="15"/>
  <c r="Q74" i="15"/>
  <c r="Q61" i="15"/>
  <c r="Q61" i="67"/>
  <c r="Q74" i="67"/>
  <c r="O28" i="43"/>
  <c r="E65" i="40"/>
  <c r="F63" i="40"/>
  <c r="E41" i="43"/>
  <c r="C41"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59" i="15"/>
  <c r="J60" i="15"/>
  <c r="L46"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15"/>
  <c r="L51" i="67"/>
  <c r="C80" i="67"/>
  <c r="C79" i="67"/>
  <c r="C57" i="69"/>
  <c r="C56" i="69"/>
  <c r="C58" i="15"/>
  <c r="C67" i="15"/>
  <c r="C68" i="15"/>
  <c r="C71" i="15"/>
  <c r="C56" i="11"/>
  <c r="C57" i="11"/>
  <c r="Q68" i="67"/>
  <c r="Q69" i="15"/>
  <c r="Q68" i="15"/>
  <c r="K63" i="40"/>
  <c r="J65" i="40"/>
  <c r="K68" i="39"/>
  <c r="J70" i="39"/>
  <c r="B3" i="76"/>
  <c r="Q67" i="67"/>
  <c r="L57" i="67"/>
  <c r="L60" i="67"/>
  <c r="Q67" i="15"/>
  <c r="L57" i="15"/>
  <c r="L60"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Lai, Yingying</author>
    <author>chuna</author>
    <author>Yu, Yabin</author>
  </authors>
  <commentList>
    <comment ref="F37" authorId="0" shapeId="0">
      <text>
        <r>
          <rPr>
            <b/>
            <sz val="9"/>
            <color indexed="81"/>
            <rFont val="Tahoma"/>
            <family val="2"/>
          </rPr>
          <t>User:</t>
        </r>
        <r>
          <rPr>
            <sz val="9"/>
            <color indexed="81"/>
            <rFont val="Tahoma"/>
            <family val="2"/>
          </rPr>
          <t xml:space="preserve">
</t>
        </r>
        <r>
          <rPr>
            <sz val="9"/>
            <color indexed="81"/>
            <rFont val="宋体"/>
            <family val="3"/>
            <charset val="134"/>
          </rPr>
          <t>大众汽车（中国）投资有限公司</t>
        </r>
      </text>
    </comment>
    <comment ref="F39" authorId="1" shapeId="0">
      <text>
        <r>
          <rPr>
            <b/>
            <sz val="9"/>
            <color indexed="81"/>
            <rFont val="宋体"/>
            <family val="3"/>
            <charset val="134"/>
          </rPr>
          <t>Lai, Yingying:</t>
        </r>
        <r>
          <rPr>
            <sz val="9"/>
            <color indexed="81"/>
            <rFont val="宋体"/>
            <family val="3"/>
            <charset val="134"/>
          </rPr>
          <t xml:space="preserve">
台帐里合同已变为宝日医生物技术（北京）有限公司</t>
        </r>
      </text>
    </comment>
    <comment ref="F40" authorId="1" shapeId="0">
      <text>
        <r>
          <rPr>
            <b/>
            <sz val="9"/>
            <color indexed="81"/>
            <rFont val="宋体"/>
            <family val="3"/>
            <charset val="134"/>
          </rPr>
          <t>Lai, Yingying:</t>
        </r>
        <r>
          <rPr>
            <sz val="9"/>
            <color indexed="81"/>
            <rFont val="宋体"/>
            <family val="3"/>
            <charset val="134"/>
          </rPr>
          <t xml:space="preserve">
已续签</t>
        </r>
      </text>
    </comment>
    <comment ref="N44" authorId="1" shapeId="0">
      <text>
        <r>
          <rPr>
            <b/>
            <sz val="9"/>
            <color indexed="81"/>
            <rFont val="宋体"/>
            <family val="3"/>
            <charset val="134"/>
          </rPr>
          <t>Lai, Yingying:</t>
        </r>
        <r>
          <rPr>
            <sz val="9"/>
            <color indexed="81"/>
            <rFont val="宋体"/>
            <family val="3"/>
            <charset val="134"/>
          </rPr>
          <t xml:space="preserve">
车位月租金1200</t>
        </r>
      </text>
    </comment>
    <comment ref="F53" authorId="1" shapeId="0">
      <text>
        <r>
          <rPr>
            <b/>
            <sz val="9"/>
            <color indexed="81"/>
            <rFont val="宋体"/>
            <family val="3"/>
            <charset val="134"/>
          </rPr>
          <t>Lai, Yingying:</t>
        </r>
        <r>
          <rPr>
            <sz val="9"/>
            <color indexed="81"/>
            <rFont val="宋体"/>
            <family val="3"/>
            <charset val="134"/>
          </rPr>
          <t xml:space="preserve">
合同是冲电气实业，且合同也没有到期</t>
        </r>
      </text>
    </comment>
    <comment ref="F60" authorId="1" shapeId="0">
      <text>
        <r>
          <rPr>
            <b/>
            <sz val="9"/>
            <color indexed="81"/>
            <rFont val="宋体"/>
            <family val="3"/>
            <charset val="134"/>
          </rPr>
          <t>Lai, Yingying:</t>
        </r>
        <r>
          <rPr>
            <sz val="9"/>
            <color indexed="81"/>
            <rFont val="宋体"/>
            <family val="3"/>
            <charset val="134"/>
          </rPr>
          <t xml:space="preserve">
续签，无对应合同</t>
        </r>
      </text>
    </comment>
    <comment ref="F63"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I84" authorId="1" shapeId="0">
      <text>
        <r>
          <rPr>
            <b/>
            <sz val="9"/>
            <color indexed="81"/>
            <rFont val="宋体"/>
            <family val="3"/>
            <charset val="134"/>
          </rPr>
          <t>Lai, Yingying:</t>
        </r>
        <r>
          <rPr>
            <sz val="9"/>
            <color indexed="81"/>
            <rFont val="宋体"/>
            <family val="3"/>
            <charset val="134"/>
          </rPr>
          <t xml:space="preserve">
2月2日换至1002
</t>
        </r>
      </text>
    </comment>
    <comment ref="F88"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C94" authorId="3" shapeId="0">
      <text>
        <r>
          <rPr>
            <b/>
            <sz val="9"/>
            <color indexed="81"/>
            <rFont val="宋体"/>
            <family val="3"/>
            <charset val="134"/>
          </rPr>
          <t>Yu, Yabin:</t>
        </r>
        <r>
          <rPr>
            <sz val="9"/>
            <color indexed="81"/>
            <rFont val="宋体"/>
            <family val="3"/>
            <charset val="134"/>
          </rPr>
          <t xml:space="preserve">
8月17 从1301换入</t>
        </r>
      </text>
    </comment>
    <comment ref="AA110" authorId="3" shapeId="0">
      <text>
        <r>
          <rPr>
            <b/>
            <sz val="9"/>
            <color indexed="81"/>
            <rFont val="宋体"/>
            <family val="3"/>
            <charset val="134"/>
          </rPr>
          <t>Yu, Yabin:</t>
        </r>
        <r>
          <rPr>
            <sz val="9"/>
            <color indexed="81"/>
            <rFont val="宋体"/>
            <family val="3"/>
            <charset val="134"/>
          </rPr>
          <t xml:space="preserve">
合同中无收取方式</t>
        </r>
      </text>
    </comment>
    <comment ref="C114" authorId="3" shapeId="0">
      <text>
        <r>
          <rPr>
            <b/>
            <sz val="9"/>
            <color indexed="81"/>
            <rFont val="宋体"/>
            <family val="3"/>
            <charset val="134"/>
          </rPr>
          <t>Yu, Yabin:</t>
        </r>
        <r>
          <rPr>
            <sz val="9"/>
            <color indexed="81"/>
            <rFont val="宋体"/>
            <family val="3"/>
            <charset val="134"/>
          </rPr>
          <t xml:space="preserve">
合同未回</t>
        </r>
      </text>
    </comment>
    <comment ref="C119" authorId="0" shapeId="0">
      <text>
        <r>
          <rPr>
            <b/>
            <sz val="9"/>
            <color indexed="81"/>
            <rFont val="Tahoma"/>
            <family val="2"/>
          </rPr>
          <t>User:</t>
        </r>
        <r>
          <rPr>
            <sz val="9"/>
            <color indexed="81"/>
            <rFont val="Tahoma"/>
            <family val="2"/>
          </rPr>
          <t xml:space="preserve">
2006.7.1-2015.6.30   28550/</t>
        </r>
        <r>
          <rPr>
            <sz val="9"/>
            <color indexed="81"/>
            <rFont val="宋体"/>
            <family val="3"/>
            <charset val="134"/>
          </rPr>
          <t xml:space="preserve">月
</t>
        </r>
        <r>
          <rPr>
            <sz val="9"/>
            <color indexed="81"/>
            <rFont val="Tahoma"/>
            <family val="2"/>
          </rPr>
          <t>2015.7.1-2016.6.30   29500/</t>
        </r>
        <r>
          <rPr>
            <sz val="9"/>
            <color indexed="81"/>
            <rFont val="宋体"/>
            <family val="3"/>
            <charset val="134"/>
          </rPr>
          <t xml:space="preserve">月
</t>
        </r>
        <r>
          <rPr>
            <sz val="9"/>
            <color indexed="81"/>
            <rFont val="Tahoma"/>
            <family val="2"/>
          </rPr>
          <t>2016.7.1-2017.6.30   29500/</t>
        </r>
        <r>
          <rPr>
            <sz val="9"/>
            <color indexed="81"/>
            <rFont val="宋体"/>
            <family val="3"/>
            <charset val="134"/>
          </rPr>
          <t>月</t>
        </r>
      </text>
    </comment>
    <comment ref="N119" authorId="3" shapeId="0">
      <text>
        <r>
          <rPr>
            <b/>
            <sz val="9"/>
            <color indexed="81"/>
            <rFont val="宋体"/>
            <family val="3"/>
            <charset val="134"/>
          </rPr>
          <t>Yu, Yabin:</t>
        </r>
        <r>
          <rPr>
            <sz val="9"/>
            <color indexed="81"/>
            <rFont val="宋体"/>
            <family val="3"/>
            <charset val="134"/>
          </rPr>
          <t xml:space="preserve">
公司已改，但无合同</t>
        </r>
      </text>
    </comment>
    <comment ref="AE119" authorId="3" shapeId="0">
      <text>
        <r>
          <rPr>
            <b/>
            <sz val="9"/>
            <color indexed="81"/>
            <rFont val="宋体"/>
            <family val="3"/>
            <charset val="134"/>
          </rPr>
          <t>Yu, Yabin:</t>
        </r>
        <r>
          <rPr>
            <sz val="9"/>
            <color indexed="81"/>
            <rFont val="宋体"/>
            <family val="3"/>
            <charset val="134"/>
          </rPr>
          <t>公司已改，但无合同</t>
        </r>
      </text>
    </comment>
    <comment ref="C121" authorId="3" shapeId="0">
      <text>
        <r>
          <rPr>
            <b/>
            <sz val="9"/>
            <color indexed="81"/>
            <rFont val="宋体"/>
            <family val="3"/>
            <charset val="134"/>
          </rPr>
          <t>Yu, Yabin:</t>
        </r>
        <r>
          <rPr>
            <sz val="9"/>
            <color indexed="81"/>
            <rFont val="宋体"/>
            <family val="3"/>
            <charset val="134"/>
          </rPr>
          <t xml:space="preserve">
续签，但无合同</t>
        </r>
      </text>
    </comment>
    <comment ref="C125" authorId="3" shapeId="0">
      <text>
        <r>
          <rPr>
            <b/>
            <sz val="9"/>
            <color indexed="81"/>
            <rFont val="宋体"/>
            <family val="3"/>
            <charset val="134"/>
          </rPr>
          <t>Yu, Yabin:</t>
        </r>
        <r>
          <rPr>
            <sz val="9"/>
            <color indexed="81"/>
            <rFont val="宋体"/>
            <family val="3"/>
            <charset val="134"/>
          </rPr>
          <t xml:space="preserve">
由三单元2313换到五单元6501
</t>
        </r>
      </text>
    </comment>
    <comment ref="C134" authorId="3" shapeId="0">
      <text>
        <r>
          <rPr>
            <b/>
            <sz val="9"/>
            <color indexed="81"/>
            <rFont val="宋体"/>
            <family val="3"/>
            <charset val="134"/>
          </rPr>
          <t>Yu, Yabin:</t>
        </r>
        <r>
          <rPr>
            <sz val="9"/>
            <color indexed="81"/>
            <rFont val="宋体"/>
            <family val="3"/>
            <charset val="134"/>
          </rPr>
          <t xml:space="preserve">
4月份到期</t>
        </r>
      </text>
    </comment>
    <comment ref="C137" authorId="3" shapeId="0">
      <text>
        <r>
          <rPr>
            <b/>
            <sz val="9"/>
            <color indexed="81"/>
            <rFont val="宋体"/>
            <family val="3"/>
            <charset val="134"/>
          </rPr>
          <t>Yu, Yabin:</t>
        </r>
        <r>
          <rPr>
            <sz val="9"/>
            <color indexed="81"/>
            <rFont val="宋体"/>
            <family val="3"/>
            <charset val="134"/>
          </rPr>
          <t xml:space="preserve">
3月底到期</t>
        </r>
      </text>
    </comment>
    <comment ref="F141" authorId="3" shapeId="0">
      <text>
        <r>
          <rPr>
            <b/>
            <sz val="9"/>
            <color indexed="81"/>
            <rFont val="宋体"/>
            <family val="3"/>
            <charset val="134"/>
          </rPr>
          <t>Yu, Yabin:</t>
        </r>
        <r>
          <rPr>
            <sz val="9"/>
            <color indexed="81"/>
            <rFont val="宋体"/>
            <family val="3"/>
            <charset val="134"/>
          </rPr>
          <t xml:space="preserve">
没有合同</t>
        </r>
      </text>
    </comment>
    <comment ref="C148" authorId="3" shapeId="0">
      <text>
        <r>
          <rPr>
            <b/>
            <sz val="9"/>
            <color indexed="81"/>
            <rFont val="宋体"/>
            <family val="3"/>
            <charset val="134"/>
          </rPr>
          <t>Yu, Yabin:</t>
        </r>
        <r>
          <rPr>
            <sz val="9"/>
            <color indexed="81"/>
            <rFont val="宋体"/>
            <family val="3"/>
            <charset val="134"/>
          </rPr>
          <t xml:space="preserve">
3月1日之前空置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<sst xmlns="http://schemas.openxmlformats.org/spreadsheetml/2006/main" count="11607" uniqueCount="3712">
  <si>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</si>
  <si>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</si>
  <si>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</si>
  <si>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</si>
  <si>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</si>
  <si>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</si>
  <si>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</si>
  <si>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</si>
  <si>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</si>
  <si>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</si>
  <si>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</si>
  <si>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</si>
  <si>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</si>
  <si>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</si>
  <si>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</si>
  <si>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</si>
  <si>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</si>
  <si>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</si>
  <si>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</si>
  <si>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</si>
  <si>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</si>
  <si>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</si>
  <si>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</si>
  <si>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</si>
  <si>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</si>
  <si>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</si>
  <si>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</si>
  <si>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</si>
  <si>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</si>
  <si>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</si>
  <si>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</si>
  <si>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</si>
  <si>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</si>
  <si>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</si>
  <si>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</si>
  <si>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</si>
  <si>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</si>
  <si>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</si>
  <si>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</si>
  <si>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</si>
  <si>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</si>
  <si>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</si>
  <si>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</si>
  <si>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</si>
  <si>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</si>
  <si>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</si>
  <si>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</si>
  <si>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</si>
  <si>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</si>
  <si>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</si>
  <si>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</si>
  <si>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</si>
  <si>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</si>
  <si>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</si>
  <si>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</si>
  <si>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</si>
  <si>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</si>
  <si>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</si>
  <si>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</si>
  <si>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</si>
  <si>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</si>
  <si>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</si>
  <si>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</si>
  <si>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</si>
  <si>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</si>
  <si>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</si>
  <si>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</si>
  <si>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</si>
  <si>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</si>
  <si>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</si>
  <si>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</si>
  <si>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</si>
  <si>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</si>
  <si>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</si>
  <si>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</si>
  <si>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</si>
  <si>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</si>
  <si>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</si>
  <si>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</si>
  <si>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</si>
  <si>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</si>
  <si>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</si>
  <si>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</si>
  <si>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</si>
  <si>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</si>
  <si>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</si>
  <si>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</si>
  <si>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</si>
  <si>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</si>
  <si>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</si>
  <si>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</si>
  <si>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</si>
  <si>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</si>
  <si>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</si>
  <si>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</si>
  <si>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</si>
  <si>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</si>
  <si>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</si>
  <si>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</si>
  <si>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</si>
  <si>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</si>
  <si>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</si>
  <si>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</si>
  <si>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</si>
  <si>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</si>
  <si>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</si>
  <si>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</si>
  <si>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</si>
  <si>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</si>
  <si>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</si>
  <si>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</si>
  <si>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</si>
  <si>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</si>
  <si>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</si>
  <si>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</si>
  <si>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</si>
  <si>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</si>
  <si>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</si>
  <si>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</si>
  <si>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</si>
  <si>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</si>
  <si>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</si>
  <si>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</si>
  <si>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</si>
  <si>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</si>
  <si>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</si>
  <si>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</si>
  <si>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</si>
  <si>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</si>
  <si>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</si>
  <si>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</si>
  <si>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</si>
  <si>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</si>
  <si>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</si>
  <si>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</si>
  <si>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</si>
  <si>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</si>
  <si>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</si>
  <si>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</si>
  <si>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</si>
  <si>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</si>
  <si>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</si>
  <si>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</si>
  <si>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</si>
  <si>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</si>
  <si>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</si>
  <si>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</si>
  <si>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</si>
  <si>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</si>
  <si>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</si>
  <si>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</si>
  <si>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</si>
  <si>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</si>
  <si>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</si>
  <si>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</si>
  <si>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</si>
  <si>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</si>
  <si>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</si>
  <si>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</si>
  <si>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</si>
  <si>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</si>
  <si>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</si>
  <si>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</si>
  <si>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</si>
  <si>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</si>
  <si>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</si>
  <si>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</si>
  <si>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</si>
  <si>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</si>
  <si>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</si>
  <si>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</si>
  <si>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</si>
  <si>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</si>
  <si>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</si>
  <si>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</si>
  <si>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</si>
  <si>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</si>
  <si>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</si>
  <si>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</si>
  <si>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</si>
  <si>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</si>
  <si>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</si>
  <si>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</si>
  <si>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</si>
  <si>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</si>
  <si>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</si>
  <si>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</si>
  <si>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</si>
  <si>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</si>
  <si>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</si>
  <si>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</si>
  <si>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</si>
  <si>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</si>
  <si>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</si>
  <si>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</si>
  <si>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</si>
  <si>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</si>
  <si>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</si>
  <si>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</si>
  <si>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</si>
  <si>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</si>
  <si>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</si>
  <si>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</si>
  <si>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</si>
  <si>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</si>
  <si>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</si>
  <si>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</si>
  <si>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</si>
  <si>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</si>
  <si>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</si>
  <si>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</si>
  <si>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</si>
  <si>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</si>
  <si>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</si>
  <si>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</si>
  <si>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</si>
  <si>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</si>
  <si>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</si>
  <si>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</si>
  <si>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</si>
  <si>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</si>
  <si>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</si>
  <si>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</si>
  <si>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</si>
  <si>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</si>
  <si>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</si>
  <si>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</si>
  <si>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</si>
  <si>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</si>
  <si>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</si>
  <si>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</si>
  <si>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</si>
  <si>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</si>
  <si>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</si>
  <si>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</si>
  <si>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</si>
  <si>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</si>
  <si>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</si>
  <si>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</si>
  <si>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</si>
  <si>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</si>
  <si>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</si>
  <si>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</si>
  <si>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</si>
  <si>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</si>
  <si>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</si>
  <si>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</si>
  <si>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</si>
  <si>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</si>
  <si>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</si>
  <si>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</si>
  <si>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</si>
  <si>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</si>
  <si>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</si>
  <si>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</si>
  <si>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</si>
  <si>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</si>
  <si>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</si>
  <si>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</si>
  <si>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</si>
  <si>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</si>
  <si>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</si>
  <si>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</si>
  <si>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</si>
  <si>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</si>
  <si>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</si>
  <si>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</si>
  <si>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</si>
  <si>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</si>
  <si>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</si>
  <si>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</si>
  <si>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</si>
  <si>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</si>
  <si>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</si>
  <si>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</si>
  <si>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</si>
  <si>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</si>
  <si>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</si>
  <si>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</si>
  <si>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</si>
  <si>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</si>
  <si>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</si>
  <si>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</si>
  <si>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</si>
  <si>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</si>
  <si>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</si>
  <si>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</si>
  <si>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</si>
  <si>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</si>
  <si>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</si>
  <si>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</si>
  <si>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</si>
  <si>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</si>
  <si>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</si>
  <si>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</si>
  <si>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</si>
  <si>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</si>
  <si>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</si>
  <si>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</si>
  <si>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</si>
  <si>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</si>
  <si>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</si>
  <si>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</si>
  <si>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</si>
  <si>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</si>
  <si>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</si>
  <si>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</si>
  <si>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</si>
  <si>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</si>
  <si>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</si>
  <si>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</si>
  <si>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</si>
  <si>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</si>
  <si>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</si>
  <si>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</si>
  <si>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</si>
  <si>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</si>
  <si>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</si>
  <si>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</si>
  <si>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</si>
  <si>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</si>
  <si>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</si>
  <si>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</si>
  <si>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</si>
  <si>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</si>
  <si>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</si>
  <si>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</si>
  <si>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</si>
  <si>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</si>
  <si>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</si>
  <si>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</si>
  <si>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</si>
  <si>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</si>
  <si>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</si>
  <si>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</si>
  <si>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</si>
  <si>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</si>
  <si>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</si>
  <si>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</si>
  <si>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</si>
  <si>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</si>
  <si>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</si>
  <si>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</si>
  <si>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</si>
  <si>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</si>
  <si>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</si>
  <si>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</si>
  <si>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</si>
  <si>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</si>
  <si>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</si>
  <si>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</si>
  <si>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</si>
  <si>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</si>
  <si>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</si>
  <si>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</si>
  <si>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</si>
  <si>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</si>
  <si>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</si>
  <si>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</si>
  <si>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</si>
  <si>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</si>
  <si>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</si>
  <si>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</si>
  <si>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</si>
  <si>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</si>
  <si>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</si>
  <si>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</si>
  <si>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</si>
  <si>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</si>
  <si>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</si>
  <si>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</si>
  <si>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</si>
  <si>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</si>
  <si>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</si>
  <si>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</si>
  <si>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</si>
  <si>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</si>
  <si>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</si>
  <si>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</si>
  <si>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</si>
  <si>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</si>
  <si>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</si>
  <si>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</si>
  <si>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</si>
  <si>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</si>
  <si>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</si>
  <si>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</si>
  <si>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</si>
  <si>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</si>
  <si>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</si>
  <si>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</si>
  <si>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</si>
  <si>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</si>
  <si>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</si>
  <si>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</si>
  <si>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</si>
  <si>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</si>
  <si>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</si>
  <si>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</si>
  <si>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</si>
  <si>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</si>
  <si>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</si>
  <si>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</si>
  <si>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</si>
  <si>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</si>
  <si>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</si>
  <si>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</si>
  <si>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</si>
  <si>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</si>
  <si>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</si>
  <si>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</si>
  <si>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</si>
  <si>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</si>
  <si>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</si>
  <si>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</si>
  <si>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</si>
  <si>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</si>
  <si>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</si>
  <si>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</si>
  <si>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</si>
  <si>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</si>
  <si>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</si>
  <si>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</si>
  <si>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</si>
  <si>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</si>
  <si>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</si>
  <si>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</si>
  <si>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</si>
  <si>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</si>
  <si>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</si>
  <si>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</si>
  <si>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</si>
  <si>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</si>
  <si>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</si>
  <si>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</si>
  <si>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</si>
  <si>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</si>
  <si>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</si>
  <si>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</si>
  <si>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</si>
  <si>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</si>
  <si>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</si>
  <si>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</si>
  <si>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</si>
  <si>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</si>
  <si>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</si>
  <si>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</si>
  <si>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</si>
  <si>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</si>
  <si>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</si>
  <si>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</si>
  <si>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</si>
  <si>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</si>
  <si>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</si>
  <si>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</si>
  <si>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</si>
  <si>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</si>
  <si>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</si>
  <si>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</si>
  <si>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</si>
  <si>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</si>
  <si>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</si>
  <si>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</si>
  <si>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</si>
  <si>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</si>
  <si>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</si>
  <si>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</si>
  <si>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</si>
  <si>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</si>
  <si>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</si>
  <si>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</si>
  <si>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</si>
  <si>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</si>
  <si>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</si>
  <si>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</si>
  <si>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</si>
  <si>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</si>
  <si>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</si>
  <si>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</si>
  <si>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</si>
  <si>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</si>
  <si>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</si>
  <si>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</si>
  <si>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</si>
  <si>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</si>
  <si>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</si>
  <si>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</si>
  <si>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</si>
  <si>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</si>
  <si>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</si>
  <si>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</si>
  <si>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</si>
  <si>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</si>
  <si>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</si>
  <si>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</si>
  <si>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</si>
  <si>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</si>
  <si>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</si>
  <si>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</si>
  <si>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</si>
  <si>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</si>
  <si>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</si>
  <si>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</si>
  <si>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</si>
  <si>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</si>
  <si>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</si>
  <si>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</si>
  <si>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</si>
  <si>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</si>
  <si>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</si>
  <si>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</si>
  <si>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</si>
  <si>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</si>
  <si>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</si>
  <si>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</si>
  <si>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</si>
  <si>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</si>
  <si>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</si>
  <si>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</si>
  <si>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</si>
  <si>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</si>
  <si>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</si>
  <si>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</si>
  <si>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</si>
  <si>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</si>
  <si>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</si>
  <si>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</si>
  <si>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</si>
  <si>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</si>
  <si>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</si>
  <si>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</si>
  <si>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</si>
  <si>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</si>
  <si>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</si>
  <si>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</si>
  <si>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</si>
  <si>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</si>
  <si>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</si>
  <si>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</si>
  <si>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</si>
  <si>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</si>
  <si>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</si>
  <si>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</si>
  <si>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</si>
  <si>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</si>
  <si>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</si>
  <si>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</si>
  <si>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</si>
  <si>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</si>
  <si>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</si>
  <si>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</si>
  <si>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</si>
  <si>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</si>
  <si>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</si>
  <si>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</si>
  <si>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</si>
  <si>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</si>
  <si>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</si>
  <si>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</si>
  <si>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</si>
  <si>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</si>
  <si>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</si>
  <si>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</si>
  <si>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</si>
  <si>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</si>
  <si>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</si>
  <si>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</si>
  <si>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</si>
  <si>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</si>
  <si>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</si>
  <si>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</si>
  <si>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</si>
  <si>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</si>
  <si>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</si>
  <si>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</si>
  <si>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</si>
  <si>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</si>
  <si>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</si>
  <si>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</si>
  <si>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</si>
  <si>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</si>
  <si>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</si>
  <si>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</si>
  <si>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</si>
  <si>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</si>
  <si>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</si>
  <si>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</si>
  <si>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</si>
  <si>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</si>
  <si>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</si>
  <si>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</si>
  <si>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</si>
  <si>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</si>
  <si>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</si>
  <si>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</si>
  <si>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</si>
  <si>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</si>
  <si>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</si>
  <si>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</si>
  <si>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</si>
  <si>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</si>
  <si>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</si>
  <si>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</si>
  <si>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</si>
  <si>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</si>
  <si>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</si>
  <si>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</si>
  <si>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</si>
  <si>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</si>
  <si>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</si>
  <si>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</si>
  <si>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</si>
  <si>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</si>
  <si>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</si>
  <si>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</si>
  <si>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</si>
  <si>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</si>
  <si>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</si>
  <si>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</si>
  <si>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</si>
  <si>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</si>
  <si>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</si>
  <si>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</si>
  <si>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</si>
  <si>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</si>
  <si>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</si>
  <si>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</si>
  <si>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</si>
  <si>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</si>
  <si>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</si>
  <si>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</si>
  <si>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</si>
  <si>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</si>
  <si>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</si>
  <si>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</si>
  <si>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</si>
  <si>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</si>
  <si>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</si>
  <si>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</si>
  <si>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</si>
  <si>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</si>
  <si>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</si>
  <si>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</si>
  <si>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</si>
  <si>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</si>
  <si>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</si>
  <si>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</si>
  <si>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</si>
  <si>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</si>
  <si>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</si>
  <si>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</si>
  <si>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</si>
  <si>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</si>
  <si>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</si>
  <si>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</si>
  <si>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</si>
  <si>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</si>
  <si>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</si>
  <si>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</si>
  <si>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</si>
  <si>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</si>
  <si>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</si>
  <si>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</si>
  <si>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</si>
  <si>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</si>
  <si>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</si>
  <si>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</si>
  <si>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</si>
  <si>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</si>
  <si>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</si>
  <si>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</si>
  <si>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</si>
  <si>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</si>
  <si>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</si>
  <si>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</si>
  <si>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</si>
  <si>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</si>
  <si>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</si>
  <si>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</si>
  <si>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</si>
  <si>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</si>
  <si>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</si>
  <si>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</si>
  <si>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</si>
  <si>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</si>
  <si>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</si>
  <si>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</si>
  <si>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</si>
  <si>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</si>
  <si>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</si>
  <si>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</si>
  <si>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</si>
  <si>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</si>
  <si>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</si>
  <si>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</si>
  <si>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</si>
  <si>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</si>
  <si>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</si>
  <si>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</si>
  <si>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</si>
  <si>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</si>
  <si>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</si>
  <si>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</si>
  <si>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</si>
  <si>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</si>
  <si>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</si>
  <si>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</si>
  <si>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</si>
  <si>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</si>
  <si>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</si>
  <si>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</si>
  <si>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</si>
  <si>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</si>
  <si>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</si>
  <si>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</si>
  <si>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</si>
  <si>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</si>
  <si>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</si>
  <si>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</si>
  <si>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</si>
  <si>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</si>
  <si>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</si>
  <si>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</si>
  <si>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</si>
  <si>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</si>
  <si>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</si>
  <si>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</si>
  <si>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</si>
  <si>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</si>
  <si>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</si>
  <si>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</si>
  <si>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</si>
  <si>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</si>
  <si>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</si>
  <si>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</si>
  <si>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</si>
  <si>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</si>
  <si>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</si>
  <si>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</si>
  <si>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</si>
  <si>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</si>
  <si>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</si>
  <si>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</si>
  <si>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</si>
  <si>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</si>
  <si>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</si>
  <si>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</si>
  <si>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</si>
  <si>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</si>
  <si>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</si>
  <si>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</si>
  <si>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</si>
  <si>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</si>
  <si>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</si>
  <si>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</si>
  <si>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</si>
  <si>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</si>
  <si>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</si>
  <si>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</si>
  <si>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</si>
  <si>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</si>
  <si>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</si>
  <si>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</si>
  <si>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</si>
  <si>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</si>
  <si>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</si>
  <si>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</si>
  <si>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</si>
  <si>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</si>
  <si>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</si>
  <si>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</si>
  <si>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</si>
  <si>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</si>
  <si>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</si>
  <si>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</si>
  <si>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</si>
  <si>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</si>
  <si>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</si>
  <si>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</si>
  <si>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</si>
  <si>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</si>
  <si>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</si>
  <si>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</si>
  <si>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</si>
  <si>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</si>
  <si>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</si>
  <si>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</si>
  <si>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</si>
  <si>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</si>
  <si>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</si>
  <si>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</si>
  <si>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</si>
  <si>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</si>
  <si>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</si>
  <si>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</si>
  <si>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</si>
  <si>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</si>
  <si>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</si>
  <si>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</si>
  <si>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</si>
  <si>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</si>
  <si>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</si>
  <si>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</si>
  <si>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</si>
  <si>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</si>
  <si>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</si>
  <si>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</si>
  <si>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</si>
  <si>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</si>
  <si>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</si>
  <si>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</si>
  <si>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</si>
  <si>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</si>
  <si>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</si>
  <si>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</si>
  <si>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</si>
  <si>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</si>
  <si>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</si>
  <si>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</si>
  <si>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</si>
  <si>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</si>
  <si>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</si>
  <si>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</si>
  <si>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</si>
  <si>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</si>
  <si>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</si>
  <si>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</si>
  <si>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</si>
  <si>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</si>
  <si>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</si>
  <si>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</si>
  <si>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</si>
  <si>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</si>
  <si>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</si>
  <si>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</si>
  <si>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</si>
  <si>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</si>
  <si>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</si>
  <si>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</si>
  <si>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</si>
  <si>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</si>
  <si>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</si>
  <si>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</si>
  <si>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</si>
  <si>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</si>
  <si>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</si>
  <si>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</si>
  <si>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</si>
  <si>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</si>
  <si>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</si>
  <si>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</si>
  <si>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</si>
  <si>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</si>
  <si>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</si>
  <si>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</si>
  <si>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</si>
  <si>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</si>
  <si>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</si>
  <si>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</si>
  <si>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</si>
  <si>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</si>
  <si>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</si>
  <si>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</si>
  <si>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</si>
  <si>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</si>
  <si>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</si>
  <si>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</si>
  <si>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</si>
  <si>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</si>
  <si>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</si>
  <si>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</si>
  <si>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</si>
  <si>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</si>
  <si>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</si>
  <si>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</si>
  <si>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</si>
  <si>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</si>
  <si>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</si>
  <si>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</si>
  <si>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</si>
  <si>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</si>
  <si>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</si>
  <si>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</si>
  <si>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</si>
  <si>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</si>
  <si>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</si>
  <si>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</si>
  <si>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</si>
  <si>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</si>
  <si>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</si>
  <si>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</si>
  <si>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</si>
  <si>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</si>
  <si>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</si>
  <si>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</si>
  <si>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</si>
  <si>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</si>
  <si>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</si>
  <si>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</si>
  <si>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</si>
  <si>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</si>
  <si>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</si>
  <si>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</si>
  <si>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</si>
  <si>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</si>
  <si>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</si>
  <si>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</si>
  <si>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</si>
  <si>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</si>
  <si>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</si>
  <si>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</si>
  <si>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</si>
  <si>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</si>
  <si>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</si>
  <si>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</si>
  <si>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</si>
  <si>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</si>
  <si>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</si>
  <si>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</si>
  <si>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</si>
  <si>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</si>
  <si>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</si>
  <si>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</si>
  <si>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</si>
  <si>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</si>
  <si>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</si>
  <si>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</si>
  <si>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</si>
  <si>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</si>
  <si>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</si>
  <si>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</si>
  <si>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</si>
  <si>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</si>
  <si>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</si>
  <si>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</si>
  <si>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</si>
  <si>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</si>
  <si>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</si>
  <si>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</si>
  <si>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</si>
  <si>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</si>
  <si>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</si>
  <si>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</si>
  <si>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</si>
  <si>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</si>
  <si>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</si>
  <si>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</si>
  <si>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</si>
  <si>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</si>
  <si>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</si>
  <si>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</si>
  <si>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</si>
  <si>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</si>
  <si>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</si>
  <si>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</si>
  <si>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</si>
  <si>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</si>
  <si>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</si>
  <si>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</si>
  <si>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</si>
  <si>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</si>
  <si>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</si>
  <si>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</si>
  <si>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</si>
  <si>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</si>
  <si>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</si>
  <si>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</si>
  <si>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</si>
  <si>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</si>
  <si>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</si>
  <si>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</si>
  <si>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</si>
  <si>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</si>
  <si>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</si>
  <si>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</si>
  <si>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</si>
  <si>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</si>
  <si>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</si>
  <si>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</si>
  <si>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</si>
  <si>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</si>
  <si>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</si>
  <si>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</si>
  <si>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</si>
  <si>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</si>
  <si>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</si>
  <si>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</si>
  <si>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</si>
  <si>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</si>
  <si>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</si>
  <si>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</si>
  <si>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</si>
  <si>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</si>
  <si>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</si>
  <si>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</si>
  <si>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</si>
  <si>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</si>
  <si>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</si>
  <si>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</si>
  <si>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</si>
  <si>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</si>
  <si>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</si>
  <si>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</si>
  <si>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</si>
  <si>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</si>
  <si>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</si>
  <si>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</si>
  <si>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</si>
  <si>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</si>
  <si>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</si>
  <si>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</si>
  <si>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</si>
  <si>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</si>
  <si>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</si>
  <si>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</si>
  <si>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</si>
  <si>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</si>
  <si>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</si>
  <si>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</si>
  <si>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</si>
  <si>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</si>
  <si>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</si>
  <si>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</si>
  <si>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</si>
  <si>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</si>
  <si>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</si>
  <si>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</si>
  <si>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</si>
  <si>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</si>
  <si>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</si>
  <si>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</si>
  <si>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</si>
  <si>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</si>
  <si>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</si>
  <si>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</si>
  <si>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</si>
  <si>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</si>
  <si>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</si>
  <si>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</si>
  <si>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</si>
  <si>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</si>
  <si>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</si>
  <si>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</si>
  <si>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</si>
  <si>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</si>
  <si>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</si>
  <si>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</si>
  <si>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</si>
  <si>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</si>
  <si>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</si>
  <si>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</si>
  <si>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</si>
  <si>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</si>
  <si>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</si>
  <si>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</si>
  <si>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</si>
  <si>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</si>
  <si>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</si>
  <si>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</si>
  <si>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</si>
  <si>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</si>
  <si>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</si>
  <si>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</si>
  <si>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</si>
  <si>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</si>
  <si>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</si>
  <si>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</si>
  <si>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</si>
  <si>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</si>
  <si>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</si>
  <si>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</si>
  <si>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</si>
  <si>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</si>
  <si>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</si>
  <si>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</si>
  <si>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</si>
  <si>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</si>
  <si>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</si>
  <si>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</si>
  <si>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</si>
  <si>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</si>
  <si>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</si>
  <si>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</si>
  <si>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</si>
  <si>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</si>
  <si>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</si>
  <si>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</si>
  <si>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</si>
  <si>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</si>
  <si>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</si>
  <si>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</si>
  <si>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</si>
  <si>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</si>
  <si>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</si>
  <si>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</si>
  <si>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</si>
  <si>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</si>
  <si>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</si>
  <si>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</si>
  <si>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</si>
  <si>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</si>
  <si>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</si>
  <si>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</si>
  <si>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</si>
  <si>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</si>
  <si>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</si>
  <si>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</si>
  <si>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</si>
  <si>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</si>
  <si>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</si>
  <si>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</si>
  <si>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</si>
  <si>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</si>
  <si>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</si>
  <si>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</si>
  <si>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</si>
  <si>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</si>
  <si>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</si>
  <si>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</si>
  <si>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</si>
  <si>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</si>
  <si>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</si>
  <si>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</si>
  <si>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</si>
  <si>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</si>
  <si>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</si>
  <si>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</si>
  <si>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</si>
  <si>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</si>
  <si>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</si>
  <si>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</si>
  <si>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</si>
  <si>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</si>
  <si>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</si>
  <si>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</si>
  <si>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</si>
  <si>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</si>
  <si>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</si>
  <si>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</si>
  <si>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</si>
  <si>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</si>
  <si>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</si>
  <si>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</si>
  <si>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</si>
  <si>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</si>
  <si>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</si>
  <si>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</si>
  <si>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</si>
  <si>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</si>
  <si>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</si>
  <si>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</si>
  <si>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</si>
  <si>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</si>
  <si>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</si>
  <si>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</si>
  <si>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</si>
  <si>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</si>
  <si>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</si>
  <si>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</si>
  <si>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</si>
  <si>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</si>
  <si>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</si>
  <si>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</si>
  <si>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</si>
  <si>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</si>
  <si>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</si>
  <si>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</si>
  <si>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</si>
  <si>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</si>
  <si>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</si>
  <si>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</si>
  <si>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</si>
  <si>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</si>
  <si>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</si>
  <si>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</si>
  <si>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</si>
  <si>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</si>
  <si>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</si>
  <si>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</si>
  <si>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</si>
  <si>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</si>
  <si>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</si>
  <si>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</si>
  <si>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</si>
  <si>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</si>
  <si>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</si>
  <si>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</si>
  <si>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</si>
  <si>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</si>
  <si>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</si>
  <si>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</si>
  <si>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</si>
  <si>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</si>
  <si>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</si>
  <si>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</si>
  <si>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</si>
  <si>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</si>
  <si>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</si>
  <si>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</si>
  <si>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</si>
  <si>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</si>
  <si>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</si>
  <si>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</si>
  <si>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</si>
  <si>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</si>
  <si>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</si>
  <si>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</si>
  <si>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</si>
  <si>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</si>
  <si>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</si>
  <si>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</si>
  <si>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</si>
  <si>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</si>
  <si>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</si>
  <si>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</si>
  <si>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</si>
  <si>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</si>
  <si>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</si>
  <si>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</si>
  <si>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</si>
  <si>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</si>
  <si>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</si>
  <si>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</si>
  <si>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</si>
  <si>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</si>
  <si>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</si>
  <si>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</si>
  <si>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</si>
  <si>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</si>
  <si>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</si>
  <si>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</si>
  <si>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</si>
  <si>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</si>
  <si>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</si>
  <si>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</si>
  <si>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</si>
  <si>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</si>
  <si>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</si>
  <si>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</si>
  <si>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</si>
  <si>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</si>
  <si>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</si>
  <si>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</si>
  <si>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</si>
  <si>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</si>
  <si>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</si>
  <si>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</si>
  <si>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</si>
  <si>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</si>
  <si>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</si>
  <si>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</si>
  <si>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</si>
  <si>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</si>
  <si>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</si>
  <si>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</si>
  <si>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</si>
  <si>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</si>
  <si>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</si>
  <si>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</si>
  <si>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</si>
  <si>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</si>
  <si>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</si>
  <si>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</si>
  <si>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</si>
  <si>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</si>
  <si>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</si>
  <si>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</si>
  <si>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</si>
  <si>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</si>
  <si>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</si>
  <si>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</si>
  <si>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</si>
  <si>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</si>
  <si>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</si>
  <si>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</si>
  <si>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</si>
  <si>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</si>
  <si>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</si>
  <si>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</si>
  <si>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</si>
  <si>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</si>
  <si>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</si>
  <si>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</si>
  <si>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</si>
  <si>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</si>
  <si>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</si>
  <si>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</si>
  <si>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</si>
  <si>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</si>
  <si>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</si>
  <si>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</si>
  <si>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</si>
  <si>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</si>
  <si>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</si>
  <si>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</si>
  <si>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</si>
  <si>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</si>
  <si>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</si>
  <si>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</si>
  <si>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</si>
  <si>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</si>
  <si>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</si>
  <si>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</si>
  <si>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</si>
  <si>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</si>
  <si>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</si>
  <si>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</si>
  <si>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</si>
  <si>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</si>
  <si>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</si>
  <si>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</si>
  <si>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</si>
  <si>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</si>
  <si>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</si>
  <si>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</si>
  <si>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</si>
  <si>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</si>
  <si>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</si>
  <si>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</si>
  <si>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</si>
  <si>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</si>
  <si>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</si>
  <si>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</si>
  <si>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</si>
  <si>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</si>
  <si>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</si>
  <si>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</si>
  <si>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</si>
  <si>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</si>
  <si>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</si>
  <si>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</si>
  <si>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</si>
  <si>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</si>
  <si>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</si>
  <si>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</si>
  <si>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</si>
  <si>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</si>
  <si>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</si>
  <si>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</si>
  <si>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</si>
  <si>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</si>
  <si>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</si>
  <si>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</si>
  <si>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</si>
  <si>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</si>
  <si>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</si>
  <si>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</si>
  <si>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</si>
  <si>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</si>
  <si>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</si>
  <si>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</si>
  <si>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</si>
  <si>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</si>
  <si>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</si>
  <si>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</si>
  <si>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</si>
  <si>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</si>
  <si>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</si>
  <si>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</si>
  <si>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</si>
  <si>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</si>
  <si>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</si>
  <si>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</si>
  <si>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</si>
  <si>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</si>
  <si>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</si>
  <si>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</si>
  <si>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</si>
  <si>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</si>
  <si>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</si>
  <si>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</si>
  <si>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</si>
  <si>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</si>
  <si>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</si>
  <si>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</si>
  <si>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</si>
  <si>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</si>
  <si>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</si>
  <si>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</si>
  <si>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</si>
  <si>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</si>
  <si>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</si>
  <si>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</si>
  <si>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</si>
  <si>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</si>
  <si>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</si>
  <si>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</si>
  <si>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</si>
  <si>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</si>
  <si>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</si>
  <si>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</si>
  <si>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</si>
  <si>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</si>
  <si>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</si>
  <si>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</si>
  <si>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</si>
  <si>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</si>
  <si>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</si>
  <si>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</si>
  <si>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</si>
  <si>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</si>
  <si>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</si>
  <si>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</si>
  <si>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</si>
  <si>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</si>
  <si>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</si>
  <si>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</si>
  <si>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</si>
  <si>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</si>
  <si>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</si>
  <si>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</si>
  <si>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</si>
  <si>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</si>
  <si>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</si>
  <si>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</si>
  <si>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</si>
  <si>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</si>
  <si>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</si>
  <si>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</si>
  <si>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</si>
  <si>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</si>
  <si>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</si>
  <si>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</si>
  <si>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</si>
  <si>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</si>
  <si>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</si>
  <si>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</si>
  <si>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</si>
  <si>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</si>
  <si>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</si>
  <si>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</si>
  <si>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</si>
  <si>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</si>
  <si>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</si>
  <si>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</si>
  <si>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</si>
  <si>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</si>
  <si>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</si>
  <si>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</si>
  <si>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</si>
  <si>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</si>
  <si>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</si>
  <si>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</si>
  <si>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</si>
  <si>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</si>
  <si>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</si>
  <si>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</si>
  <si>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</si>
  <si>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</si>
  <si>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</si>
  <si>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</si>
  <si>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</si>
  <si>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</si>
  <si>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</si>
  <si>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</si>
  <si>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</si>
  <si>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</si>
  <si>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</si>
  <si>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</si>
  <si>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</si>
  <si>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</si>
  <si>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</si>
  <si>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</si>
  <si>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</si>
  <si>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</si>
  <si>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</si>
  <si>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</si>
  <si>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</si>
  <si>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</si>
  <si>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</si>
  <si>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</si>
  <si>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</si>
  <si>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</si>
  <si>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</si>
  <si>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</si>
  <si>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</si>
  <si>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</si>
  <si>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</si>
  <si>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</si>
  <si>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</si>
  <si>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</si>
  <si>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</si>
  <si>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</si>
  <si>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</si>
  <si>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</si>
  <si>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</si>
  <si>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</si>
  <si>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</si>
  <si>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</si>
  <si>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</si>
  <si>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</si>
  <si>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</si>
  <si>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</si>
  <si>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</si>
  <si>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</si>
  <si>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</si>
  <si>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</si>
  <si>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</si>
  <si>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</si>
  <si>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</si>
  <si>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</si>
  <si>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</si>
  <si>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</si>
  <si>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</si>
  <si>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</si>
  <si>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</si>
  <si>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</si>
  <si>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</si>
  <si>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</si>
  <si>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</si>
  <si>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</si>
  <si>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</si>
  <si>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</si>
  <si>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</si>
  <si>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</si>
  <si>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</si>
  <si>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</si>
  <si>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</si>
  <si>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</si>
  <si>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</si>
  <si>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</si>
  <si>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</si>
  <si>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</si>
  <si>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</si>
  <si>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</si>
  <si>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</si>
  <si>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</si>
  <si>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</si>
  <si>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</si>
  <si>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</si>
  <si>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</si>
  <si>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</si>
  <si>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</si>
  <si>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</si>
  <si>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</si>
  <si>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</si>
  <si>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</si>
  <si>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</si>
  <si>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</si>
  <si>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</si>
  <si>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</si>
  <si>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</si>
  <si>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</si>
  <si>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</si>
  <si>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</si>
  <si>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</si>
  <si>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</si>
  <si>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</si>
  <si>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</si>
  <si>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</si>
  <si>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</si>
  <si>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</si>
  <si>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</si>
  <si>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</si>
  <si>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</si>
  <si>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</si>
  <si>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</si>
  <si>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</si>
  <si>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</si>
  <si>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</si>
  <si>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</si>
  <si>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</si>
  <si>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</si>
  <si>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</si>
  <si>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</si>
  <si>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</si>
  <si>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</si>
  <si>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</si>
  <si>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</si>
  <si>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</si>
  <si>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</si>
  <si>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</si>
  <si>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</si>
  <si>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</si>
  <si>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</si>
  <si>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</si>
  <si>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</si>
  <si>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</si>
  <si>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</si>
  <si>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</si>
  <si>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</si>
  <si>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</si>
  <si>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</si>
  <si>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</si>
  <si>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</si>
  <si>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</si>
  <si>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</si>
  <si>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</si>
  <si>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</si>
  <si>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</si>
  <si>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</si>
  <si>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</si>
  <si>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</si>
  <si>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</si>
  <si>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</si>
  <si>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</si>
  <si>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</si>
  <si>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</si>
  <si>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</si>
  <si>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</si>
  <si>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</si>
  <si>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</si>
  <si>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</si>
  <si>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</si>
  <si>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</si>
  <si>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</si>
  <si>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</si>
  <si>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</si>
  <si>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</si>
  <si>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</si>
  <si>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</si>
  <si>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</si>
  <si>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</si>
  <si>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</si>
  <si>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</si>
  <si>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</si>
  <si>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</si>
  <si>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</si>
  <si>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</si>
  <si>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</si>
  <si>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</si>
  <si>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</si>
  <si>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</si>
  <si>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</si>
  <si>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</si>
  <si>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</si>
  <si>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</si>
  <si>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</si>
  <si>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</si>
  <si>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</si>
  <si>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</si>
  <si>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</si>
  <si>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</si>
  <si>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</si>
  <si>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</si>
  <si>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</si>
  <si>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</si>
  <si>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</si>
  <si>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</si>
  <si>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</si>
  <si>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</si>
  <si>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</si>
  <si>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</si>
  <si>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</si>
  <si>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</si>
  <si>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</si>
  <si>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</si>
  <si>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</si>
  <si>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</si>
  <si>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</si>
  <si>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</si>
  <si>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</si>
  <si>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</si>
  <si>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</si>
  <si>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</si>
  <si>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</si>
  <si>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</si>
  <si>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</si>
  <si>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</si>
  <si>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</si>
  <si>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</si>
  <si>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</si>
  <si>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</si>
  <si>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</si>
  <si>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</si>
  <si>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</si>
  <si>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</si>
  <si>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</si>
  <si>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</si>
  <si>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</si>
  <si>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</si>
  <si>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</si>
  <si>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</si>
  <si>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</si>
  <si>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</si>
  <si>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</si>
  <si>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</si>
  <si>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</si>
  <si>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</si>
  <si>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</si>
  <si>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</si>
  <si>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</si>
  <si>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</si>
  <si>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</si>
  <si>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</si>
  <si>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</si>
  <si>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</si>
  <si>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</si>
  <si>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</si>
  <si>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</si>
  <si>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</si>
  <si>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</si>
  <si>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</si>
  <si>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</si>
  <si>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</si>
  <si>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</si>
  <si>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</si>
  <si>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</si>
  <si>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</si>
  <si>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</si>
  <si>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</si>
  <si>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</si>
  <si>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</si>
  <si>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</si>
  <si>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</si>
  <si>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</si>
  <si>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</si>
  <si>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</si>
  <si>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</si>
  <si>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</si>
  <si>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</si>
  <si>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</si>
  <si>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</si>
  <si>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</si>
  <si>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</si>
  <si>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</si>
  <si>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</si>
  <si>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</si>
  <si>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</si>
  <si>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</si>
  <si>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</si>
  <si>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</si>
  <si>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</si>
  <si>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</si>
  <si>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</si>
  <si>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</si>
  <si>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</si>
  <si>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</si>
  <si>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</si>
  <si>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</si>
  <si>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</si>
  <si>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</si>
  <si>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</si>
  <si>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</si>
  <si>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</si>
  <si>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</si>
  <si>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</si>
  <si>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</si>
  <si>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</si>
  <si>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</si>
  <si>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</si>
  <si>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</si>
  <si>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</si>
  <si>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</si>
  <si>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</si>
  <si>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</si>
  <si>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</si>
  <si>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</si>
  <si>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</si>
  <si>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</si>
  <si>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</si>
  <si>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</si>
  <si>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</si>
  <si>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</si>
  <si>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</si>
  <si>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</si>
  <si>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</si>
  <si>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</si>
  <si>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</si>
  <si>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</si>
  <si>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</si>
  <si>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</si>
  <si>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</si>
  <si>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</si>
  <si>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</si>
  <si>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</si>
  <si>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</si>
  <si>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</si>
  <si>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</si>
  <si>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</si>
  <si>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</si>
  <si>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</si>
  <si>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</si>
  <si>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</si>
  <si>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</si>
  <si>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</si>
  <si>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</si>
  <si>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</si>
  <si>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</si>
  <si>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</si>
  <si>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</si>
  <si>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</si>
  <si>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</si>
  <si>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</si>
  <si>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</si>
  <si>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</si>
  <si>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</si>
  <si>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</si>
  <si>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</si>
  <si>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</si>
  <si>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</si>
  <si>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</si>
  <si>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</si>
  <si>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</si>
  <si>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</si>
  <si>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</si>
  <si>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</si>
  <si>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</si>
  <si>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</si>
  <si>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</si>
  <si>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</si>
  <si>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</si>
  <si>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</si>
  <si>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</si>
  <si>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</si>
  <si>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</si>
  <si>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</si>
  <si>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</si>
  <si>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</si>
  <si>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</si>
  <si>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</si>
  <si>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</si>
  <si>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</si>
  <si>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</si>
  <si>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</si>
  <si>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</si>
  <si>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</si>
  <si>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</si>
  <si>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</si>
  <si>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</si>
  <si>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</si>
  <si>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</si>
  <si>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</si>
  <si>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</si>
  <si>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</si>
  <si>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</si>
  <si>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</si>
  <si>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</si>
  <si>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</si>
  <si>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</si>
  <si>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</si>
  <si>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</si>
  <si>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</si>
  <si>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</si>
  <si>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</si>
  <si>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</si>
  <si>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</si>
  <si>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</si>
  <si>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</si>
  <si>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</si>
  <si>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</si>
  <si>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</si>
  <si>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</si>
  <si>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</si>
  <si>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</si>
  <si>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</si>
  <si>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</si>
  <si>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</si>
  <si>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</si>
  <si>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</si>
  <si>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</si>
  <si>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</si>
  <si>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</si>
  <si>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</si>
  <si>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</si>
  <si>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</si>
  <si>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</si>
  <si>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</si>
  <si>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</si>
  <si>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</si>
  <si>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</si>
  <si>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</si>
  <si>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</si>
  <si>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</si>
  <si>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</si>
  <si>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</si>
  <si>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</si>
  <si>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</si>
  <si>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</si>
  <si>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</si>
  <si>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</si>
  <si>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</si>
  <si>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</si>
  <si>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</si>
  <si>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</si>
  <si>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</si>
  <si>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</si>
  <si>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</si>
  <si>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</si>
  <si>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</si>
  <si>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</si>
  <si>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</si>
  <si>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</si>
  <si>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</si>
  <si>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</si>
  <si>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</si>
  <si>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</si>
  <si>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</si>
  <si>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</si>
  <si>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</si>
  <si>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</si>
  <si>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</si>
  <si>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</si>
  <si>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</si>
  <si>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</si>
  <si>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</si>
  <si>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</si>
  <si>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</si>
  <si>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</si>
  <si>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</si>
  <si>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</si>
  <si>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</si>
  <si>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</si>
  <si>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</si>
  <si>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</si>
  <si>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</si>
  <si>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</si>
  <si>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</si>
  <si>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</si>
  <si>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</si>
  <si>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</si>
  <si>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</si>
  <si>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</si>
  <si>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</si>
  <si>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</si>
  <si>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</si>
  <si>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</si>
  <si>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</si>
  <si>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</si>
  <si>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</si>
  <si>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</si>
  <si>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</si>
  <si>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</si>
  <si>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</si>
  <si>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</si>
  <si>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</si>
  <si>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</si>
  <si>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</si>
  <si>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</si>
  <si>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</si>
  <si>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</si>
  <si>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</si>
  <si>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</si>
  <si>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</si>
  <si>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</si>
  <si>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</si>
  <si>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</si>
  <si>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</si>
  <si>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</si>
  <si>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</si>
  <si>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</si>
  <si>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</si>
  <si>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</si>
  <si>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</si>
  <si>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</si>
  <si>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</si>
  <si>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</si>
  <si>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</si>
  <si>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</si>
  <si>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</si>
  <si>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</si>
  <si>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</si>
  <si>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</si>
  <si>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</si>
  <si>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</si>
  <si>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</si>
  <si>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</si>
  <si>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</si>
  <si>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</si>
  <si>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</si>
  <si>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</si>
  <si>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</si>
  <si>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</si>
  <si>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</si>
  <si>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</si>
  <si>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</si>
  <si>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</si>
  <si>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</si>
  <si>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</si>
  <si>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</si>
  <si>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</si>
  <si>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</si>
  <si>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</si>
  <si>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</si>
  <si>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</si>
  <si>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</si>
  <si>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</si>
  <si>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</si>
  <si>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</si>
  <si>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</si>
  <si>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</si>
  <si>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</si>
  <si>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</si>
  <si>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</si>
  <si>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</si>
  <si>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</si>
  <si>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</si>
  <si>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</si>
  <si>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</si>
  <si>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</si>
  <si>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</si>
  <si>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</si>
  <si>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</si>
  <si>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</si>
  <si>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</si>
  <si>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</si>
  <si>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</si>
  <si>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</si>
  <si>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</si>
  <si>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</si>
  <si>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</si>
  <si>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</si>
  <si>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</si>
  <si>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</si>
  <si>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</si>
  <si>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</si>
  <si>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</si>
  <si>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</si>
  <si>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</si>
  <si>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</si>
  <si>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</si>
  <si>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</si>
  <si>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</si>
  <si>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</si>
  <si>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</si>
  <si>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</si>
  <si>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</si>
  <si>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</si>
  <si>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</si>
  <si>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</si>
  <si>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</si>
  <si>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</si>
  <si>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</si>
  <si>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</si>
  <si>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</si>
  <si>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</si>
  <si>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</si>
  <si>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</si>
  <si>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</si>
  <si>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</si>
  <si>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</si>
  <si>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</si>
  <si>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</si>
  <si>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</si>
  <si>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</si>
  <si>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</si>
  <si>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</si>
  <si>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</si>
  <si>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</si>
  <si>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</si>
  <si>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</si>
  <si>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</si>
  <si>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</si>
  <si>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</si>
  <si>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</si>
  <si>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</si>
  <si>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</si>
  <si>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</si>
  <si>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</si>
  <si>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</si>
  <si>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</si>
  <si>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</si>
  <si>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</si>
  <si>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</si>
  <si>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</si>
  <si>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</si>
  <si>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</si>
  <si>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</si>
  <si>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</si>
  <si>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</si>
  <si>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</si>
  <si>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</si>
  <si>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</si>
  <si>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</si>
  <si>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</si>
  <si>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</si>
  <si>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</si>
  <si>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</si>
  <si>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</si>
  <si>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</si>
  <si>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</si>
  <si>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</si>
  <si>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</si>
  <si>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</si>
  <si>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</si>
  <si>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</si>
  <si>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</si>
  <si>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</si>
  <si>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</si>
  <si>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</si>
  <si>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</si>
  <si>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</si>
  <si>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</si>
  <si>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</si>
  <si>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</si>
  <si>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</si>
  <si>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</si>
  <si>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</si>
  <si>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</si>
  <si>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</si>
  <si>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</si>
  <si>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</si>
  <si>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</si>
  <si>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</si>
  <si>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</si>
  <si>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</si>
  <si>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</si>
  <si>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</si>
  <si>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</si>
  <si>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</si>
  <si>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</si>
  <si>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</si>
  <si>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</si>
  <si>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</si>
  <si>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</si>
  <si>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</si>
  <si>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</si>
  <si>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</si>
  <si>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</si>
  <si>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</si>
  <si>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</si>
  <si>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</si>
  <si>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</si>
  <si>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</si>
  <si>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</si>
  <si>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</si>
  <si>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</si>
  <si>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</si>
  <si>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</si>
  <si>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</si>
  <si>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</si>
  <si>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</si>
  <si>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</si>
  <si>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</si>
  <si>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</si>
  <si>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</si>
  <si>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</si>
  <si>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</si>
  <si>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</si>
  <si>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</si>
  <si>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</si>
  <si>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</si>
  <si>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</si>
  <si>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</si>
  <si>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</si>
  <si>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</si>
  <si>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</si>
  <si>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</si>
  <si>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</si>
  <si>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</si>
  <si>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</si>
  <si>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</si>
  <si>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</si>
  <si>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</si>
  <si>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</si>
  <si>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</si>
  <si>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</si>
  <si>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</si>
  <si>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</si>
  <si>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</si>
  <si>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</si>
  <si>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</si>
  <si>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</si>
  <si>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</si>
  <si>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</si>
  <si>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</si>
  <si>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</si>
  <si>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</si>
  <si>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</si>
  <si>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</si>
  <si>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</si>
  <si>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</si>
  <si>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</si>
  <si>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</si>
  <si>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</si>
  <si>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</si>
  <si>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</si>
  <si>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</si>
  <si>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</si>
  <si>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</si>
  <si>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</si>
  <si>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</si>
  <si>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</si>
  <si>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</si>
  <si>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</si>
  <si>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</si>
  <si>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</si>
  <si>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</si>
  <si>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</si>
  <si>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</si>
  <si>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</si>
  <si>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</si>
  <si>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</si>
  <si>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</si>
  <si>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</si>
  <si>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</si>
  <si>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</si>
  <si>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</si>
  <si>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</si>
  <si>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</si>
  <si>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</si>
  <si>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</si>
  <si>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</si>
  <si>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</si>
  <si>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</si>
  <si>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</si>
  <si>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</si>
  <si>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</si>
  <si>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</si>
  <si>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</si>
  <si>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</si>
  <si>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</si>
  <si>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</si>
  <si>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</si>
  <si>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</si>
  <si>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</si>
  <si>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</si>
  <si>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</si>
  <si>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</si>
  <si>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</si>
  <si>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</si>
  <si>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</si>
  <si>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</si>
  <si>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</si>
  <si>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</si>
  <si>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</si>
  <si>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</si>
  <si>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</si>
  <si>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</si>
  <si>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</si>
  <si>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</si>
  <si>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</si>
  <si>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</si>
  <si>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</si>
  <si>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</si>
  <si>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</si>
  <si>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</si>
  <si>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</si>
  <si>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</si>
  <si>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</si>
  <si>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</si>
  <si>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</si>
  <si>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</si>
  <si>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</si>
  <si>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</si>
  <si>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</si>
  <si>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</si>
  <si>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</si>
  <si>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</si>
  <si>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</si>
  <si>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</si>
  <si>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</si>
  <si>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</si>
  <si>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</si>
  <si>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</si>
  <si>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</si>
  <si>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</si>
  <si>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</si>
  <si>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</si>
  <si>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</si>
  <si>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</si>
  <si>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</si>
  <si>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</si>
  <si>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</si>
  <si>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</si>
  <si>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</si>
  <si>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</si>
  <si>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</si>
  <si>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</si>
  <si>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</si>
  <si>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</si>
  <si>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</si>
  <si>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</si>
  <si>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</si>
  <si>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</si>
  <si>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</si>
  <si>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</si>
  <si>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</si>
  <si>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</si>
  <si>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</si>
  <si>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</si>
  <si>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</si>
  <si>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</si>
  <si>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</si>
  <si>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</si>
  <si>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</si>
  <si>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</si>
  <si>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</si>
  <si>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</si>
  <si>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</si>
  <si>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</si>
  <si>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</si>
  <si>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</si>
  <si>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</si>
  <si>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</si>
  <si>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</si>
  <si>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</si>
  <si>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</si>
  <si>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</si>
  <si>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</si>
  <si>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</si>
  <si>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</si>
  <si>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</si>
  <si>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</si>
  <si>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</si>
  <si>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</si>
  <si>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</si>
  <si>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</si>
  <si>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</si>
  <si>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</si>
  <si>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</si>
  <si>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</si>
  <si>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</si>
  <si>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</si>
  <si>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</si>
  <si>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</si>
  <si>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</si>
  <si>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</si>
  <si>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</si>
  <si>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</si>
  <si>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</si>
  <si>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</si>
  <si>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</si>
  <si>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</si>
  <si>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</si>
  <si>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</si>
  <si>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</si>
  <si>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</si>
  <si>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</si>
  <si>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</si>
  <si>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</si>
  <si>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</si>
  <si>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</si>
  <si>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</si>
  <si>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</si>
  <si>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</si>
  <si>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</si>
  <si>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</si>
  <si>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</si>
  <si>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</si>
  <si>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</si>
  <si>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</si>
  <si>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</si>
  <si>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</si>
  <si>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</si>
  <si>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</si>
  <si>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</si>
  <si>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</si>
  <si>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</si>
  <si>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</si>
  <si>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</si>
  <si>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</si>
  <si>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</si>
  <si>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</si>
  <si>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</si>
  <si>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</si>
  <si>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</si>
  <si>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</si>
  <si>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</si>
  <si>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</si>
  <si>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</si>
  <si>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</si>
  <si>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</si>
  <si>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</si>
  <si>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</si>
  <si>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</si>
  <si>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</si>
  <si>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</si>
  <si>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</si>
  <si>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</si>
  <si>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</si>
  <si>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</si>
  <si>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</si>
  <si>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</si>
  <si>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</si>
  <si>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</si>
  <si>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</si>
  <si>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</si>
  <si>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</si>
  <si>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</si>
  <si>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</si>
  <si>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</si>
  <si>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</si>
  <si>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</si>
  <si>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</si>
  <si>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</si>
  <si>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</si>
  <si>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</si>
  <si>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</si>
  <si>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</si>
  <si>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</si>
  <si>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</si>
  <si>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</si>
  <si>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</si>
  <si>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</si>
  <si>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</si>
  <si>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</si>
  <si>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</si>
  <si>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</si>
  <si>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</si>
  <si>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</si>
  <si>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</si>
  <si>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</si>
  <si>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</si>
  <si>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</si>
  <si>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</si>
  <si>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</si>
  <si>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</si>
  <si>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</si>
  <si>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</si>
  <si>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</si>
  <si>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</si>
  <si>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</si>
  <si>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</si>
  <si>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</si>
  <si>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</si>
  <si>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</si>
  <si>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</si>
  <si>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</si>
  <si>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</si>
  <si>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</si>
  <si>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</si>
  <si>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</si>
  <si>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</si>
  <si>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</si>
  <si>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</si>
  <si>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</si>
  <si>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</si>
  <si>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</si>
  <si>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</si>
  <si>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</si>
  <si>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</si>
  <si>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</si>
  <si>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</si>
  <si>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</si>
  <si>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</si>
  <si>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</si>
  <si>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</si>
  <si>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</si>
  <si>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</si>
  <si>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</si>
  <si>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</si>
  <si>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</si>
  <si>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</si>
  <si>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</si>
  <si>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</si>
  <si>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</si>
  <si>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</si>
  <si>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</si>
  <si>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</si>
  <si>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</si>
  <si>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</si>
  <si>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</si>
  <si>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</si>
  <si>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</si>
  <si>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</si>
  <si>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</si>
  <si>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</si>
  <si>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</si>
  <si>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</si>
  <si>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</si>
  <si>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</si>
  <si>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</si>
  <si>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</si>
  <si>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</si>
  <si>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</si>
  <si>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</si>
  <si>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</si>
  <si>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</si>
  <si>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</si>
  <si>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</si>
  <si>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</si>
  <si>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</si>
  <si>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</si>
  <si>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</si>
  <si>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</si>
  <si>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</si>
  <si>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</si>
  <si>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</si>
  <si>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</si>
  <si>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</si>
  <si>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</si>
  <si>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</si>
  <si>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</si>
  <si>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</si>
  <si>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</si>
  <si>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</si>
  <si>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</si>
  <si>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</si>
  <si>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</si>
  <si>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</si>
  <si>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</si>
  <si>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</si>
  <si>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</si>
  <si>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</si>
  <si>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</si>
  <si>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</si>
  <si>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</si>
  <si>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</si>
  <si>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</si>
  <si>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</si>
  <si>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</si>
  <si>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</si>
  <si>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</si>
  <si>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</si>
  <si>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</si>
  <si>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</si>
  <si>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</si>
  <si>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</si>
  <si>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</si>
  <si>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</si>
  <si>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</si>
  <si>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</si>
  <si>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</si>
  <si>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</si>
  <si>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</si>
  <si>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</si>
  <si>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</si>
  <si>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</si>
  <si>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</si>
  <si>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</si>
  <si>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</si>
  <si>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</si>
  <si>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</si>
  <si>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</si>
  <si>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</si>
  <si>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</si>
  <si>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</si>
  <si>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</si>
  <si>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</si>
  <si>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</si>
  <si>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</si>
  <si>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</si>
  <si>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</si>
  <si>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</si>
  <si>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</si>
  <si>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</si>
  <si>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</si>
  <si>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</si>
  <si>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</si>
  <si>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</si>
  <si>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</si>
  <si>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</si>
  <si>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</si>
  <si>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</si>
  <si>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</si>
  <si>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</si>
  <si>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</si>
  <si>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</si>
  <si>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</si>
  <si>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</si>
  <si>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</si>
  <si>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</si>
  <si>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</si>
  <si>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</si>
  <si>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</si>
  <si>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</si>
  <si>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</si>
  <si>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</si>
  <si>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</si>
  <si>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</si>
  <si>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</si>
  <si>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</si>
  <si>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</si>
  <si>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</si>
  <si>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</si>
  <si>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</si>
  <si>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</si>
  <si>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</si>
  <si>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</si>
  <si>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</si>
  <si>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</si>
  <si>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</si>
  <si>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</si>
  <si>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</si>
  <si>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</si>
  <si>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</si>
  <si>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</si>
  <si>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</si>
  <si>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</si>
  <si>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</si>
  <si>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</si>
  <si>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</si>
  <si>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</si>
  <si>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</si>
  <si>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</si>
  <si>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</si>
  <si>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</si>
  <si>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</si>
  <si>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</si>
  <si>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</si>
  <si>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</si>
  <si>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</si>
  <si>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</si>
  <si>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</si>
  <si>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</si>
  <si>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</si>
  <si>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</si>
  <si>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</si>
  <si>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</si>
  <si>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</si>
  <si>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</si>
  <si>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</si>
  <si>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</si>
  <si>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</si>
  <si>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</si>
  <si>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</si>
  <si>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</si>
  <si>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</si>
  <si>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</si>
  <si>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</si>
  <si>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</si>
  <si>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</si>
  <si>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</si>
  <si>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</si>
  <si>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</si>
  <si>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</si>
  <si>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</si>
  <si>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</si>
  <si>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</si>
  <si>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</si>
  <si>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</si>
  <si>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</si>
  <si>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</si>
  <si>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</si>
  <si>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</si>
  <si>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</si>
  <si>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</si>
  <si>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</si>
  <si>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</si>
  <si>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</si>
  <si>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</si>
  <si>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</si>
  <si>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</si>
  <si>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</si>
  <si>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</si>
  <si>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</si>
  <si>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</si>
  <si>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</si>
  <si>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</si>
  <si>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</si>
  <si>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</si>
  <si>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</si>
  <si>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</si>
  <si>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</si>
  <si>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</si>
  <si>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</si>
  <si>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</si>
  <si>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</si>
  <si>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</si>
  <si>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</si>
  <si>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</si>
  <si>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</si>
  <si>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</si>
  <si>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</si>
  <si>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</si>
  <si>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</si>
  <si>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</si>
  <si>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</si>
  <si>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</si>
  <si>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</si>
  <si>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</si>
  <si>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</si>
  <si>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</si>
  <si>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</si>
  <si>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</si>
  <si>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</si>
  <si>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</si>
  <si>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</si>
  <si>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</si>
  <si>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</si>
  <si>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</si>
  <si>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</si>
  <si>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</si>
  <si>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</si>
  <si>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</si>
  <si>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</si>
  <si>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</si>
  <si>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</si>
  <si>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</si>
  <si>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</si>
  <si>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</si>
  <si>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</si>
  <si>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</si>
  <si>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</si>
  <si>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</si>
  <si>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</si>
  <si>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</si>
  <si>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</si>
  <si>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</si>
  <si>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</si>
  <si>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</si>
  <si>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</si>
  <si>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</si>
  <si>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</si>
  <si>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</si>
  <si>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</si>
  <si>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</si>
  <si>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</si>
  <si>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</si>
  <si>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</si>
  <si>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</si>
  <si>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</si>
  <si>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</si>
  <si>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</si>
  <si>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</si>
  <si>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</si>
  <si>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</si>
  <si>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</si>
  <si>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</si>
  <si>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</si>
  <si>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</si>
  <si>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</si>
  <si>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</si>
  <si>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</si>
  <si>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</si>
  <si>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</si>
  <si>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</si>
  <si>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</si>
  <si>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</si>
  <si>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</si>
  <si>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</si>
  <si>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</si>
  <si>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</si>
  <si>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</si>
  <si>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</si>
  <si>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</si>
  <si>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</si>
  <si>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</si>
  <si>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</si>
  <si>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</si>
  <si>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</si>
  <si>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</si>
  <si>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</si>
  <si>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</si>
  <si>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</si>
  <si>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</si>
  <si>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</si>
  <si>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</si>
  <si>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</si>
  <si>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</si>
  <si>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</si>
  <si>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</si>
  <si>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</si>
  <si>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</si>
  <si>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</si>
  <si>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</si>
  <si>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</si>
  <si>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</si>
  <si>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</si>
  <si>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</si>
  <si>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</si>
  <si>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</si>
  <si>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</si>
  <si>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</si>
  <si>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</si>
  <si>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</si>
  <si>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</si>
  <si>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</si>
  <si>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</si>
  <si>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</si>
  <si>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</si>
  <si>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</si>
  <si>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</si>
  <si>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</si>
  <si>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</si>
  <si>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</si>
  <si>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</si>
  <si>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</si>
  <si>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</si>
  <si>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</si>
  <si>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</si>
  <si>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</si>
  <si>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</si>
  <si>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</si>
  <si>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</si>
  <si>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</si>
  <si>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</si>
  <si>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</si>
  <si>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</si>
  <si>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</si>
  <si>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</si>
  <si>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</si>
  <si>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</si>
  <si>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</si>
  <si>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</si>
  <si>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</si>
  <si>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</si>
  <si>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</si>
  <si>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</si>
  <si>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</si>
  <si>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</si>
  <si>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</si>
  <si>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</si>
  <si>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</si>
  <si>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</si>
  <si>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</si>
  <si>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</si>
  <si>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</si>
  <si>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</si>
  <si>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</si>
  <si>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</si>
  <si>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</si>
  <si>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</si>
  <si>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</si>
  <si>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</si>
  <si>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</si>
  <si>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</si>
  <si>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</si>
  <si>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</si>
  <si>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</si>
  <si>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</si>
  <si>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</si>
  <si>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</si>
  <si>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</si>
  <si>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</si>
  <si>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</si>
  <si>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</si>
  <si>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</si>
  <si>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</si>
  <si>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</si>
  <si>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</si>
  <si>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</si>
  <si>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</si>
  <si>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</si>
  <si>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</si>
  <si>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</si>
  <si>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</si>
  <si>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</si>
  <si>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</si>
  <si>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</si>
  <si>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</si>
  <si>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</si>
  <si>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</si>
  <si>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</si>
  <si>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</si>
  <si>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</si>
  <si>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</si>
  <si>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</si>
  <si>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</si>
  <si>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</si>
  <si>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</si>
  <si>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</si>
  <si>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</si>
  <si>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</si>
  <si>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</si>
  <si>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</si>
  <si>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</si>
  <si>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</si>
  <si>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</si>
  <si>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</si>
  <si>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</si>
  <si>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</si>
  <si>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</si>
  <si>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</si>
  <si>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</si>
  <si>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</si>
  <si>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</si>
  <si>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</si>
  <si>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</si>
  <si>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</si>
  <si>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</si>
  <si>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</si>
  <si>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</si>
  <si>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</si>
  <si>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</si>
  <si>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</si>
  <si>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</si>
  <si>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</si>
  <si>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</si>
  <si>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</si>
  <si>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</si>
  <si>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</si>
  <si>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</si>
  <si>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</si>
  <si>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</si>
  <si>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</si>
  <si>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</si>
  <si>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</si>
  <si>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</si>
  <si>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</si>
  <si>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</si>
  <si>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</si>
  <si>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</si>
  <si>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</si>
  <si>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</si>
  <si>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</si>
  <si>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</si>
  <si>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</si>
  <si>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</si>
  <si>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</si>
  <si>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</si>
  <si>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</si>
  <si>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</si>
  <si>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</si>
  <si>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</si>
  <si>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</si>
  <si>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</si>
  <si>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</si>
  <si>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</si>
  <si>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</si>
  <si>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</si>
  <si>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</si>
  <si>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</si>
  <si>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</si>
  <si>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</si>
  <si>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</si>
  <si>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</si>
  <si>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</si>
  <si>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</si>
  <si>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</si>
  <si>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</si>
  <si>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</si>
  <si>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</si>
  <si>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</si>
  <si>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</si>
  <si>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</si>
  <si>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</si>
  <si>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</si>
  <si>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</si>
  <si>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</si>
  <si>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</si>
  <si>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</si>
  <si>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</si>
  <si>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</si>
  <si>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</si>
  <si>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</si>
  <si>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</si>
  <si>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</si>
  <si>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</si>
  <si>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</si>
  <si>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</si>
  <si>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</si>
  <si>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</si>
  <si>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</si>
  <si>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</si>
  <si>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</si>
  <si>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</si>
  <si>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</si>
  <si>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</si>
  <si>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</si>
  <si>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</si>
  <si>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</si>
  <si>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</si>
  <si>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</si>
  <si>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</si>
  <si>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</si>
  <si>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</si>
  <si>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</si>
  <si>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</si>
  <si>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</si>
  <si>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</si>
  <si>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</si>
  <si>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</si>
  <si>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</si>
  <si>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</si>
  <si>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</si>
  <si>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</si>
  <si>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</si>
  <si>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</si>
  <si>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</si>
  <si>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</si>
  <si>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</si>
  <si>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</si>
  <si>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</si>
  <si>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</si>
  <si>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</si>
  <si>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</si>
  <si>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</si>
  <si>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</si>
  <si>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</si>
  <si>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</si>
  <si>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</si>
  <si>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</si>
  <si>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</si>
  <si>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</si>
  <si>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</si>
  <si>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</si>
  <si>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</si>
  <si>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</si>
  <si>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</si>
  <si>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</si>
  <si>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</si>
  <si>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</si>
  <si>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</si>
  <si>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</si>
  <si>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</si>
  <si>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</si>
  <si>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</si>
  <si>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</si>
  <si>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</si>
  <si>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</si>
  <si>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</si>
  <si>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</si>
  <si>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</si>
  <si>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</si>
  <si>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</si>
  <si>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</si>
  <si>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</si>
  <si>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</si>
  <si>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</si>
  <si>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</si>
  <si>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</si>
  <si>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</si>
  <si>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</si>
  <si>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</si>
  <si>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</si>
  <si>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</si>
  <si>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</si>
  <si>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</si>
  <si>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</si>
  <si>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</si>
  <si>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</si>
  <si>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</si>
  <si>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</si>
  <si>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</si>
  <si>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</si>
  <si>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</si>
  <si>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</si>
  <si>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</si>
  <si>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</si>
  <si>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</si>
  <si>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</si>
  <si>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</si>
  <si>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</si>
  <si>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</si>
  <si>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</si>
  <si>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</si>
  <si>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</si>
  <si>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</si>
  <si>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</si>
  <si>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</si>
  <si>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</si>
  <si>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</si>
  <si>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</si>
  <si>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</si>
  <si>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</si>
  <si>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</si>
  <si>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</si>
  <si>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</si>
  <si>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</si>
  <si>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</si>
  <si>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</si>
  <si>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</si>
  <si>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</si>
  <si>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</si>
  <si>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</si>
  <si>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</si>
  <si>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</si>
  <si>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</si>
  <si>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</si>
  <si>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</si>
  <si>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</si>
  <si>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</si>
  <si>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</si>
  <si>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地上</t>
  </si>
  <si>
    <t>住宅</t>
  </si>
  <si>
    <t>是</t>
  </si>
  <si>
    <t>公寓</t>
  </si>
  <si>
    <t>地下</t>
  </si>
  <si>
    <t>会所</t>
  </si>
  <si>
    <t>会所</t>
    <phoneticPr fontId="16" type="noConversion"/>
  </si>
  <si>
    <t>车库</t>
  </si>
  <si>
    <t>住宅</t>
    <phoneticPr fontId="7" type="noConversion"/>
  </si>
  <si>
    <t>会所</t>
    <phoneticPr fontId="7" type="noConversion"/>
  </si>
  <si>
    <t>车库</t>
    <phoneticPr fontId="7" type="noConversion"/>
  </si>
  <si>
    <t>郑燚</t>
  </si>
  <si>
    <t>王鹏</t>
  </si>
  <si>
    <t>抵押</t>
  </si>
  <si>
    <t>房地产抵押价值</t>
  </si>
  <si>
    <t>北京市</t>
  </si>
  <si>
    <r>
      <rPr>
        <sz val="12"/>
        <rFont val="宋体"/>
        <family val="3"/>
        <charset val="134"/>
      </rPr>
      <t>朝阳区朝阳公园西里北区</t>
    </r>
    <r>
      <rPr>
        <sz val="12"/>
        <rFont val="Arial"/>
        <family val="2"/>
      </rPr>
      <t>5</t>
    </r>
    <r>
      <rPr>
        <sz val="12"/>
        <rFont val="宋体"/>
        <family val="3"/>
        <charset val="134"/>
      </rPr>
      <t>号</t>
    </r>
    <phoneticPr fontId="6" type="noConversion"/>
  </si>
  <si>
    <t>企业</t>
  </si>
  <si>
    <t>出让</t>
  </si>
  <si>
    <t>住宅、商业、车库</t>
    <phoneticPr fontId="6" type="noConversion"/>
  </si>
  <si>
    <t>《不动产权证书》</t>
    <phoneticPr fontId="6" type="noConversion"/>
  </si>
  <si>
    <t>《不动产权证书》</t>
    <phoneticPr fontId="6" type="noConversion"/>
  </si>
  <si>
    <r>
      <rPr>
        <sz val="12"/>
        <rFont val="宋体"/>
        <family val="3"/>
        <charset val="134"/>
      </rPr>
      <t>剩余土地年限</t>
    </r>
    <phoneticPr fontId="6" type="noConversion"/>
  </si>
  <si>
    <r>
      <rPr>
        <sz val="12"/>
        <rFont val="宋体"/>
        <family val="3"/>
        <charset val="134"/>
      </rPr>
      <t>住宅</t>
    </r>
    <r>
      <rPr>
        <sz val="12"/>
        <rFont val="Arial"/>
        <family val="2"/>
      </rPr>
      <t>54.1</t>
    </r>
    <r>
      <rPr>
        <sz val="12"/>
        <rFont val="宋体"/>
        <family val="3"/>
        <charset val="134"/>
      </rPr>
      <t>、商业</t>
    </r>
    <r>
      <rPr>
        <sz val="12"/>
        <rFont val="Arial"/>
        <family val="2"/>
      </rPr>
      <t>24.1</t>
    </r>
    <r>
      <rPr>
        <sz val="12"/>
        <rFont val="宋体"/>
        <family val="3"/>
        <charset val="134"/>
      </rPr>
      <t>、车库</t>
    </r>
    <r>
      <rPr>
        <sz val="12"/>
        <rFont val="Arial"/>
        <family val="2"/>
      </rPr>
      <t>34.1</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</si>
  <si>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</si>
  <si>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</si>
  <si>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土地面积</t>
    </r>
    <phoneticPr fontId="85" type="noConversion"/>
  </si>
  <si>
    <r>
      <rPr>
        <sz val="12"/>
        <rFont val="宋体"/>
        <family val="3"/>
        <charset val="134"/>
      </rPr>
      <t>面积依据</t>
    </r>
    <phoneticPr fontId="85" type="noConversion"/>
  </si>
  <si>
    <t>否</t>
  </si>
  <si>
    <t>复印件</t>
  </si>
  <si>
    <t>居住项目</t>
  </si>
  <si>
    <t>其他特殊：</t>
  </si>
  <si>
    <t>长租公寓</t>
    <phoneticPr fontId="6" type="noConversion"/>
  </si>
  <si>
    <t>现房</t>
  </si>
  <si>
    <t>通路</t>
  </si>
  <si>
    <t>通电</t>
  </si>
  <si>
    <t>通讯</t>
  </si>
  <si>
    <t>通上水</t>
  </si>
  <si>
    <t>通下水</t>
  </si>
  <si>
    <t>通热</t>
  </si>
  <si>
    <t>平整</t>
  </si>
  <si>
    <t>燃气</t>
  </si>
  <si>
    <t>成新度</t>
  </si>
  <si>
    <t>钢混</t>
  </si>
  <si>
    <t>非生产用房</t>
  </si>
  <si>
    <t>押二</t>
  </si>
  <si>
    <t>收益法</t>
  </si>
  <si>
    <t>收益法 (配套)</t>
  </si>
  <si>
    <t>收益法 (配套)</t>
    <phoneticPr fontId="16" type="noConversion"/>
  </si>
  <si>
    <t>收益法 (车库)</t>
  </si>
  <si>
    <t>收益法 (车库)</t>
    <phoneticPr fontId="16" type="noConversion"/>
  </si>
  <si>
    <t>成本法（配套）</t>
  </si>
  <si>
    <t>成本法（配套）</t>
    <phoneticPr fontId="16" type="noConversion"/>
  </si>
  <si>
    <t>成本法（车库）</t>
  </si>
  <si>
    <t>成本法（车库）</t>
    <phoneticPr fontId="16" type="noConversion"/>
  </si>
  <si>
    <t>项目局部</t>
  </si>
  <si>
    <t>收益比率</t>
  </si>
  <si>
    <t>按租金收入计税</t>
  </si>
  <si>
    <t>商务金融用地（办公类）</t>
  </si>
  <si>
    <t>不临58条商业街</t>
  </si>
  <si>
    <t>与级别开发程度一致</t>
  </si>
  <si>
    <t>地价指数</t>
  </si>
  <si>
    <t>容积率修正</t>
  </si>
  <si>
    <t>较好</t>
  </si>
  <si>
    <t>好</t>
  </si>
  <si>
    <t>未包含在土地购买价格中</t>
  </si>
  <si>
    <t>全部缴纳</t>
  </si>
  <si>
    <t>已包含在土地取得成本中</t>
  </si>
  <si>
    <t>较好</t>
    <phoneticPr fontId="41" type="noConversion"/>
  </si>
  <si>
    <t>较好</t>
    <phoneticPr fontId="25" type="noConversion"/>
  </si>
  <si>
    <t>较好</t>
    <phoneticPr fontId="25" type="noConversion"/>
  </si>
  <si>
    <t>七通</t>
    <phoneticPr fontId="25" type="noConversion"/>
  </si>
  <si>
    <t>支路</t>
    <phoneticPr fontId="25" type="noConversion"/>
  </si>
  <si>
    <t>好</t>
    <phoneticPr fontId="25" type="noConversion"/>
  </si>
  <si>
    <t>双面临街</t>
  </si>
  <si>
    <t>较好</t>
    <phoneticPr fontId="79" type="noConversion"/>
  </si>
  <si>
    <t>较好</t>
    <phoneticPr fontId="79" type="noConversion"/>
  </si>
  <si>
    <t>较差</t>
  </si>
  <si>
    <t>居住用地（指二类居住用地）</t>
  </si>
  <si>
    <t>有</t>
  </si>
  <si>
    <t>无</t>
  </si>
  <si>
    <t>500米范围内</t>
  </si>
  <si>
    <t>较好</t>
    <phoneticPr fontId="143" type="noConversion"/>
  </si>
  <si>
    <t>近</t>
    <phoneticPr fontId="143" type="noConversion"/>
  </si>
  <si>
    <t>成本法（住宅）</t>
    <phoneticPr fontId="16" type="noConversion"/>
  </si>
  <si>
    <t>自定义</t>
  </si>
  <si>
    <t>序号</t>
  </si>
  <si>
    <t>楼号</t>
  </si>
  <si>
    <t>房号</t>
  </si>
  <si>
    <t>合约数量</t>
  </si>
  <si>
    <t>已租/
空置/老板用房</t>
  </si>
  <si>
    <t>承租方</t>
  </si>
  <si>
    <t>租赁面积
(平米)</t>
    <phoneticPr fontId="37" type="noConversion"/>
  </si>
  <si>
    <t>起始日期</t>
    <phoneticPr fontId="37" type="noConversion"/>
  </si>
  <si>
    <t>截止日期</t>
  </si>
  <si>
    <t>租金起算日</t>
    <phoneticPr fontId="37" type="noConversion"/>
  </si>
  <si>
    <t>装修期
(天/月)</t>
  </si>
  <si>
    <t>租赁期
（年)</t>
    <phoneticPr fontId="37" type="noConversion"/>
  </si>
  <si>
    <t>租金包含</t>
  </si>
  <si>
    <t>2019-2020年月租金（含增值税）</t>
  </si>
  <si>
    <t>2020-2021年月租金（含增值税）</t>
  </si>
  <si>
    <t>2021-2022年月租金（含增值税）</t>
  </si>
  <si>
    <t>2022-2023年月租金（含增值税）</t>
  </si>
  <si>
    <t>2023-2024年月租金（含增值税）</t>
  </si>
  <si>
    <t>2024-2025年月租金（含增值税）</t>
  </si>
  <si>
    <t>2025-2026年月租金（含增值税）</t>
  </si>
  <si>
    <t>2026-2027年月租金（含增值税）</t>
  </si>
  <si>
    <t>2027-2028年月租金（含增值税）</t>
  </si>
  <si>
    <t>2028-2029年月租金（含增值税）</t>
  </si>
  <si>
    <t>2029-2030年月租金（含增值税）</t>
  </si>
  <si>
    <t>2030-2031年月租金（含增值税）</t>
  </si>
  <si>
    <t>2031-2032年月租金（含增值税）</t>
  </si>
  <si>
    <t>租金收取方式</t>
    <phoneticPr fontId="37" type="noConversion"/>
  </si>
  <si>
    <t>租金递增细节描述</t>
  </si>
  <si>
    <t>物管费
(元/平方/月)</t>
  </si>
  <si>
    <t>物管费
(元/月)</t>
  </si>
  <si>
    <t>保证金总数</t>
  </si>
  <si>
    <t>该合同面积对应产权证房号</t>
  </si>
  <si>
    <t>上一年度租金</t>
  </si>
  <si>
    <t>增长率</t>
  </si>
  <si>
    <t>合同里面积</t>
  </si>
  <si>
    <t>1单元（A座）</t>
  </si>
  <si>
    <t>1101</t>
  </si>
  <si>
    <t>已租</t>
  </si>
  <si>
    <t>美国大使馆</t>
  </si>
  <si>
    <t>物业费、电视收视费、供暖费、停车费、会所费、市内电话费、宽带费及安装费、储藏室</t>
  </si>
  <si>
    <t>季付</t>
  </si>
  <si>
    <t>1102</t>
  </si>
  <si>
    <t>2101</t>
  </si>
  <si>
    <t>2102</t>
  </si>
  <si>
    <t>物业费、停车费、储藏室</t>
  </si>
  <si>
    <t>3101</t>
  </si>
  <si>
    <t>3102</t>
  </si>
  <si>
    <t>4101</t>
  </si>
  <si>
    <t>4102</t>
  </si>
  <si>
    <t>5101</t>
  </si>
  <si>
    <t>5102</t>
  </si>
  <si>
    <t>6101</t>
  </si>
  <si>
    <t>6102</t>
  </si>
  <si>
    <t>7102</t>
  </si>
  <si>
    <t>开发商自用</t>
  </si>
  <si>
    <t>Total (小计)</t>
  </si>
  <si>
    <t>2单元（B座）</t>
  </si>
  <si>
    <t>1201</t>
  </si>
  <si>
    <t>已租</t>
    <phoneticPr fontId="37" type="noConversion"/>
  </si>
  <si>
    <t>1202</t>
  </si>
  <si>
    <t>包括物业费、电视费、供暖费、停车费、会所使用费（不含瑜伽和按摩）、电话费、宽带费、安装费；一个储藏室；更换煤气管成金属管</t>
  </si>
  <si>
    <t>2201</t>
  </si>
  <si>
    <t>2202</t>
  </si>
  <si>
    <t>3201</t>
  </si>
  <si>
    <t>3202</t>
  </si>
  <si>
    <t>4201</t>
  </si>
  <si>
    <t>4202</t>
  </si>
  <si>
    <t>2016/12/30</t>
  </si>
  <si>
    <t>2019/12/29</t>
  </si>
  <si>
    <t>5201</t>
  </si>
  <si>
    <t>5202</t>
  </si>
  <si>
    <t>6201</t>
  </si>
  <si>
    <t>6202</t>
  </si>
  <si>
    <t>7201</t>
  </si>
  <si>
    <t>7202</t>
  </si>
  <si>
    <t>3单元（C座）</t>
  </si>
  <si>
    <t>博莱克威奇（北京）工程设计有限公司</t>
  </si>
  <si>
    <t>物业费、电视收视费、供暖费、会所费、市内电话费、宽带费及安装费、管家服务、能源费、1000元餐费、干洗费</t>
  </si>
  <si>
    <t>月付</t>
  </si>
  <si>
    <t>55600</t>
  </si>
  <si>
    <t>北京富士通系统工程有限公司</t>
    <phoneticPr fontId="37" type="noConversion"/>
  </si>
  <si>
    <t>物业费、电视收视费、供暖费、会所费、市内电话费、宽带费及安装费、管家服务、能源费</t>
  </si>
  <si>
    <t>空置</t>
  </si>
  <si>
    <t>三井物产株式会社</t>
    <phoneticPr fontId="37" type="noConversion"/>
  </si>
  <si>
    <t>物业费、电视收视费、供暖费、会所费、市内电话费、宽带费及安装费、管家服务</t>
  </si>
  <si>
    <t>电装（中国）投资有限公司</t>
  </si>
  <si>
    <t>东芝（中国）有限公司</t>
    <phoneticPr fontId="37" type="noConversion"/>
  </si>
  <si>
    <t>AurobindoKumar.Patnaik</t>
    <phoneticPr fontId="37" type="noConversion"/>
  </si>
  <si>
    <t>物业费、电视收视费、供暖费、会所费、市内电话费、宽带费及安装费、停车费</t>
  </si>
  <si>
    <t>1309</t>
  </si>
  <si>
    <t>日通国际物流（中国）有限公司</t>
    <phoneticPr fontId="37" type="noConversion"/>
  </si>
  <si>
    <t>揖斐电电子（北京）有限公司</t>
    <phoneticPr fontId="37" type="noConversion"/>
  </si>
  <si>
    <t>物业费、电视收视费、供暖费、会所费、市内电话费、宽带费及安装费、能源费</t>
  </si>
  <si>
    <t>宝日医生物技术（北京）有限公司</t>
    <phoneticPr fontId="37" type="noConversion"/>
  </si>
  <si>
    <t>斯巴鲁技术（北京）有限公司</t>
    <phoneticPr fontId="37" type="noConversion"/>
  </si>
  <si>
    <t>捷客斯（北京）企业管理有限公司</t>
    <phoneticPr fontId="37" type="noConversion"/>
  </si>
  <si>
    <t>LUC MENARD</t>
  </si>
  <si>
    <t>2303</t>
  </si>
  <si>
    <t>恩梯恩（中国）投资有限公司</t>
    <phoneticPr fontId="37" type="noConversion"/>
  </si>
  <si>
    <t>2305</t>
  </si>
  <si>
    <t>揖斐电电子（北京）有限公司</t>
  </si>
  <si>
    <t>2306（含产权证2708）</t>
  </si>
  <si>
    <t>西铁城（中国）钟表有限公司</t>
  </si>
  <si>
    <t>戴姆勒大中华区投资有限公司</t>
    <phoneticPr fontId="37" type="noConversion"/>
  </si>
  <si>
    <t>物业费、电视收视费、供暖费、会所费、市内电话费、宽带费及安装费、停车费、能源费</t>
  </si>
  <si>
    <t>2个月公司保函</t>
  </si>
  <si>
    <t>2307</t>
  </si>
  <si>
    <t>瑞萨电子（中国）有限公司</t>
    <phoneticPr fontId="37" type="noConversion"/>
  </si>
  <si>
    <t>2309</t>
  </si>
  <si>
    <t>本村博美</t>
    <phoneticPr fontId="37" type="noConversion"/>
  </si>
  <si>
    <t>2310</t>
  </si>
  <si>
    <t>城内康伸</t>
  </si>
  <si>
    <t>2311</t>
  </si>
  <si>
    <t>安道麦（中国）投资有限公司</t>
    <phoneticPr fontId="37" type="noConversion"/>
  </si>
  <si>
    <t>2019/02/28</t>
    <phoneticPr fontId="37" type="noConversion"/>
  </si>
  <si>
    <t>2019/08/27</t>
    <phoneticPr fontId="37" type="noConversion"/>
  </si>
  <si>
    <t>2312</t>
  </si>
  <si>
    <t>阪急阪神国际货运代理（北京）有限公司</t>
    <phoneticPr fontId="37" type="noConversion"/>
  </si>
  <si>
    <t>2313</t>
  </si>
  <si>
    <t>3301</t>
  </si>
  <si>
    <t>捷客斯（北京）企业管理有限公司</t>
  </si>
  <si>
    <t>物业费、电视收视费、供暖费、会所费、市内电话费、宽带费及安装费、管家服务、能源费、网络电视</t>
  </si>
  <si>
    <t>3302</t>
  </si>
  <si>
    <t>爱导（上海）汽车零部件贸易有限公司北京分公司</t>
    <phoneticPr fontId="37" type="noConversion"/>
  </si>
  <si>
    <t>物业费、电视收视费、供暖费、会所费、市内电话费、宽带费及安装费、管家服务、能源费、独立宽度、700元超市费及300元咖啡厅费用</t>
  </si>
  <si>
    <t>3303</t>
  </si>
  <si>
    <t>株式会社日新</t>
    <phoneticPr fontId="37" type="noConversion"/>
  </si>
  <si>
    <t>物业费、电视收视费、供暖费、会所费、市内电话费、宽带费及安装费、管家服务、能源费、独立网</t>
  </si>
  <si>
    <t>3305</t>
  </si>
  <si>
    <t>宝日医生物技术（北京）有限公司</t>
  </si>
  <si>
    <t>3306</t>
  </si>
  <si>
    <t>索尼移动通信产品（中国）有限公司</t>
    <phoneticPr fontId="37" type="noConversion"/>
  </si>
  <si>
    <t>1月公司保函</t>
  </si>
  <si>
    <t>3307</t>
  </si>
  <si>
    <t>NTT DATA</t>
    <phoneticPr fontId="37" type="noConversion"/>
  </si>
  <si>
    <t>物业费、电视收视费、供暖费、会所费、市内电话费、宽带费及安装费、管家服务、能源费、200超市费</t>
  </si>
  <si>
    <t>3308</t>
  </si>
  <si>
    <t>日本大使馆 福岛真由美</t>
    <phoneticPr fontId="37" type="noConversion"/>
  </si>
  <si>
    <t>物业费、电视收视费、供暖费、会所费、市内电话费、宽带费及安装费、管家服务、独立网</t>
  </si>
  <si>
    <t>3309（含产权证3311）</t>
  </si>
  <si>
    <t>日本大使馆 岩本雅也</t>
    <phoneticPr fontId="37" type="noConversion"/>
  </si>
  <si>
    <t>物业费、电视收视费、供暖费、会所费、市内电话费、宽带费及安装费、独立网</t>
  </si>
  <si>
    <t>3310</t>
  </si>
  <si>
    <t>马自达（中国）企业管理有限公司</t>
    <phoneticPr fontId="37" type="noConversion"/>
  </si>
  <si>
    <t>物业费、电视收视费、供暖费、会所费、市内电话费、宽带费及安装费、独立网、管家服务、能源费、网络电视</t>
  </si>
  <si>
    <t>3312</t>
  </si>
  <si>
    <t>一个月保函</t>
  </si>
  <si>
    <t>3313</t>
  </si>
  <si>
    <t>4301</t>
  </si>
  <si>
    <t>理光软件研究所（北京）有限公司</t>
    <phoneticPr fontId="37" type="noConversion"/>
  </si>
  <si>
    <t>物业费、电视收视费、供暖费、会所费、市内电话费、宽带费及安装费、独立网、网络电视</t>
  </si>
  <si>
    <t>4302</t>
  </si>
  <si>
    <t>佳能医疗系统（中国）有限公司</t>
    <phoneticPr fontId="37" type="noConversion"/>
  </si>
  <si>
    <t>4303</t>
  </si>
  <si>
    <t>物业费、电视收视费、供暖费、会所费、市内电话费、宽带费及安装费、独立网、网络电视、能源费、管家服务</t>
  </si>
  <si>
    <t>韩国放送公社北京代表处</t>
    <phoneticPr fontId="37" type="noConversion"/>
  </si>
  <si>
    <t>物业费、电视收视费、供暖费、会所费、市内电话费、宽带费及安装费、独立网、能源费、管家服务</t>
  </si>
  <si>
    <t>4305（含产权证4307）</t>
  </si>
  <si>
    <t>日本大使馆 增田 正悟</t>
    <phoneticPr fontId="37" type="noConversion"/>
  </si>
  <si>
    <t>物业费、电视收视费、供暖费、会所费、市内电话费、宽带费及安装费、网络电视、管家服务</t>
  </si>
  <si>
    <t>4306</t>
  </si>
  <si>
    <t>北京凯迪迪爱通信技术有限公司</t>
    <phoneticPr fontId="37" type="noConversion"/>
  </si>
  <si>
    <t>4308</t>
  </si>
  <si>
    <t>华尔卡（上海）贸易有限公司</t>
    <phoneticPr fontId="37" type="noConversion"/>
  </si>
  <si>
    <t>物业费、电视收视费、供暖费、会所费、市内电话费、宽带费及安装费、网络电视、管家服务、能源费、独立宽带</t>
  </si>
  <si>
    <t>4309（含产权证4311）</t>
  </si>
  <si>
    <t>国泰航空有限公司北京代表处</t>
    <phoneticPr fontId="37" type="noConversion"/>
  </si>
  <si>
    <t>600餐费，其他不详</t>
  </si>
  <si>
    <t>4310</t>
  </si>
  <si>
    <t>西门子（中国）有限公司</t>
    <phoneticPr fontId="37" type="noConversion"/>
  </si>
  <si>
    <t>物业费、电视收视费、供暖费、会所费、市内电话费、宽带费及安装费、管家服务、能源费、独立宽带</t>
  </si>
  <si>
    <t>4312</t>
  </si>
  <si>
    <t>日本大使馆 小川修子</t>
    <phoneticPr fontId="37" type="noConversion"/>
  </si>
  <si>
    <t>物业费、电视收视费、供暖费、会所费、市内电话费、宽带费及安装费、管家服务、停车费、独立宽带</t>
  </si>
  <si>
    <t>4313</t>
  </si>
  <si>
    <t>瑞穗银行（中国）有限公司北京分行</t>
  </si>
  <si>
    <t>物业费、电视收视费、供暖费、会所费、市内电话费、宽带费及安装费、管家服务、网络电视、独立宽带</t>
  </si>
  <si>
    <t>5301</t>
  </si>
  <si>
    <t>爱普生（中国）有限公司</t>
    <phoneticPr fontId="37" type="noConversion"/>
  </si>
  <si>
    <t>物业费、电视收视费、供暖费、会所费、市内电话费、宽带费及安装费、管家服务、能源费、网络电视、独立宽带、100洗衣费</t>
  </si>
  <si>
    <t>5302</t>
  </si>
  <si>
    <t>交通公社新纪元国际旅行社有限公司</t>
    <phoneticPr fontId="37" type="noConversion"/>
  </si>
  <si>
    <t>5303</t>
  </si>
  <si>
    <t>岛津企业管理（中国）有限公司</t>
    <phoneticPr fontId="37" type="noConversion"/>
  </si>
  <si>
    <t>5305</t>
  </si>
  <si>
    <t>物业费、电视收视费、供暖费、会所费、市内电话费、宽带费及安装费、管家服务、独立宽带</t>
  </si>
  <si>
    <t>5306</t>
  </si>
  <si>
    <t>出光兴产株式会社煤炭事业部</t>
    <phoneticPr fontId="37" type="noConversion"/>
  </si>
  <si>
    <t>2个月保函</t>
  </si>
  <si>
    <t>5307</t>
  </si>
  <si>
    <t>日本大使馆  堀荣子</t>
    <phoneticPr fontId="37" type="noConversion"/>
  </si>
  <si>
    <t>5308</t>
  </si>
  <si>
    <t>5309</t>
  </si>
  <si>
    <t>物业费、电视收视费、供暖费、会所费、市内电话费、宽带费及安装费、管家服务、能源费、网络电视、独立宽带</t>
  </si>
  <si>
    <t>5310（含产权证5312）</t>
  </si>
  <si>
    <t>北京市环富律师事务所</t>
    <phoneticPr fontId="37" type="noConversion"/>
  </si>
  <si>
    <t>5311</t>
  </si>
  <si>
    <t>北京日立控制系统有限公司</t>
    <phoneticPr fontId="37" type="noConversion"/>
  </si>
  <si>
    <t>5313</t>
  </si>
  <si>
    <t>加治贵(KAJI TAKASHI)</t>
    <phoneticPr fontId="37" type="noConversion"/>
  </si>
  <si>
    <t>物业费、电视收视费、供暖费、会所费、市内电话费、宽带费及安装费、管家服务×2、独立宽带、能源费</t>
  </si>
  <si>
    <t>5单元（D座）</t>
  </si>
  <si>
    <t>1501</t>
  </si>
  <si>
    <t>戴姆勒大中华区投资有限公司</t>
  </si>
  <si>
    <t>56000</t>
  </si>
  <si>
    <t>1502</t>
  </si>
  <si>
    <t>康明斯（中国）投资有限公司</t>
  </si>
  <si>
    <t>2018/08/17</t>
  </si>
  <si>
    <t>2020/03/16</t>
  </si>
  <si>
    <t>物业费、供暖费、会所使用费、电视安装使用费、宽带费、电话费、每周一次清洁、能源费（800）</t>
  </si>
  <si>
    <t>1503</t>
  </si>
  <si>
    <t>1505</t>
  </si>
  <si>
    <t>2018/12/31</t>
  </si>
  <si>
    <t>2020/12/30</t>
  </si>
  <si>
    <t>物业费、电视收视费、市政中央供暖费、会所使用费、市内电话费、宽带费；每周1次管家费</t>
  </si>
  <si>
    <t>两个月公司保函</t>
  </si>
  <si>
    <t>1506</t>
  </si>
  <si>
    <t>2501</t>
  </si>
  <si>
    <t>北京富士通系统工程有限公司</t>
  </si>
  <si>
    <t>物业费、电视收视费、市政中央供暖费、会所使用费、市内电话费、宽带费、安装费、管家费、能源费、车位费</t>
  </si>
  <si>
    <t>2502</t>
  </si>
  <si>
    <t>富士通（中国）有限公司</t>
  </si>
  <si>
    <t>物业费、电视收视费、市政中央供暖费、会所使用费、市内电话费、宽带费、安装费、管家费、能源费</t>
  </si>
  <si>
    <t>2503</t>
  </si>
  <si>
    <t>伊藤忠（中国）集团有限公司</t>
  </si>
  <si>
    <t>物业费、电视收视费、市政中央供暖费、会所使用费、市内电话费、宽带费、安装费、管家费、能源费、</t>
  </si>
  <si>
    <t>2505</t>
  </si>
  <si>
    <t>三星（中国）投资有限公司</t>
  </si>
  <si>
    <t>2506</t>
  </si>
  <si>
    <t>日本大使馆 村中厚之</t>
  </si>
  <si>
    <t>3501</t>
  </si>
  <si>
    <t>奥林巴斯（北京）销售服务有限公司</t>
  </si>
  <si>
    <t>物业费、电视收视费、市政中央供暖费、会所使用费、市内电话费、宽带费、安装费、管家费、</t>
  </si>
  <si>
    <t>3502</t>
  </si>
  <si>
    <t>索尼移动通信产品（中国）有限公司</t>
  </si>
  <si>
    <t>3503</t>
  </si>
  <si>
    <t>一个月银行保函</t>
  </si>
  <si>
    <t>3505</t>
  </si>
  <si>
    <t>株式会社电通（Dentsu Inc.)</t>
  </si>
  <si>
    <t>物业费、电视收视费、市政中央供暖费、会所使用费、市内电话费、宽带费、安装费</t>
  </si>
  <si>
    <t>3506</t>
  </si>
  <si>
    <t>大众汽车（中国）投资有限公司</t>
  </si>
  <si>
    <t>两个月保函</t>
  </si>
  <si>
    <t>3507</t>
  </si>
  <si>
    <t>恩斯克投资有限公司北京分公司</t>
  </si>
  <si>
    <t>3508</t>
  </si>
  <si>
    <t>4501</t>
  </si>
  <si>
    <t>日立（中国）有限公司</t>
  </si>
  <si>
    <t>2018/04/07</t>
  </si>
  <si>
    <t>2019/04/06</t>
  </si>
  <si>
    <t>4502</t>
  </si>
  <si>
    <t>莱姆电子（中国）有限公司</t>
  </si>
  <si>
    <t>2017/08/01</t>
  </si>
  <si>
    <t>2019/07/31</t>
  </si>
  <si>
    <t>物业费、电视费、供暖费、会所使用（不包瑜伽和按摩）、电话费、宽带费、安装费；每周一次全管家服务（1000）；500元/月能源补贴；一个固定车位（1200）；路由器（50）、饮水机、晾衣架、吹风机、电饭锅、熨斗熨衣板、刀具、餐具、厨具数量均为1；</t>
  </si>
  <si>
    <t>4503</t>
  </si>
  <si>
    <t>北京日立北工大信息系统有限公司</t>
  </si>
  <si>
    <t>2018/04/01</t>
  </si>
  <si>
    <t>2019/03/31</t>
  </si>
  <si>
    <t>物业费、电视费、供暖费、会所使用（不包瑜伽和按摩）、电话费、宽带费、安装费；每周一次全管家服务（800）；水电煤气使用费（300/月）；洗衣费（500/月）；11份早餐券（528/月)、两桶饮用水（40）；洁身器（150）、加湿器（50）、烤面包机、咖啡机、DVD、饮水机、晾衣架、吹风机、电饭锅、熨斗熨衣板、刀具、餐具、厨具数量均为1；增加一个衣柜。春节期间客人回国清洗窗帘沙发地毯浴缸消毒。提供一个书架</t>
  </si>
  <si>
    <t>4505</t>
  </si>
  <si>
    <t>沃尔沃汽车销售（上海）有限公司</t>
  </si>
  <si>
    <t>2019/06/30</t>
  </si>
  <si>
    <t>物业费、电视费、供暖费、会所使用（不包瑜伽和按摩）、电话费、宽带费、安装费；每周一次全管家服务（1200)；能源费补贴（1200/月）；独立宽带（300）；三台净化器（1200）、路由器（50）、饮水机、晾衣架、吹风机、电饭锅、熨斗熨衣板、刀具、餐具、厨具数量均为1；</t>
  </si>
  <si>
    <t>4506</t>
  </si>
  <si>
    <t>西门子交通技术（北京）有限公司</t>
  </si>
  <si>
    <t>2019/03/01</t>
  </si>
  <si>
    <t>2019/12/31</t>
  </si>
  <si>
    <t>4507</t>
  </si>
  <si>
    <t>森冈淳一</t>
  </si>
  <si>
    <t>2018/07/14</t>
  </si>
  <si>
    <t>2019/07/13</t>
  </si>
  <si>
    <t>物业费、电视费、供暖费、会所使用（不包瑜伽和按摩）、电话费、宽带费、安装费；每周一次全管家服务（800)；独立宽带（220）；路由器（50）、洁身器（300）、饮水机、晾衣架、吹风机、电饭锅、熨斗熨衣板、刀具、餐具、厨具数量均为1；</t>
  </si>
  <si>
    <t>4508</t>
  </si>
  <si>
    <t>2017/10/20</t>
  </si>
  <si>
    <t>2020/10/19</t>
  </si>
  <si>
    <t>物业费、电视费、供暖费、会所使用（不包瑜伽和按摩）、电话费；一个储藏室、一个车位、更换煤气管城金属管</t>
  </si>
  <si>
    <t>5501</t>
  </si>
  <si>
    <t>日产（中国）投资有限公司</t>
  </si>
  <si>
    <t>2019/03/03</t>
  </si>
  <si>
    <t>2020/03/02</t>
  </si>
  <si>
    <t>5502</t>
  </si>
  <si>
    <t>5503</t>
  </si>
  <si>
    <t>北京凯迪迪爱通信技术有限公司</t>
  </si>
  <si>
    <t>2018/07/01</t>
  </si>
  <si>
    <t>物业费、电视费、供暖费、会所使用（不包瑜伽和按摩）、电话费、宽带费、安装费；每周一次全管家服务（800)；能源费补贴（1000/月）；洁身器（150）、饮水机、晾衣架、吹风机、电饭锅、熨斗熨衣板、刀具、餐具、厨具数量均为1；</t>
  </si>
  <si>
    <t>5505</t>
  </si>
  <si>
    <t>2019/01/01</t>
  </si>
  <si>
    <t>2020/03/31</t>
  </si>
  <si>
    <t>物业费、电视费、供暖费、会所使用（不包瑜伽和按摩）、电话费、宽带费、安装费；每周一次全管家服务（1200)；能源费补贴（1500/月）；独立宽带（220）；固定车位（1200）；路由器（50）、空气净化器（500）、饮水机、晾衣架、吹风机、电饭锅、熨斗熨衣板、刀具、餐具、厨具数量均为1；</t>
  </si>
  <si>
    <t>5506</t>
  </si>
  <si>
    <t>江苏华盛电气股份有限公司</t>
  </si>
  <si>
    <t>2018/03/18</t>
  </si>
  <si>
    <t>2019/03/17</t>
  </si>
  <si>
    <t>物业费、电视费、供暖费、会所使用（不包瑜伽和按摩）、电话费、宽带费、安装费；每周一次全管家服务（1200)；能源费补贴（600/月）；独立宽带（220）；路由器（50）、加湿器（100）、饮水机、晾衣架、吹风机、电饭锅、熨斗熨衣板、刀具、餐具、厨具数量均为1；</t>
  </si>
  <si>
    <t>2019/03/18</t>
  </si>
  <si>
    <t>2020/03/17</t>
  </si>
  <si>
    <t>5507</t>
  </si>
  <si>
    <t>电装天研究开发（天津）有限公司</t>
  </si>
  <si>
    <t>2019/01/11</t>
  </si>
  <si>
    <t>2020/01/10</t>
  </si>
  <si>
    <t>物业费、电视费、供暖费、会所使用（不包瑜伽和按摩）、电话费、宽带费、安装费；每周一次全管家服务（800)；能源费补贴（300/月）；独立宽带（220）；2桶桶装水（50）；洁身器（300）、路由器（50）、饮水机、晾衣架、吹风机、电饭锅、熨斗熨衣板、刀具、餐具、厨具数量均为1；</t>
  </si>
  <si>
    <t>5508</t>
  </si>
  <si>
    <t>2017/09/20</t>
  </si>
  <si>
    <t>2020/09/19</t>
  </si>
  <si>
    <t>物业费、电视费、供暖费、会所使用（不包瑜伽和按摩）、电话费；一个储藏室；一个地下车位；更换煤气管城金属管；</t>
  </si>
  <si>
    <t>6501</t>
  </si>
  <si>
    <t>日本大使馆 松原 陽介</t>
  </si>
  <si>
    <t>2019/01/13</t>
  </si>
  <si>
    <t>2019/04/14</t>
  </si>
  <si>
    <t>物业费、电视费、供暖费、会所使用（不包瑜伽和按摩）、电话费、宽带费、安装费；每周一次全管家服务；独立宽带（500）；路由器（50）、洁身器（300）、饮水机、晾衣架、吹风机、电饭锅、熨斗熨衣板、刀具、餐具、厨具数量均为1；</t>
  </si>
  <si>
    <t>6502</t>
  </si>
  <si>
    <t>日本大使馆 河合誠</t>
  </si>
  <si>
    <t>2018/12/07</t>
  </si>
  <si>
    <t>2019/12/06</t>
  </si>
  <si>
    <t>物业费、电视费、供暖费、会所使用（不包瑜伽和按摩）、电话费、宽带费、安装费；每周一次全管家服务（1000）；路由器（50）、洁身器（300/月）、电热水壶、饮水机、晾衣架、吹风机、电饭锅、熨斗熨衣板、刀具、餐具、厨具数量均为1；双人床换2个单人床</t>
  </si>
  <si>
    <t>6503</t>
  </si>
  <si>
    <t>Joseph Leung</t>
  </si>
  <si>
    <t>物业费、电视费、供暖费、会所使用（不包瑜伽和按摩）、电话费、宽带费、安装费；每周一次全管家服务（800）；能源补贴（500）；独立宽带（220）；路由器（50）、饮水机、晾衣架、吹风机、电饭锅、熨斗熨衣板、刀具、餐具、厨具数量均为1；</t>
  </si>
  <si>
    <t>6505</t>
  </si>
  <si>
    <t>苫小牧埠頭株式会社</t>
  </si>
  <si>
    <t>2018/07/20</t>
  </si>
  <si>
    <t>2019/07/19</t>
  </si>
  <si>
    <t>物业费、电视费、供暖费、会所使用（不包瑜伽和按摩）、电话费、宽带费、安装费；每周一次全管家服务（1200）；能源补贴（1000）；4桶自然调和水（200）；路由器（50）、饮水机、晾衣架、吹风机、电饭锅、熨斗熨衣板、刀具、餐具、厨具数量均为1；</t>
  </si>
  <si>
    <t>6506</t>
  </si>
  <si>
    <t>2018/05/01</t>
  </si>
  <si>
    <t>2019/04/30</t>
  </si>
  <si>
    <t>物业费、电视费、供暖费、会所使用（不包瑜伽和按摩）、电话费、宽带费、安装费；每周一次全管家服务（1200）；能源补贴（1500）；固定车位（1200）；路由器（50）、DVD、饮水机、晾衣架、吹风机、电饭锅、熨斗熨衣板、刀具、餐具、厨具数量均为1；</t>
  </si>
  <si>
    <t>6507</t>
  </si>
  <si>
    <t>丸红（北京）商业贸易有限公司</t>
  </si>
  <si>
    <t>2018/10/20</t>
  </si>
  <si>
    <t>2019/10/19</t>
  </si>
  <si>
    <t>物业费、电视费、供暖费、会所使用（不包瑜伽和按摩）、电话费、宽带费、安装费；每周两次全管家服务（1600）；能源补贴（300）；独立宽带（220）；路由器（50）、饮水机、晾衣架、吹风机、电饭锅、熨斗熨衣板、刀具、餐具、厨具数量均为1；</t>
  </si>
  <si>
    <t>6508</t>
  </si>
  <si>
    <t>2018/05/26</t>
  </si>
  <si>
    <t>2021/05/25</t>
  </si>
  <si>
    <t>7501</t>
  </si>
  <si>
    <t>丰田汽车（中国）投资有限公司</t>
  </si>
  <si>
    <t>物业费、电视费、供暖费、会所使用（不包瑜伽和按摩）、电话费、宽带费、安装费；每周一次全管家服务（1000）；能源补贴（500）；独立宽带（220）；路由器（50）、饮水机、晾衣架、吹风机、电饭锅、熨斗熨衣板、刀具、餐具、厨具数量均为1；</t>
  </si>
  <si>
    <t>7502</t>
  </si>
  <si>
    <t>2018/12/28</t>
  </si>
  <si>
    <t>2020/12/27</t>
  </si>
  <si>
    <t>7503</t>
  </si>
  <si>
    <t>PLENUS CO.,LTD</t>
  </si>
  <si>
    <t>2018/04/08</t>
  </si>
  <si>
    <t>2019/04/07</t>
  </si>
  <si>
    <t>物业费、电视费、供暖费、会所使用（不包瑜伽和按摩）、电话费、宽带费、安装费；每周一次全管家服务（800）；能源补贴（500）；超市（500）；洗衣费（300）；网络电视（500）；独立宽带（220）；路由器（50）、饮水机、晾衣架、吹风机、电饭锅、熨斗熨衣板、刀具、餐具、厨具数量均为1；</t>
  </si>
  <si>
    <t>7505</t>
  </si>
  <si>
    <t>2018/10/05</t>
  </si>
  <si>
    <t>2019/10/04</t>
  </si>
  <si>
    <t>物业费、电视费、供暖费、会所使用（不包瑜伽和按摩）、电话费、宽带费、安装费；每周一次全管家服务（1200）；能源补贴（1600）；固定车位（1200）；独立宽带（380）；洁身器（300）、路由器（50）、增加电视机（400）、饮水机、晾衣架、吹风机、电饭锅、熨斗熨衣板、刀具、餐具、厨具数量均为1、三台净化器；</t>
  </si>
  <si>
    <t>7506</t>
  </si>
  <si>
    <t>2018/11/23</t>
  </si>
  <si>
    <t>2021/11/22</t>
  </si>
  <si>
    <t>7507</t>
  </si>
  <si>
    <t>Portier Guillaume</t>
  </si>
  <si>
    <t>2019/02/01</t>
  </si>
  <si>
    <t>7508</t>
  </si>
  <si>
    <t>2017/01/16</t>
  </si>
  <si>
    <t>2020/01/15</t>
  </si>
  <si>
    <t>E座</t>
  </si>
  <si>
    <t>E-1001</t>
  </si>
  <si>
    <t>三井物产株式会社</t>
  </si>
  <si>
    <t>2018/08/01</t>
  </si>
  <si>
    <t>物业费、电视费、供暖费、会所使用（不包瑜伽和按摩）、电话费、宽带费、安装费；每周一次全管家服务（800）；2桶雀巢水（50）；能源补贴（500）；路由器（50、）洁身器（300）、饮水机、DVD、面包机、晾衣架、吹风机、电饭锅、熨斗熨衣板、刀具、餐具、厨具数量均为1；</t>
  </si>
  <si>
    <t>E-1002</t>
  </si>
  <si>
    <t>出光兴产株式会社煤炭事业部</t>
  </si>
  <si>
    <t>2019/02/02</t>
  </si>
  <si>
    <t>2019/04/01</t>
  </si>
  <si>
    <t>E-1003</t>
    <phoneticPr fontId="37" type="noConversion"/>
  </si>
  <si>
    <t>松下电器（中国）有限公司北京第二分公司</t>
  </si>
  <si>
    <t>2018/10/08</t>
  </si>
  <si>
    <t>2019/10/07</t>
  </si>
  <si>
    <t>物业费、电视费、供暖费、会所使用（不包瑜伽和按摩）、电话费、宽带费、安装费；每周一次全管家服务（800）；能源补贴（500）；独立宽带（220）；路由器（50）、洁身器（300）、饮水机、晾衣架、吹风机、电饭锅、熨斗熨衣板、刀具、餐具、厨具数量均为1；</t>
  </si>
  <si>
    <t>E-1005</t>
    <phoneticPr fontId="37" type="noConversion"/>
  </si>
  <si>
    <t>阿尔卑斯（中国）有限公司</t>
  </si>
  <si>
    <t>物业费、电视费、供暖费、会所使用（不包瑜伽和按摩）、电话费、宽带费、安装费；每周一次全管家服务（800）；能源补贴（300）；1桶雀巢水（25）；路由器（50）、洁身器（300）、饮水机、晾衣架、吹风机、电饭锅、熨斗熨衣板、刀具、餐具、厨具数量均为1；</t>
  </si>
  <si>
    <t>E-1006</t>
  </si>
  <si>
    <t>2019/01/20</t>
  </si>
  <si>
    <t>2020/01/19</t>
  </si>
  <si>
    <t>物业费、电视费、供暖费、会所使用（不包瑜伽和按摩）、电话费、宽带费、安装费；每周一次全管家服务（800）；独立宽带（220）；路由器（50）、饮水机、晾衣架、吹风机、电饭锅、熨斗熨衣板、刀具、餐具、厨具数量均为1；</t>
  </si>
  <si>
    <t>E-1007</t>
  </si>
  <si>
    <t>华谊兄弟（天津）实景娱乐有限公司</t>
  </si>
  <si>
    <t>2018/10/27</t>
  </si>
  <si>
    <t>2019/10/26</t>
  </si>
  <si>
    <t>物业费、电视费、供暖费、会所使用（不包瑜伽和按摩）、电话费、宽带费、安装费；每周一次全管家服务（800）；能源补贴（500）；超市（400）；独立宽带（220）；洁身器（300）、路由器（50）、饮水机、晾衣架、吹风机、电饭锅、熨斗熨衣板、刀具、餐具、厨具数量均为1；</t>
  </si>
  <si>
    <t>E-1008</t>
    <phoneticPr fontId="37" type="noConversion"/>
  </si>
  <si>
    <t>2018/05/14</t>
  </si>
  <si>
    <t>2019/05/13</t>
  </si>
  <si>
    <t>E-1009</t>
    <phoneticPr fontId="37" type="noConversion"/>
  </si>
  <si>
    <t>2018/08/16</t>
  </si>
  <si>
    <t>2019/08/15</t>
  </si>
  <si>
    <t>物业费、电视费、供暖费、会所使用（不包瑜伽和按摩）、电话费、宽带费、安装费；每周一次全管家服务（800）；能源补贴（300)；2桶水（50）；路由器（50）、饮水机、晾衣架、吹风机、电饭锅、熨斗熨衣板、刀具、餐具、厨具数量均为1；</t>
  </si>
  <si>
    <t>E-1010</t>
    <phoneticPr fontId="37" type="noConversion"/>
  </si>
  <si>
    <t>北京科沃施农业技术有限公司</t>
  </si>
  <si>
    <t>2021/02/28</t>
  </si>
  <si>
    <t>总计</t>
  </si>
  <si>
    <t>续签或者重新签订合同未回</t>
  </si>
  <si>
    <t>全部产权证面积</t>
  </si>
  <si>
    <t>产权证面积（不含车库、游泳设备）</t>
  </si>
  <si>
    <t>租赁表面积汇总</t>
  </si>
  <si>
    <t>出租面积</t>
  </si>
  <si>
    <t>开发商用房</t>
  </si>
  <si>
    <t>空置面积</t>
  </si>
  <si>
    <t>结合估价对象现状及产权人提供的相关财务资料，，估价对象中承租方为美国大使馆的租赁合同为3年一签，合同多为2016、2017年签订，租金水平在5.5-6.5元/平方米/天，剩余租赁合同均为1年一签，租金水平在7-9元/平方米/天之间，由于美国大使馆的租赁面积占可出租面积的44%，其租金水平一定程度影响了估价对象的整体租金水平；且考虑到地理位置的差异、房屋面积及户型结构的不同、租金包含的服务及内容不同，估价人员综合分析，确定估价对象的租金为7元/平方米/天。</t>
    <phoneticPr fontId="143" type="noConversion"/>
  </si>
  <si>
    <t>名称</t>
  </si>
  <si>
    <t>位置</t>
  </si>
  <si>
    <t>日租金（元/平方米/天）</t>
  </si>
  <si>
    <t>包含内容</t>
  </si>
  <si>
    <t>亮马河公寓</t>
  </si>
  <si>
    <t>朝阳区东三环北路8号</t>
  </si>
  <si>
    <t>7.5-11</t>
  </si>
  <si>
    <t>物业费、供暖、会所、宽带、水费、电费、燃气费、卫星电视、每周1次房间打扫</t>
  </si>
  <si>
    <t>三全公寓</t>
  </si>
  <si>
    <t>朝阳区麦子店西街38号</t>
  </si>
  <si>
    <t>7.5-12</t>
  </si>
  <si>
    <t>物业费、供暖、会所、宽带、卫星电视、每周1次房间打扫</t>
  </si>
  <si>
    <t>橡树公馆</t>
  </si>
  <si>
    <t>朝阳区霞光里66号</t>
  </si>
  <si>
    <t>7-9.5</t>
  </si>
  <si>
    <t>物业费、供暖、会所、宽带、定额能源费（水费、电费、燃气费）、卫星电视、每周2次房间打扫</t>
  </si>
  <si>
    <t>光明公寓</t>
  </si>
  <si>
    <t>朝阳区亮马桥路42号</t>
  </si>
  <si>
    <t>7.9-10</t>
  </si>
  <si>
    <t>物业费、供暖、会所、宽带、卫星电视、每周2次房间打扫</t>
  </si>
  <si>
    <t>凯宾斯基公寓</t>
  </si>
  <si>
    <t>朝阳区亮马桥路50号</t>
  </si>
  <si>
    <t>10-13</t>
    <phoneticPr fontId="143" type="noConversion"/>
  </si>
  <si>
    <t xml:space="preserve">                年份</t>
  </si>
  <si>
    <t>项目</t>
  </si>
  <si>
    <t>2018年</t>
  </si>
  <si>
    <t>2017年</t>
  </si>
  <si>
    <t>2016年</t>
  </si>
  <si>
    <t>租金收入以外的全部其他收入（元）</t>
  </si>
  <si>
    <t>停车场收入（元）</t>
  </si>
  <si>
    <t>公共区域收入（元）</t>
  </si>
  <si>
    <t>与住宅有关的其他收入比例</t>
  </si>
  <si>
    <t>平均值</t>
  </si>
  <si>
    <t>市场租金情况</t>
    <phoneticPr fontId="143" type="noConversion"/>
  </si>
  <si>
    <t>华熙公寓其他收入历史运营情况</t>
    <phoneticPr fontId="143" type="noConversion"/>
  </si>
  <si>
    <t>与住宅有关的其他收入（元）（租金收入以外的全部其他收入-停车场收入-公共区域收入）</t>
    <phoneticPr fontId="143" type="noConversion"/>
  </si>
  <si>
    <t>住宅收入</t>
    <phoneticPr fontId="143" type="noConversion"/>
  </si>
  <si>
    <t>重置单价</t>
    <phoneticPr fontId="143" type="noConversion"/>
  </si>
  <si>
    <t>棕榈泉国际公寓</t>
    <phoneticPr fontId="143" type="noConversion"/>
  </si>
  <si>
    <t>北京GOLF公寓</t>
    <phoneticPr fontId="143" type="noConversion"/>
  </si>
  <si>
    <t>嘉里星源汇</t>
    <phoneticPr fontId="143" type="noConversion"/>
  </si>
  <si>
    <t>棕榈泉国际公寓</t>
    <phoneticPr fontId="143" type="noConversion"/>
  </si>
  <si>
    <t>三全公寓</t>
    <phoneticPr fontId="143" type="noConversion"/>
  </si>
  <si>
    <t>南北</t>
    <phoneticPr fontId="143" type="noConversion"/>
  </si>
  <si>
    <t>高层</t>
    <phoneticPr fontId="143" type="noConversion"/>
  </si>
  <si>
    <t>中层</t>
    <phoneticPr fontId="143" type="noConversion"/>
  </si>
  <si>
    <t>南北</t>
    <phoneticPr fontId="143" type="noConversion"/>
  </si>
  <si>
    <t>东</t>
    <phoneticPr fontId="143" type="noConversion"/>
  </si>
  <si>
    <t>低楼层</t>
    <phoneticPr fontId="143" type="noConversion"/>
  </si>
  <si>
    <t>三全公寓</t>
    <phoneticPr fontId="143" type="noConversion"/>
  </si>
  <si>
    <t>精装修</t>
    <phoneticPr fontId="143" type="noConversion"/>
  </si>
  <si>
    <t>南北</t>
    <phoneticPr fontId="143" type="noConversion"/>
  </si>
  <si>
    <t>中层</t>
    <phoneticPr fontId="143" type="noConversion"/>
  </si>
  <si>
    <t>西南</t>
    <phoneticPr fontId="143" type="noConversion"/>
  </si>
  <si>
    <t>东南</t>
    <phoneticPr fontId="143" type="noConversion"/>
  </si>
  <si>
    <t>低层</t>
    <phoneticPr fontId="143" type="noConversion"/>
  </si>
  <si>
    <t>南北</t>
    <phoneticPr fontId="143" type="noConversion"/>
  </si>
  <si>
    <t>北京GOLF公寓</t>
    <phoneticPr fontId="143" type="noConversion"/>
  </si>
  <si>
    <t>低层</t>
    <phoneticPr fontId="143" type="noConversion"/>
  </si>
  <si>
    <t>精装修</t>
    <phoneticPr fontId="143" type="noConversion"/>
  </si>
  <si>
    <t>东</t>
    <phoneticPr fontId="143" type="noConversion"/>
  </si>
  <si>
    <t>中层</t>
    <phoneticPr fontId="143" type="noConversion"/>
  </si>
  <si>
    <t>东</t>
    <phoneticPr fontId="143" type="noConversion"/>
  </si>
  <si>
    <t>中层</t>
    <phoneticPr fontId="143" type="noConversion"/>
  </si>
  <si>
    <t>合生霄云路8号</t>
    <phoneticPr fontId="143" type="noConversion"/>
  </si>
  <si>
    <t>简装</t>
    <phoneticPr fontId="143" type="noConversion"/>
  </si>
  <si>
    <r>
      <t>华熙国际酒店201</t>
    </r>
    <r>
      <rPr>
        <b/>
        <sz val="18"/>
        <rFont val="宋体"/>
        <family val="3"/>
        <charset val="134"/>
      </rPr>
      <t>5</t>
    </r>
    <r>
      <rPr>
        <b/>
        <sz val="18"/>
        <rFont val="宋体"/>
        <family val="3"/>
        <charset val="134"/>
      </rPr>
      <t>-2018年预算执行情况会汇总表</t>
    </r>
    <phoneticPr fontId="3" type="noConversion"/>
  </si>
  <si>
    <t>填报单位：北京华熙国际酒店管理有限公司</t>
  </si>
  <si>
    <r>
      <t>2018</t>
    </r>
    <r>
      <rPr>
        <sz val="10"/>
        <rFont val="宋体"/>
        <family val="3"/>
        <charset val="134"/>
      </rPr>
      <t>年累计执行数</t>
    </r>
    <phoneticPr fontId="3" type="noConversion"/>
  </si>
  <si>
    <r>
      <t>2017年累计执行数</t>
    </r>
    <r>
      <rPr>
        <sz val="10"/>
        <rFont val="宋体"/>
        <family val="3"/>
        <charset val="134"/>
      </rPr>
      <t/>
    </r>
    <phoneticPr fontId="272" type="noConversion"/>
  </si>
  <si>
    <r>
      <t>2016年累计执行数</t>
    </r>
    <r>
      <rPr>
        <sz val="10"/>
        <rFont val="宋体"/>
        <family val="3"/>
        <charset val="134"/>
      </rPr>
      <t/>
    </r>
    <phoneticPr fontId="272" type="noConversion"/>
  </si>
  <si>
    <t>一、收入</t>
  </si>
  <si>
    <t>租赁收入增长率</t>
  </si>
  <si>
    <t>1、房屋租赁收入</t>
  </si>
  <si>
    <t>物业收入增长率</t>
  </si>
  <si>
    <t>4、物业收入</t>
  </si>
  <si>
    <t>其他收入增长率</t>
  </si>
  <si>
    <t>6、其他收入</t>
  </si>
  <si>
    <t>二、固定费用</t>
  </si>
  <si>
    <t>1、员工工资福利</t>
  </si>
  <si>
    <t>2、设备常规维护</t>
  </si>
  <si>
    <t>3、保险</t>
  </si>
  <si>
    <t>4、能源费</t>
  </si>
  <si>
    <t>三、变动费用</t>
  </si>
  <si>
    <t>1、维护、维修费</t>
  </si>
  <si>
    <t>3、与经营相关的费用</t>
  </si>
  <si>
    <t>4、日常运营费</t>
  </si>
  <si>
    <t>费用合计</t>
  </si>
  <si>
    <t>净现金流</t>
  </si>
  <si>
    <t>5、税费</t>
    <phoneticPr fontId="272" type="noConversion"/>
  </si>
  <si>
    <t>6、奖金</t>
    <phoneticPr fontId="272" type="noConversion"/>
  </si>
  <si>
    <t>(公寓业务，不含贷款利息、餐饮、花艺）</t>
    <phoneticPr fontId="272" type="noConversion"/>
  </si>
  <si>
    <t>2015年累计执行数</t>
    <phoneticPr fontId="272" type="noConversion"/>
  </si>
  <si>
    <t>5、工程大修</t>
    <phoneticPr fontId="272" type="noConversion"/>
  </si>
  <si>
    <t>正常</t>
  </si>
  <si>
    <t>好</t>
    <phoneticPr fontId="41" type="noConversion"/>
  </si>
  <si>
    <t>好</t>
    <phoneticPr fontId="41" type="noConversion"/>
  </si>
  <si>
    <t>霄云路8号</t>
    <phoneticPr fontId="143" type="noConversion"/>
  </si>
  <si>
    <t>小区均价</t>
    <phoneticPr fontId="143" type="noConversion"/>
  </si>
  <si>
    <t>小区均价</t>
    <phoneticPr fontId="143" type="noConversion"/>
  </si>
  <si>
    <t>七通</t>
  </si>
  <si>
    <t>三全公寓</t>
    <phoneticPr fontId="3" type="noConversion"/>
  </si>
  <si>
    <t>住宅</t>
    <phoneticPr fontId="25" type="noConversion"/>
  </si>
  <si>
    <t>50-60（含）</t>
  </si>
  <si>
    <t>高层</t>
  </si>
  <si>
    <t>高层</t>
    <phoneticPr fontId="25" type="noConversion"/>
  </si>
  <si>
    <t>中层</t>
    <phoneticPr fontId="25" type="noConversion"/>
  </si>
  <si>
    <t>低层</t>
    <phoneticPr fontId="25" type="noConversion"/>
  </si>
  <si>
    <t>南</t>
    <phoneticPr fontId="25" type="noConversion"/>
  </si>
  <si>
    <t>南北</t>
  </si>
  <si>
    <t>南北</t>
    <phoneticPr fontId="25" type="noConversion"/>
  </si>
  <si>
    <t>东南</t>
  </si>
  <si>
    <t>东南</t>
    <phoneticPr fontId="25" type="noConversion"/>
  </si>
  <si>
    <t>西南</t>
  </si>
  <si>
    <t>西南</t>
    <phoneticPr fontId="25" type="noConversion"/>
  </si>
  <si>
    <t>东</t>
  </si>
  <si>
    <t>东</t>
    <phoneticPr fontId="25" type="noConversion"/>
  </si>
  <si>
    <t>西</t>
    <phoneticPr fontId="25" type="noConversion"/>
  </si>
  <si>
    <t>北</t>
    <phoneticPr fontId="25" type="noConversion"/>
  </si>
  <si>
    <t>楼层</t>
    <phoneticPr fontId="25" type="noConversion"/>
  </si>
  <si>
    <t>40-50（含）</t>
  </si>
  <si>
    <t>三全公寓均价</t>
    <phoneticPr fontId="3" type="noConversion"/>
  </si>
  <si>
    <t>多层</t>
  </si>
  <si>
    <t>多层</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</si>
  <si>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</si>
  <si>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</si>
  <si>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</si>
  <si>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</si>
  <si>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</si>
  <si>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棕榈泉均价</t>
    <phoneticPr fontId="3" type="noConversion"/>
  </si>
  <si>
    <t>棕榈泉</t>
    <phoneticPr fontId="3" type="noConversion"/>
  </si>
  <si>
    <t>棕榈泉</t>
    <phoneticPr fontId="143" type="noConversion"/>
  </si>
  <si>
    <t>中层</t>
    <phoneticPr fontId="25" type="noConversion"/>
  </si>
  <si>
    <t>高尔夫均价</t>
    <phoneticPr fontId="3" type="noConversion"/>
  </si>
  <si>
    <t>高尔夫</t>
    <phoneticPr fontId="3" type="noConversion"/>
  </si>
  <si>
    <t>华熙公寓</t>
    <phoneticPr fontId="3" type="noConversion"/>
  </si>
  <si>
    <t>高尔夫</t>
    <phoneticPr fontId="3" type="noConversion"/>
  </si>
  <si>
    <t>专业物业</t>
  </si>
  <si>
    <t>专业物业</t>
    <phoneticPr fontId="143" type="noConversion"/>
  </si>
  <si>
    <t>高档</t>
  </si>
  <si>
    <t>高档</t>
    <phoneticPr fontId="143" type="noConversion"/>
  </si>
  <si>
    <t>钢混</t>
    <phoneticPr fontId="143" type="noConversion"/>
  </si>
  <si>
    <t>七通</t>
    <phoneticPr fontId="143" type="noConversion"/>
  </si>
  <si>
    <t>比较法-住宅</t>
  </si>
  <si>
    <t>成本比率</t>
  </si>
  <si>
    <t>C-1303</t>
    <phoneticPr fontId="143" type="noConversion"/>
  </si>
  <si>
    <t>建筑面积</t>
    <phoneticPr fontId="143" type="noConversion"/>
  </si>
  <si>
    <t>月租金（2019.7.24）</t>
    <phoneticPr fontId="143" type="noConversion"/>
  </si>
  <si>
    <t>D-3508</t>
    <phoneticPr fontId="143" type="noConversion"/>
  </si>
  <si>
    <t>42000(经介绍市场价值为4.8万/月-5万/月,由于美国大使馆为大客户、老客户所有略低于市场价值)</t>
    <phoneticPr fontId="143" type="noConversion"/>
  </si>
  <si>
    <t>朝向</t>
    <phoneticPr fontId="143" type="noConversion"/>
  </si>
  <si>
    <t>西</t>
    <phoneticPr fontId="143" type="noConversion"/>
  </si>
  <si>
    <t>南北</t>
    <phoneticPr fontId="143" type="noConversion"/>
  </si>
  <si>
    <t>楼层</t>
    <phoneticPr fontId="143" type="noConversion"/>
  </si>
  <si>
    <t>E-1001</t>
    <phoneticPr fontId="143" type="noConversion"/>
  </si>
  <si>
    <t>南（半地下天井采光）</t>
    <phoneticPr fontId="143" type="noConversion"/>
  </si>
  <si>
    <t>房号</t>
    <phoneticPr fontId="143" type="noConversion"/>
  </si>
  <si>
    <t>户型</t>
    <phoneticPr fontId="143" type="noConversion"/>
  </si>
  <si>
    <t>一室一厅</t>
    <phoneticPr fontId="143" type="noConversion"/>
  </si>
  <si>
    <t>一室一厅</t>
    <phoneticPr fontId="143" type="noConversion"/>
  </si>
  <si>
    <t>三室一厅</t>
    <phoneticPr fontId="143" type="noConversion"/>
  </si>
  <si>
    <t>备注：AB座出租未进入（根据介绍AB座改动最大，主要为打通，1居改3居，其他座也有不同程度改动）；地上1层有100平方米酒吧出租经营使用月租金1.2万/平方米；地上1层，-1层地下会所、自行车库改造为下沉式商业（80㎡小型咖啡厅月租金1万元/月、超市自营）、E座9套地下公寓用房、地下餐厅（不提供早餐、仅正餐）、健身房、酒店管理前台等；-2层地下车库改造为办公用房、宿舍、-2层地下人防改为63个地下车位，出租经营使用，月租金1200元/月。</t>
    <phoneticPr fontId="143" type="noConversion"/>
  </si>
  <si>
    <t>现场勘查情况表（2019-7-24）</t>
    <phoneticPr fontId="143" type="noConversion"/>
  </si>
  <si>
    <t>昆仑信托</t>
    <phoneticPr fontId="6" type="noConversion"/>
  </si>
  <si>
    <t>北京华熙国际酒店管理有限公司</t>
    <phoneticPr fontId="6" type="noConversion"/>
  </si>
  <si>
    <t>昆仑信托</t>
    <phoneticPr fontId="6" type="noConversion"/>
  </si>
  <si>
    <t>公寓类型</t>
  </si>
  <si>
    <t>数量（间）</t>
  </si>
  <si>
    <t>1居室</t>
  </si>
  <si>
    <t>70-103</t>
  </si>
  <si>
    <t>2居室</t>
  </si>
  <si>
    <t>120-147</t>
  </si>
  <si>
    <t>3居室</t>
  </si>
  <si>
    <t>176-260</t>
  </si>
  <si>
    <t>4居室</t>
  </si>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</sst>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quot;年&quot;"/>
    <numFmt numFmtId="198" formatCode="#,##0.00_);[Red]\(#,##0.00\)"/>
    <numFmt numFmtId="199" formatCode="#,##0_ "/>
    <numFmt numFmtId="200" formatCode="#,##0.00_ "/>
    <numFmt numFmtId="201" formatCode="_ &quot;\&quot;* #,##0.00_ ;_ &quot;\&quot;* \-#,##0.00_ ;_ &quot;\&quot;* &quot;-&quot;??_ ;_ @_ "/>
    <numFmt numFmtId="202" formatCode="_(* #,##0.00_);_(* \(#,##0.00\);_(* &quot;-&quot;??_);_(@_)"/>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MS Sans Serif"/>
      <family val="2"/>
    </font>
    <font>
      <b/>
      <sz val="8"/>
      <name val="微软雅黑"/>
      <family val="2"/>
      <charset val="134"/>
    </font>
    <font>
      <sz val="8"/>
      <name val="微软雅黑"/>
      <family val="2"/>
      <charset val="134"/>
    </font>
    <font>
      <sz val="8"/>
      <color indexed="8"/>
      <name val="微软雅黑"/>
      <family val="2"/>
      <charset val="134"/>
    </font>
    <font>
      <sz val="10"/>
      <name val="微软雅黑"/>
      <family val="2"/>
      <charset val="134"/>
    </font>
    <font>
      <sz val="8"/>
      <color theme="1"/>
      <name val="微软雅黑"/>
      <family val="2"/>
      <charset val="134"/>
    </font>
    <font>
      <sz val="10"/>
      <color indexed="8"/>
      <name val="微软雅黑"/>
      <family val="2"/>
      <charset val="134"/>
    </font>
    <font>
      <b/>
      <sz val="8"/>
      <color theme="1"/>
      <name val="微软雅黑"/>
      <family val="2"/>
      <charset val="134"/>
    </font>
    <font>
      <b/>
      <sz val="9"/>
      <name val="Arial"/>
      <family val="2"/>
    </font>
    <font>
      <sz val="9"/>
      <name val="Arial"/>
      <family val="2"/>
    </font>
    <font>
      <b/>
      <sz val="9"/>
      <color indexed="81"/>
      <name val="Tahoma"/>
      <family val="2"/>
    </font>
    <font>
      <sz val="9"/>
      <color indexed="81"/>
      <name val="Tahoma"/>
      <family val="2"/>
    </font>
    <font>
      <sz val="10"/>
      <color theme="1"/>
      <name val="等线"/>
      <family val="3"/>
      <charset val="134"/>
    </font>
    <font>
      <sz val="10"/>
      <color rgb="FF000000"/>
      <name val="等线"/>
      <family val="3"/>
      <charset val="134"/>
    </font>
    <font>
      <b/>
      <sz val="10"/>
      <color theme="1"/>
      <name val="等线"/>
      <family val="3"/>
      <charset val="134"/>
    </font>
    <font>
      <sz val="11"/>
      <color theme="1"/>
      <name val="宋体"/>
      <family val="3"/>
      <charset val="134"/>
      <scheme val="minor"/>
    </font>
    <font>
      <b/>
      <sz val="18"/>
      <name val="宋体"/>
      <family val="3"/>
      <charset val="134"/>
    </font>
    <font>
      <b/>
      <sz val="18"/>
      <name val="Arial"/>
      <family val="2"/>
    </font>
    <font>
      <sz val="9"/>
      <name val="宋体"/>
      <family val="2"/>
      <charset val="134"/>
      <scheme val="minor"/>
    </font>
    <font>
      <b/>
      <sz val="11"/>
      <color theme="1"/>
      <name val="宋体"/>
      <family val="2"/>
      <scheme val="minor"/>
    </font>
    <font>
      <sz val="11"/>
      <name val="Arial "/>
    </font>
    <font>
      <sz val="11"/>
      <color theme="1"/>
      <name val="Arial "/>
    </font>
    <font>
      <sz val="10"/>
      <name val="Arial "/>
    </font>
    <font>
      <b/>
      <sz val="10"/>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rgb="FF0070C0"/>
        <bgColor indexed="64"/>
      </patternFill>
    </fill>
    <fill>
      <patternFill patternType="solid">
        <fgColor rgb="FFFFC000"/>
        <bgColor indexed="64"/>
      </patternFill>
    </fill>
    <fill>
      <patternFill patternType="solid">
        <fgColor theme="6" tint="-0.499984740745262"/>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3" fontId="254" fillId="0" borderId="1"/>
    <xf numFmtId="3" fontId="254" fillId="0" borderId="1"/>
    <xf numFmtId="3" fontId="254" fillId="0" borderId="1"/>
    <xf numFmtId="43" fontId="37" fillId="0" borderId="0" applyFont="0" applyFill="0" applyBorder="0" applyAlignment="0" applyProtection="0">
      <alignment vertical="center"/>
    </xf>
    <xf numFmtId="201" fontId="37" fillId="0" borderId="0" applyFont="0" applyFill="0" applyBorder="0" applyAlignment="0" applyProtection="0"/>
    <xf numFmtId="43" fontId="37" fillId="0" borderId="0" applyFont="0" applyFill="0" applyBorder="0" applyAlignment="0" applyProtection="0">
      <alignment vertical="center"/>
    </xf>
    <xf numFmtId="0" fontId="37" fillId="0" borderId="0">
      <alignment vertical="center"/>
    </xf>
    <xf numFmtId="3" fontId="254" fillId="0" borderId="1"/>
    <xf numFmtId="43" fontId="26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6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90" fillId="0" borderId="2" xfId="0" applyFont="1" applyBorder="1" applyAlignment="1" applyProtection="1">
      <alignment horizontal="left" vertical="center" wrapText="1"/>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49" fontId="255" fillId="18" borderId="1" xfId="17" applyNumberFormat="1" applyFont="1" applyFill="1" applyBorder="1" applyAlignment="1" applyProtection="1">
      <alignment horizontal="center" vertical="center" wrapText="1"/>
    </xf>
    <xf numFmtId="49" fontId="255" fillId="7" borderId="1" xfId="17" applyNumberFormat="1" applyFont="1" applyFill="1" applyBorder="1" applyAlignment="1" applyProtection="1">
      <alignment horizontal="center" vertical="center" wrapText="1"/>
    </xf>
    <xf numFmtId="0" fontId="255" fillId="18" borderId="1" xfId="17" applyNumberFormat="1" applyFont="1" applyFill="1" applyBorder="1" applyAlignment="1" applyProtection="1">
      <alignment horizontal="center" vertical="center" wrapText="1"/>
    </xf>
    <xf numFmtId="14" fontId="255" fillId="18" borderId="1" xfId="17" applyNumberFormat="1" applyFont="1" applyFill="1" applyBorder="1" applyAlignment="1" applyProtection="1">
      <alignment horizontal="center" vertical="center" wrapText="1"/>
    </xf>
    <xf numFmtId="3" fontId="255" fillId="18" borderId="1" xfId="18" applyFont="1" applyFill="1" applyBorder="1" applyAlignment="1" applyProtection="1">
      <alignment horizontal="center" vertical="center" wrapText="1"/>
    </xf>
    <xf numFmtId="49" fontId="255" fillId="18" borderId="5" xfId="17" applyNumberFormat="1" applyFont="1" applyFill="1" applyBorder="1" applyAlignment="1" applyProtection="1">
      <alignment horizontal="center" vertical="center" wrapText="1"/>
    </xf>
    <xf numFmtId="0" fontId="56" fillId="0" borderId="0" xfId="17" applyNumberFormat="1" applyFont="1" applyFill="1" applyBorder="1" applyAlignment="1" applyProtection="1">
      <alignment horizontal="center" vertical="center" wrapText="1"/>
    </xf>
    <xf numFmtId="0" fontId="256" fillId="3"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xf>
    <xf numFmtId="186" fontId="256" fillId="3" borderId="1" xfId="17" applyNumberFormat="1" applyFont="1" applyFill="1" applyBorder="1" applyAlignment="1">
      <alignment horizontal="center" vertical="center" wrapText="1"/>
    </xf>
    <xf numFmtId="0" fontId="256" fillId="7" borderId="1" xfId="19"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xf>
    <xf numFmtId="14" fontId="256" fillId="3" borderId="1" xfId="19" applyNumberFormat="1" applyFont="1" applyFill="1" applyBorder="1" applyAlignment="1">
      <alignment horizontal="center" vertical="center" wrapText="1"/>
    </xf>
    <xf numFmtId="186" fontId="256" fillId="3" borderId="1" xfId="19" applyNumberFormat="1" applyFont="1" applyFill="1" applyBorder="1" applyAlignment="1">
      <alignment horizontal="center" vertical="center" wrapText="1"/>
    </xf>
    <xf numFmtId="197" fontId="256" fillId="3" borderId="1" xfId="19" applyNumberFormat="1" applyFont="1" applyFill="1" applyBorder="1" applyAlignment="1">
      <alignment horizontal="center" vertical="center" wrapText="1"/>
    </xf>
    <xf numFmtId="177" fontId="256" fillId="0" borderId="1" xfId="17"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wrapText="1"/>
    </xf>
    <xf numFmtId="43" fontId="256" fillId="3" borderId="1" xfId="20" applyFont="1" applyFill="1" applyBorder="1" applyAlignment="1">
      <alignment horizontal="center" vertical="center"/>
    </xf>
    <xf numFmtId="0" fontId="256" fillId="0" borderId="5" xfId="17" applyNumberFormat="1" applyFont="1" applyFill="1" applyBorder="1" applyAlignment="1">
      <alignment horizontal="center" vertical="center" wrapText="1"/>
    </xf>
    <xf numFmtId="0" fontId="256" fillId="0" borderId="1" xfId="17" applyNumberFormat="1" applyFont="1" applyFill="1" applyBorder="1" applyAlignment="1">
      <alignment horizontal="center" vertical="center"/>
    </xf>
    <xf numFmtId="9" fontId="256" fillId="0" borderId="1" xfId="14" applyFont="1" applyFill="1" applyBorder="1" applyAlignment="1">
      <alignment horizontal="center" vertical="center"/>
    </xf>
    <xf numFmtId="0" fontId="258" fillId="0" borderId="0" xfId="17" applyNumberFormat="1" applyFont="1" applyFill="1" applyBorder="1" applyAlignment="1">
      <alignment horizontal="center" vertical="center"/>
    </xf>
    <xf numFmtId="0" fontId="256" fillId="0" borderId="5" xfId="17" applyNumberFormat="1" applyFont="1" applyFill="1" applyBorder="1" applyAlignment="1">
      <alignment horizontal="center" vertical="center"/>
    </xf>
    <xf numFmtId="49" fontId="256" fillId="7" borderId="1" xfId="19" applyNumberFormat="1" applyFont="1" applyFill="1" applyBorder="1" applyAlignment="1">
      <alignment horizontal="center" vertical="center"/>
    </xf>
    <xf numFmtId="198" fontId="256" fillId="3" borderId="1" xfId="20" applyNumberFormat="1" applyFont="1" applyFill="1" applyBorder="1" applyAlignment="1">
      <alignment horizontal="center" vertical="center" wrapText="1"/>
    </xf>
    <xf numFmtId="0" fontId="256" fillId="0" borderId="0" xfId="17" applyNumberFormat="1" applyFont="1" applyFill="1" applyBorder="1" applyAlignment="1">
      <alignment horizontal="center" vertical="center"/>
    </xf>
    <xf numFmtId="2" fontId="256" fillId="3" borderId="1" xfId="0"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49" fontId="257" fillId="0" borderId="1" xfId="19" applyNumberFormat="1" applyFont="1" applyFill="1" applyBorder="1" applyAlignment="1">
      <alignment horizontal="center" vertical="center"/>
    </xf>
    <xf numFmtId="186" fontId="256" fillId="0" borderId="1" xfId="17" applyNumberFormat="1" applyFont="1" applyFill="1" applyBorder="1" applyAlignment="1">
      <alignment horizontal="center" vertical="center" wrapText="1"/>
    </xf>
    <xf numFmtId="0" fontId="256" fillId="0" borderId="1" xfId="19" applyNumberFormat="1" applyFont="1" applyFill="1" applyBorder="1" applyAlignment="1">
      <alignment horizontal="center" vertical="center" wrapText="1"/>
    </xf>
    <xf numFmtId="4" fontId="256" fillId="0" borderId="1" xfId="19" applyNumberFormat="1" applyFont="1" applyFill="1" applyBorder="1" applyAlignment="1">
      <alignment horizontal="center" vertical="center"/>
    </xf>
    <xf numFmtId="14" fontId="256" fillId="0" borderId="1" xfId="19" applyNumberFormat="1" applyFont="1" applyFill="1" applyBorder="1" applyAlignment="1">
      <alignment horizontal="center" vertical="center" wrapText="1"/>
    </xf>
    <xf numFmtId="186" fontId="256" fillId="0" borderId="1" xfId="19" applyNumberFormat="1" applyFont="1" applyFill="1" applyBorder="1" applyAlignment="1">
      <alignment horizontal="center" vertical="center" wrapText="1"/>
    </xf>
    <xf numFmtId="197" fontId="256" fillId="0" borderId="1" xfId="19" applyNumberFormat="1" applyFont="1" applyFill="1" applyBorder="1" applyAlignment="1">
      <alignment horizontal="center" vertical="center" wrapText="1"/>
    </xf>
    <xf numFmtId="4" fontId="256" fillId="5" borderId="1" xfId="19" applyNumberFormat="1" applyFont="1" applyFill="1" applyBorder="1" applyAlignment="1">
      <alignment horizontal="center" vertical="center"/>
    </xf>
    <xf numFmtId="4" fontId="256" fillId="5" borderId="1" xfId="19" applyNumberFormat="1" applyFont="1" applyFill="1" applyBorder="1" applyAlignment="1">
      <alignment horizontal="center" vertical="center" wrapText="1"/>
    </xf>
    <xf numFmtId="43" fontId="256" fillId="5" borderId="1" xfId="20" applyFont="1" applyFill="1" applyBorder="1" applyAlignment="1">
      <alignment horizontal="center" vertical="center"/>
    </xf>
    <xf numFmtId="4" fontId="256" fillId="0" borderId="1" xfId="19" applyNumberFormat="1" applyFont="1" applyFill="1" applyBorder="1" applyAlignment="1">
      <alignment horizontal="center" vertical="center" wrapText="1"/>
    </xf>
    <xf numFmtId="0" fontId="256" fillId="5" borderId="5" xfId="17" applyNumberFormat="1" applyFont="1" applyFill="1" applyBorder="1" applyAlignment="1">
      <alignment horizontal="center" vertical="center"/>
    </xf>
    <xf numFmtId="199" fontId="255" fillId="19" borderId="1" xfId="20" applyNumberFormat="1" applyFont="1" applyFill="1" applyBorder="1" applyAlignment="1">
      <alignment horizontal="center" vertical="center" wrapText="1"/>
    </xf>
    <xf numFmtId="49" fontId="256" fillId="19" borderId="1" xfId="17" applyNumberFormat="1" applyFont="1" applyFill="1" applyBorder="1" applyAlignment="1">
      <alignment horizontal="center" vertical="center" wrapText="1"/>
    </xf>
    <xf numFmtId="49" fontId="255" fillId="19" borderId="1" xfId="17" applyNumberFormat="1" applyFont="1" applyFill="1" applyBorder="1" applyAlignment="1">
      <alignment horizontal="center" vertical="center" wrapText="1"/>
    </xf>
    <xf numFmtId="0" fontId="255" fillId="19" borderId="1" xfId="17" applyNumberFormat="1" applyFont="1" applyFill="1" applyBorder="1" applyAlignment="1">
      <alignment horizontal="center" vertical="center" wrapText="1"/>
    </xf>
    <xf numFmtId="40" fontId="255" fillId="19" borderId="1" xfId="17" applyNumberFormat="1" applyFont="1" applyFill="1" applyBorder="1" applyAlignment="1">
      <alignment horizontal="center" vertical="center" wrapText="1"/>
    </xf>
    <xf numFmtId="200" fontId="255" fillId="19" borderId="1" xfId="20" applyNumberFormat="1" applyFont="1" applyFill="1" applyBorder="1" applyAlignment="1">
      <alignment horizontal="center" vertical="center" wrapText="1"/>
    </xf>
    <xf numFmtId="176" fontId="255" fillId="19" borderId="1" xfId="20" applyNumberFormat="1" applyFont="1" applyFill="1" applyBorder="1" applyAlignment="1">
      <alignment horizontal="center" vertical="center" wrapText="1"/>
    </xf>
    <xf numFmtId="14" fontId="255" fillId="19" borderId="1" xfId="20" applyNumberFormat="1" applyFont="1" applyFill="1" applyBorder="1" applyAlignment="1">
      <alignment horizontal="center" vertical="center" wrapText="1"/>
    </xf>
    <xf numFmtId="40" fontId="255" fillId="19" borderId="1" xfId="21" applyNumberFormat="1" applyFont="1" applyFill="1" applyBorder="1" applyAlignment="1">
      <alignment horizontal="center" vertical="center" wrapText="1"/>
    </xf>
    <xf numFmtId="40" fontId="255" fillId="19" borderId="1" xfId="20" applyNumberFormat="1" applyFont="1" applyFill="1" applyBorder="1" applyAlignment="1">
      <alignment horizontal="center" vertical="center" wrapText="1"/>
    </xf>
    <xf numFmtId="0" fontId="255" fillId="19" borderId="1" xfId="20" applyNumberFormat="1" applyFont="1" applyFill="1" applyBorder="1" applyAlignment="1">
      <alignment horizontal="center" vertical="center" wrapText="1"/>
    </xf>
    <xf numFmtId="200" fontId="255" fillId="19" borderId="1" xfId="21" applyNumberFormat="1" applyFont="1" applyFill="1" applyBorder="1" applyAlignment="1">
      <alignment horizontal="center" vertical="center" wrapText="1"/>
    </xf>
    <xf numFmtId="40" fontId="256" fillId="19" borderId="5" xfId="17" applyNumberFormat="1" applyFont="1" applyFill="1" applyBorder="1" applyAlignment="1">
      <alignment horizontal="center" vertical="center"/>
    </xf>
    <xf numFmtId="40" fontId="256" fillId="19" borderId="1" xfId="17" applyNumberFormat="1" applyFont="1" applyFill="1" applyBorder="1" applyAlignment="1">
      <alignment horizontal="center" vertical="center"/>
    </xf>
    <xf numFmtId="9" fontId="256" fillId="19" borderId="1" xfId="14" applyFont="1" applyFill="1" applyBorder="1" applyAlignment="1">
      <alignment horizontal="center" vertical="center"/>
    </xf>
    <xf numFmtId="40" fontId="56" fillId="19" borderId="0"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wrapText="1"/>
    </xf>
    <xf numFmtId="186" fontId="256" fillId="7" borderId="1" xfId="17" applyNumberFormat="1" applyFont="1" applyFill="1" applyBorder="1" applyAlignment="1">
      <alignment horizontal="center" vertical="center" wrapText="1"/>
    </xf>
    <xf numFmtId="14" fontId="256" fillId="7" borderId="1" xfId="19" applyNumberFormat="1" applyFont="1" applyFill="1" applyBorder="1" applyAlignment="1">
      <alignment horizontal="center" vertical="center" wrapText="1"/>
    </xf>
    <xf numFmtId="186" fontId="256" fillId="7" borderId="1" xfId="19" applyNumberFormat="1" applyFont="1" applyFill="1" applyBorder="1" applyAlignment="1">
      <alignment horizontal="center" vertical="center" wrapText="1"/>
    </xf>
    <xf numFmtId="197" fontId="256"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wrapText="1"/>
    </xf>
    <xf numFmtId="177" fontId="256" fillId="7" borderId="1" xfId="17" applyNumberFormat="1" applyFont="1" applyFill="1" applyBorder="1" applyAlignment="1">
      <alignment horizontal="center" vertical="center" wrapText="1"/>
    </xf>
    <xf numFmtId="43" fontId="256" fillId="7" borderId="1" xfId="22" applyFont="1" applyFill="1" applyBorder="1" applyAlignment="1">
      <alignment horizontal="center" vertical="center" wrapText="1"/>
    </xf>
    <xf numFmtId="43" fontId="256" fillId="7" borderId="1" xfId="20" applyFont="1" applyFill="1" applyBorder="1" applyAlignment="1">
      <alignment horizontal="center" vertical="center" wrapText="1"/>
    </xf>
    <xf numFmtId="4" fontId="259" fillId="7" borderId="1" xfId="19"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wrapText="1"/>
    </xf>
    <xf numFmtId="40" fontId="56" fillId="7" borderId="0" xfId="17" applyNumberFormat="1" applyFont="1" applyFill="1" applyBorder="1" applyAlignment="1">
      <alignment horizontal="center" vertical="center"/>
    </xf>
    <xf numFmtId="9" fontId="256" fillId="7" borderId="1" xfId="14" applyFont="1" applyFill="1" applyBorder="1" applyAlignment="1">
      <alignment horizontal="center" vertical="center" wrapText="1"/>
    </xf>
    <xf numFmtId="198" fontId="259" fillId="7" borderId="1" xfId="20" applyNumberFormat="1" applyFont="1" applyFill="1" applyBorder="1" applyAlignment="1">
      <alignment horizontal="center" vertical="center" wrapText="1"/>
    </xf>
    <xf numFmtId="176" fontId="256" fillId="19" borderId="1" xfId="20" applyNumberFormat="1" applyFont="1" applyFill="1" applyBorder="1" applyAlignment="1">
      <alignment horizontal="center" vertical="center" wrapText="1"/>
    </xf>
    <xf numFmtId="10" fontId="256" fillId="19" borderId="1" xfId="14" applyNumberFormat="1" applyFont="1" applyFill="1" applyBorder="1" applyAlignment="1">
      <alignment horizontal="center" vertical="center"/>
    </xf>
    <xf numFmtId="49" fontId="256" fillId="0" borderId="1" xfId="17" applyNumberFormat="1" applyFont="1" applyFill="1" applyBorder="1" applyAlignment="1">
      <alignment horizontal="center" vertical="center" wrapText="1"/>
    </xf>
    <xf numFmtId="14" fontId="256" fillId="0" borderId="1" xfId="17" applyNumberFormat="1" applyFont="1" applyFill="1" applyBorder="1" applyAlignment="1">
      <alignment horizontal="center" vertical="center" wrapText="1"/>
    </xf>
    <xf numFmtId="3" fontId="256" fillId="0"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wrapText="1"/>
    </xf>
    <xf numFmtId="43" fontId="256" fillId="3" borderId="1" xfId="20" applyFont="1" applyFill="1" applyBorder="1" applyAlignment="1">
      <alignment horizontal="center" vertical="center" wrapText="1"/>
    </xf>
    <xf numFmtId="0" fontId="257" fillId="7" borderId="1" xfId="17" applyNumberFormat="1" applyFont="1" applyFill="1" applyBorder="1" applyAlignment="1">
      <alignment horizontal="center" vertical="center" wrapText="1"/>
    </xf>
    <xf numFmtId="0"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xf>
    <xf numFmtId="14" fontId="257" fillId="7" borderId="1" xfId="17" applyNumberFormat="1" applyFont="1" applyFill="1" applyBorder="1" applyAlignment="1">
      <alignment horizontal="center" vertical="center" wrapText="1"/>
    </xf>
    <xf numFmtId="14"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xf>
    <xf numFmtId="0" fontId="257" fillId="7" borderId="5" xfId="17" applyNumberFormat="1" applyFont="1" applyFill="1" applyBorder="1" applyAlignment="1">
      <alignment horizontal="center" vertical="center"/>
    </xf>
    <xf numFmtId="0" fontId="257" fillId="7" borderId="1" xfId="17" applyNumberFormat="1" applyFont="1" applyFill="1" applyBorder="1" applyAlignment="1">
      <alignment horizontal="center" vertical="center"/>
    </xf>
    <xf numFmtId="9" fontId="256" fillId="7" borderId="1" xfId="14" applyFont="1" applyFill="1" applyBorder="1" applyAlignment="1">
      <alignment horizontal="center" vertical="center"/>
    </xf>
    <xf numFmtId="0" fontId="260" fillId="7" borderId="0" xfId="17" applyNumberFormat="1" applyFont="1" applyFill="1" applyBorder="1" applyAlignment="1">
      <alignment horizontal="center" vertical="center"/>
    </xf>
    <xf numFmtId="176" fontId="256" fillId="3" borderId="1" xfId="19" applyNumberFormat="1" applyFont="1" applyFill="1" applyBorder="1" applyAlignment="1">
      <alignment horizontal="center" vertical="center"/>
    </xf>
    <xf numFmtId="14" fontId="256" fillId="3" borderId="1" xfId="17" applyNumberFormat="1" applyFont="1" applyFill="1" applyBorder="1" applyAlignment="1">
      <alignment horizontal="center" vertical="center" wrapText="1"/>
    </xf>
    <xf numFmtId="176" fontId="256" fillId="3" borderId="1" xfId="17" applyNumberFormat="1" applyFont="1" applyFill="1" applyBorder="1" applyAlignment="1">
      <alignment horizontal="center" vertical="center" wrapText="1"/>
    </xf>
    <xf numFmtId="0" fontId="257" fillId="0" borderId="5" xfId="17" applyNumberFormat="1" applyFont="1" applyFill="1" applyBorder="1" applyAlignment="1">
      <alignment horizontal="center" vertical="center"/>
    </xf>
    <xf numFmtId="0" fontId="257" fillId="0" borderId="1" xfId="17" applyNumberFormat="1" applyFont="1" applyFill="1" applyBorder="1" applyAlignment="1">
      <alignment horizontal="center" vertical="center"/>
    </xf>
    <xf numFmtId="0" fontId="260" fillId="0" borderId="0"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wrapText="1"/>
    </xf>
    <xf numFmtId="186" fontId="256" fillId="20" borderId="1" xfId="17" applyNumberFormat="1" applyFont="1" applyFill="1" applyBorder="1" applyAlignment="1">
      <alignment horizontal="center" vertical="center" wrapText="1"/>
    </xf>
    <xf numFmtId="176" fontId="256" fillId="20" borderId="1" xfId="17" applyNumberFormat="1" applyFont="1" applyFill="1" applyBorder="1" applyAlignment="1">
      <alignment horizontal="center" vertical="center" wrapText="1"/>
    </xf>
    <xf numFmtId="14"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wrapText="1"/>
    </xf>
    <xf numFmtId="197"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xf>
    <xf numFmtId="177" fontId="256" fillId="20" borderId="1" xfId="17" applyNumberFormat="1" applyFont="1" applyFill="1" applyBorder="1" applyAlignment="1">
      <alignment horizontal="center" vertical="center" wrapText="1"/>
    </xf>
    <xf numFmtId="43" fontId="256" fillId="20" borderId="1" xfId="20" applyFont="1" applyFill="1" applyBorder="1" applyAlignment="1">
      <alignment horizontal="center" vertical="center" wrapText="1"/>
    </xf>
    <xf numFmtId="0" fontId="256" fillId="20" borderId="5"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xf>
    <xf numFmtId="9" fontId="256" fillId="20" borderId="1" xfId="14" applyFont="1" applyFill="1" applyBorder="1" applyAlignment="1">
      <alignment horizontal="center" vertical="center"/>
    </xf>
    <xf numFmtId="0" fontId="258" fillId="20" borderId="0" xfId="17" applyNumberFormat="1" applyFont="1" applyFill="1" applyBorder="1" applyAlignment="1">
      <alignment horizontal="center" vertical="center"/>
    </xf>
    <xf numFmtId="14" fontId="256" fillId="20" borderId="1" xfId="17" applyNumberFormat="1" applyFont="1" applyFill="1" applyBorder="1" applyAlignment="1">
      <alignment horizontal="center" vertical="center" wrapText="1"/>
    </xf>
    <xf numFmtId="186" fontId="256" fillId="20" borderId="1" xfId="19" applyNumberFormat="1" applyFont="1" applyFill="1" applyBorder="1" applyAlignment="1">
      <alignment horizontal="center" vertical="center" wrapText="1"/>
    </xf>
    <xf numFmtId="14" fontId="256" fillId="7" borderId="1" xfId="17"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xf>
    <xf numFmtId="0" fontId="258" fillId="7" borderId="0" xfId="17" applyNumberFormat="1" applyFont="1" applyFill="1" applyBorder="1" applyAlignment="1">
      <alignment horizontal="center" vertical="center"/>
    </xf>
    <xf numFmtId="176" fontId="256" fillId="7" borderId="1" xfId="17" applyNumberFormat="1" applyFont="1" applyFill="1" applyBorder="1" applyAlignment="1">
      <alignment horizontal="center" vertical="center" wrapText="1"/>
    </xf>
    <xf numFmtId="3" fontId="256" fillId="0" borderId="1" xfId="19" applyNumberFormat="1" applyFont="1" applyFill="1" applyBorder="1" applyAlignment="1">
      <alignment horizontal="center" vertical="center" wrapText="1"/>
    </xf>
    <xf numFmtId="43" fontId="256" fillId="0" borderId="1" xfId="20" applyFont="1" applyFill="1" applyBorder="1" applyAlignment="1">
      <alignment horizontal="center" vertical="center" wrapText="1"/>
    </xf>
    <xf numFmtId="49" fontId="256" fillId="20" borderId="1" xfId="19" applyNumberFormat="1" applyFont="1" applyFill="1" applyBorder="1" applyAlignment="1">
      <alignment horizontal="center" vertical="center"/>
    </xf>
    <xf numFmtId="0" fontId="256" fillId="20" borderId="1" xfId="19" applyNumberFormat="1" applyFont="1" applyFill="1" applyBorder="1" applyAlignment="1">
      <alignment horizontal="center" vertical="center" wrapText="1"/>
    </xf>
    <xf numFmtId="49" fontId="256" fillId="0" borderId="1" xfId="19" applyNumberFormat="1" applyFont="1" applyFill="1" applyBorder="1" applyAlignment="1">
      <alignment horizontal="center" vertical="center"/>
    </xf>
    <xf numFmtId="176" fontId="256" fillId="0" borderId="1"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76" fontId="256" fillId="7" borderId="13"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 xfId="17" applyNumberFormat="1" applyFont="1" applyFill="1" applyBorder="1" applyAlignment="1">
      <alignment horizontal="center" vertical="center" wrapText="1"/>
    </xf>
    <xf numFmtId="3" fontId="256" fillId="7"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xf>
    <xf numFmtId="176" fontId="256" fillId="7" borderId="1" xfId="19" applyNumberFormat="1" applyFont="1" applyFill="1" applyBorder="1" applyAlignment="1">
      <alignment horizontal="center" vertical="center"/>
    </xf>
    <xf numFmtId="49" fontId="256" fillId="7" borderId="1" xfId="18"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3" fontId="256" fillId="7" borderId="1" xfId="19" applyNumberFormat="1" applyFont="1" applyFill="1" applyBorder="1" applyAlignment="1">
      <alignment horizontal="center" vertical="center" wrapText="1"/>
    </xf>
    <xf numFmtId="49" fontId="256" fillId="20" borderId="1" xfId="17" applyNumberFormat="1" applyFont="1" applyFill="1" applyBorder="1" applyAlignment="1">
      <alignment horizontal="center" vertical="center" wrapText="1"/>
    </xf>
    <xf numFmtId="43" fontId="256" fillId="20" borderId="1" xfId="22" applyFont="1" applyFill="1" applyBorder="1" applyAlignment="1">
      <alignment horizontal="center" vertical="center" wrapText="1"/>
    </xf>
    <xf numFmtId="4" fontId="259" fillId="20" borderId="1" xfId="19" applyNumberFormat="1" applyFont="1" applyFill="1" applyBorder="1" applyAlignment="1">
      <alignment horizontal="center" vertical="center" wrapText="1"/>
    </xf>
    <xf numFmtId="0" fontId="56" fillId="20" borderId="0" xfId="17" applyNumberFormat="1" applyFont="1" applyFill="1" applyBorder="1" applyAlignment="1">
      <alignment horizontal="center" vertical="center"/>
    </xf>
    <xf numFmtId="40" fontId="56" fillId="0" borderId="0" xfId="17" applyNumberFormat="1" applyFont="1" applyFill="1" applyBorder="1" applyAlignment="1">
      <alignment horizontal="center" vertical="center"/>
    </xf>
    <xf numFmtId="43" fontId="256" fillId="0" borderId="1" xfId="22" applyFont="1" applyFill="1" applyBorder="1" applyAlignment="1">
      <alignment horizontal="center" vertical="center" wrapText="1"/>
    </xf>
    <xf numFmtId="4" fontId="259" fillId="0" borderId="1" xfId="19" applyNumberFormat="1" applyFont="1" applyFill="1" applyBorder="1" applyAlignment="1">
      <alignment horizontal="center" vertical="center" wrapText="1"/>
    </xf>
    <xf numFmtId="179" fontId="256" fillId="7" borderId="1" xfId="0" applyNumberFormat="1" applyFont="1" applyFill="1" applyBorder="1" applyAlignment="1">
      <alignment horizontal="center" vertical="center"/>
    </xf>
    <xf numFmtId="43" fontId="256" fillId="7" borderId="1" xfId="22" applyFont="1" applyFill="1" applyBorder="1" applyAlignment="1">
      <alignment horizontal="center" vertical="center"/>
    </xf>
    <xf numFmtId="200" fontId="256" fillId="7" borderId="1" xfId="22" applyNumberFormat="1" applyFont="1" applyFill="1" applyBorder="1" applyAlignment="1">
      <alignment horizontal="center" vertical="center" wrapText="1"/>
    </xf>
    <xf numFmtId="0" fontId="256" fillId="0" borderId="0" xfId="23" applyFont="1" applyFill="1" applyBorder="1" applyAlignment="1">
      <alignment horizontal="center" vertical="center"/>
    </xf>
    <xf numFmtId="0" fontId="256" fillId="7" borderId="0" xfId="17" applyNumberFormat="1" applyFont="1" applyFill="1" applyBorder="1" applyAlignment="1">
      <alignment horizontal="center" vertical="center"/>
    </xf>
    <xf numFmtId="199" fontId="255" fillId="19" borderId="2" xfId="20" applyNumberFormat="1" applyFont="1" applyFill="1" applyBorder="1" applyAlignment="1">
      <alignment horizontal="center" vertical="center" wrapText="1"/>
    </xf>
    <xf numFmtId="49" fontId="256" fillId="19" borderId="2" xfId="17" applyNumberFormat="1" applyFont="1" applyFill="1" applyBorder="1" applyAlignment="1">
      <alignment horizontal="center" vertical="center" wrapText="1"/>
    </xf>
    <xf numFmtId="49" fontId="255" fillId="19" borderId="2" xfId="17" applyNumberFormat="1" applyFont="1" applyFill="1" applyBorder="1" applyAlignment="1">
      <alignment horizontal="center" vertical="center" wrapText="1"/>
    </xf>
    <xf numFmtId="0" fontId="255" fillId="19" borderId="2" xfId="17" applyNumberFormat="1" applyFont="1" applyFill="1" applyBorder="1" applyAlignment="1">
      <alignment horizontal="center" vertical="center" wrapText="1"/>
    </xf>
    <xf numFmtId="40" fontId="255" fillId="19" borderId="2" xfId="17" applyNumberFormat="1" applyFont="1" applyFill="1" applyBorder="1" applyAlignment="1">
      <alignment horizontal="center" vertical="center" wrapText="1"/>
    </xf>
    <xf numFmtId="200" fontId="255" fillId="19" borderId="2" xfId="20" applyNumberFormat="1" applyFont="1" applyFill="1" applyBorder="1" applyAlignment="1">
      <alignment horizontal="center" vertical="center" wrapText="1"/>
    </xf>
    <xf numFmtId="14" fontId="256" fillId="19" borderId="2" xfId="20" applyNumberFormat="1" applyFont="1" applyFill="1" applyBorder="1" applyAlignment="1">
      <alignment horizontal="center" vertical="center" wrapText="1"/>
    </xf>
    <xf numFmtId="14" fontId="255" fillId="19" borderId="2" xfId="20" applyNumberFormat="1" applyFont="1" applyFill="1" applyBorder="1" applyAlignment="1">
      <alignment horizontal="center" vertical="center" wrapText="1"/>
    </xf>
    <xf numFmtId="40" fontId="255" fillId="19" borderId="2" xfId="21" applyNumberFormat="1" applyFont="1" applyFill="1" applyBorder="1" applyAlignment="1">
      <alignment horizontal="center" vertical="center" wrapText="1"/>
    </xf>
    <xf numFmtId="40" fontId="255" fillId="19" borderId="2" xfId="20" applyNumberFormat="1" applyFont="1" applyFill="1" applyBorder="1" applyAlignment="1">
      <alignment horizontal="center" vertical="center" wrapText="1"/>
    </xf>
    <xf numFmtId="176" fontId="255" fillId="19" borderId="2" xfId="20" applyNumberFormat="1" applyFont="1" applyFill="1" applyBorder="1" applyAlignment="1">
      <alignment horizontal="center" vertical="center" wrapText="1"/>
    </xf>
    <xf numFmtId="0" fontId="256" fillId="19" borderId="1" xfId="19" applyNumberFormat="1" applyFont="1" applyFill="1" applyBorder="1" applyAlignment="1">
      <alignment horizontal="center" vertical="center" wrapText="1"/>
    </xf>
    <xf numFmtId="200" fontId="261" fillId="19" borderId="2" xfId="21" applyNumberFormat="1" applyFont="1" applyFill="1" applyBorder="1" applyAlignment="1">
      <alignment horizontal="center" vertical="center" wrapText="1"/>
    </xf>
    <xf numFmtId="0" fontId="256" fillId="19" borderId="0" xfId="17" applyNumberFormat="1" applyFont="1" applyFill="1" applyBorder="1" applyAlignment="1">
      <alignment horizontal="center" vertical="center"/>
    </xf>
    <xf numFmtId="199"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xf>
    <xf numFmtId="49" fontId="255" fillId="21" borderId="1" xfId="17" applyNumberFormat="1" applyFont="1" applyFill="1" applyBorder="1" applyAlignment="1">
      <alignment horizontal="center" vertical="center"/>
    </xf>
    <xf numFmtId="200" fontId="255" fillId="21" borderId="1" xfId="17" applyNumberFormat="1" applyFont="1" applyFill="1" applyBorder="1" applyAlignment="1">
      <alignment horizontal="center" vertical="center"/>
    </xf>
    <xf numFmtId="176"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wrapText="1"/>
    </xf>
    <xf numFmtId="176" fontId="255" fillId="21" borderId="1" xfId="17" applyNumberFormat="1" applyFont="1" applyFill="1" applyBorder="1" applyAlignment="1">
      <alignment horizontal="center" vertical="center" wrapText="1"/>
    </xf>
    <xf numFmtId="40" fontId="255" fillId="21" borderId="1" xfId="17" applyNumberFormat="1" applyFont="1" applyFill="1" applyBorder="1" applyAlignment="1">
      <alignment horizontal="center" vertical="center"/>
    </xf>
    <xf numFmtId="40" fontId="255" fillId="21" borderId="1" xfId="17" applyNumberFormat="1" applyFont="1" applyFill="1" applyBorder="1" applyAlignment="1">
      <alignment horizontal="center" vertical="center" wrapText="1"/>
    </xf>
    <xf numFmtId="9" fontId="255" fillId="21" borderId="1" xfId="14" applyFont="1" applyFill="1" applyBorder="1" applyAlignment="1">
      <alignment horizontal="center" vertical="center"/>
    </xf>
    <xf numFmtId="0" fontId="262" fillId="21" borderId="0" xfId="17" applyNumberFormat="1" applyFont="1" applyFill="1" applyBorder="1" applyAlignment="1">
      <alignment horizontal="center" vertical="center"/>
    </xf>
    <xf numFmtId="0" fontId="256" fillId="0" borderId="0" xfId="17" applyNumberFormat="1" applyFont="1" applyBorder="1" applyAlignment="1">
      <alignment horizontal="center" vertical="center"/>
    </xf>
    <xf numFmtId="49" fontId="256" fillId="7" borderId="0" xfId="17" applyNumberFormat="1" applyFont="1" applyFill="1" applyBorder="1" applyAlignment="1">
      <alignment horizontal="center" vertical="center"/>
    </xf>
    <xf numFmtId="49" fontId="256" fillId="0" borderId="0" xfId="17" applyNumberFormat="1" applyFont="1" applyFill="1" applyBorder="1" applyAlignment="1">
      <alignment horizontal="center" vertical="center"/>
    </xf>
    <xf numFmtId="4" fontId="256" fillId="0" borderId="0" xfId="17" applyNumberFormat="1" applyFont="1" applyBorder="1" applyAlignment="1">
      <alignment horizontal="center" vertical="center"/>
    </xf>
    <xf numFmtId="176"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176" fontId="256" fillId="0" borderId="0" xfId="17" applyNumberFormat="1" applyFont="1" applyBorder="1" applyAlignment="1">
      <alignment horizontal="center" vertical="center" wrapText="1"/>
    </xf>
    <xf numFmtId="40" fontId="256" fillId="0" borderId="0" xfId="17" applyNumberFormat="1" applyFont="1" applyBorder="1" applyAlignment="1">
      <alignment horizontal="center" vertical="center"/>
    </xf>
    <xf numFmtId="40" fontId="256" fillId="0" borderId="0" xfId="17" applyNumberFormat="1" applyFont="1" applyBorder="1" applyAlignment="1">
      <alignment horizontal="center" vertical="center" wrapText="1"/>
    </xf>
    <xf numFmtId="0" fontId="256" fillId="0" borderId="2" xfId="17" applyNumberFormat="1" applyFont="1" applyFill="1" applyBorder="1" applyAlignment="1">
      <alignment horizontal="center" vertical="center"/>
    </xf>
    <xf numFmtId="9" fontId="256" fillId="0" borderId="2" xfId="14" applyFont="1" applyFill="1" applyBorder="1" applyAlignment="1">
      <alignment horizontal="center" vertical="center"/>
    </xf>
    <xf numFmtId="0" fontId="263" fillId="0" borderId="0" xfId="17" applyNumberFormat="1" applyFont="1" applyFill="1" applyBorder="1" applyAlignment="1">
      <alignment horizontal="center" vertical="center"/>
    </xf>
    <xf numFmtId="0" fontId="256" fillId="20" borderId="0" xfId="17" applyNumberFormat="1" applyFont="1" applyFill="1" applyBorder="1" applyAlignment="1">
      <alignment horizontal="center" vertical="center"/>
    </xf>
    <xf numFmtId="0"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xf>
    <xf numFmtId="0" fontId="263" fillId="0" borderId="1" xfId="17" applyNumberFormat="1" applyFont="1" applyFill="1" applyBorder="1" applyAlignment="1">
      <alignment horizontal="center" vertical="center" wrapText="1"/>
    </xf>
    <xf numFmtId="200" fontId="256" fillId="7" borderId="1" xfId="20" applyNumberFormat="1" applyFont="1" applyFill="1" applyBorder="1" applyAlignment="1">
      <alignment horizontal="center" vertical="center" wrapText="1"/>
    </xf>
    <xf numFmtId="10" fontId="256" fillId="0" borderId="0" xfId="14" applyNumberFormat="1" applyFont="1" applyBorder="1" applyAlignment="1">
      <alignment horizontal="center" vertical="center"/>
    </xf>
    <xf numFmtId="10" fontId="256" fillId="0" borderId="0" xfId="17" applyNumberFormat="1" applyFont="1" applyBorder="1" applyAlignment="1">
      <alignment horizontal="center" vertical="center"/>
    </xf>
    <xf numFmtId="49" fontId="256" fillId="7" borderId="1" xfId="17" applyNumberFormat="1" applyFont="1" applyFill="1" applyBorder="1" applyAlignment="1">
      <alignment horizontal="center" vertical="center"/>
    </xf>
    <xf numFmtId="0" fontId="256" fillId="7" borderId="0" xfId="24"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0" fontId="0" fillId="0" borderId="0" xfId="0" applyFill="1">
      <alignment vertical="center"/>
    </xf>
    <xf numFmtId="0" fontId="268" fillId="0" borderId="1" xfId="0" applyFont="1" applyFill="1" applyBorder="1" applyAlignment="1">
      <alignment horizontal="center" vertical="center" wrapText="1"/>
    </xf>
    <xf numFmtId="0" fontId="266" fillId="0" borderId="1" xfId="0" applyFont="1" applyBorder="1" applyAlignment="1">
      <alignment horizontal="center" vertical="center" wrapText="1"/>
    </xf>
    <xf numFmtId="0" fontId="267" fillId="0" borderId="1" xfId="0" applyFont="1" applyBorder="1" applyAlignment="1">
      <alignment horizontal="center" vertical="center" wrapText="1"/>
    </xf>
    <xf numFmtId="49" fontId="266" fillId="0" borderId="1" xfId="0" applyNumberFormat="1" applyFont="1" applyBorder="1" applyAlignment="1">
      <alignment horizontal="center" vertical="center" wrapText="1"/>
    </xf>
    <xf numFmtId="10" fontId="0" fillId="0" borderId="0" xfId="0" applyNumberFormat="1">
      <alignment vertical="center"/>
    </xf>
    <xf numFmtId="0" fontId="268" fillId="0" borderId="1" xfId="0" applyFont="1" applyFill="1" applyBorder="1" applyAlignment="1">
      <alignment horizontal="justify" vertical="center" wrapText="1"/>
    </xf>
    <xf numFmtId="0" fontId="266" fillId="0" borderId="1" xfId="0" applyFont="1" applyBorder="1" applyAlignment="1">
      <alignment horizontal="center" vertical="center"/>
    </xf>
    <xf numFmtId="10" fontId="266" fillId="0" borderId="1" xfId="0" applyNumberFormat="1" applyFont="1" applyBorder="1" applyAlignment="1">
      <alignment horizontal="center" vertical="center"/>
    </xf>
    <xf numFmtId="10" fontId="266" fillId="0" borderId="1" xfId="0" applyNumberFormat="1" applyFont="1" applyBorder="1" applyAlignment="1">
      <alignment horizontal="center" vertical="center"/>
    </xf>
    <xf numFmtId="0" fontId="266" fillId="0" borderId="1" xfId="0" applyFont="1" applyBorder="1" applyAlignment="1">
      <alignment vertical="center"/>
    </xf>
    <xf numFmtId="0" fontId="105" fillId="9" borderId="1" xfId="0" applyFont="1" applyFill="1" applyBorder="1" applyAlignment="1" applyProtection="1">
      <alignment horizontal="center" vertical="center" wrapText="1"/>
      <protection locked="0"/>
    </xf>
    <xf numFmtId="0" fontId="99" fillId="0" borderId="0" xfId="0" applyFont="1">
      <alignment vertical="center"/>
    </xf>
    <xf numFmtId="181" fontId="55" fillId="9" borderId="24" xfId="0" applyNumberFormat="1" applyFont="1" applyFill="1" applyBorder="1" applyAlignment="1" applyProtection="1">
      <alignment horizontal="center" vertical="center"/>
    </xf>
    <xf numFmtId="0" fontId="266" fillId="0" borderId="0" xfId="0" applyFont="1">
      <alignment vertical="center"/>
    </xf>
    <xf numFmtId="14" fontId="99" fillId="0" borderId="0" xfId="0" applyNumberFormat="1" applyFont="1">
      <alignment vertical="center"/>
    </xf>
    <xf numFmtId="14" fontId="0" fillId="0" borderId="0" xfId="0" applyNumberFormat="1">
      <alignment vertical="center"/>
    </xf>
    <xf numFmtId="14" fontId="99" fillId="0" borderId="0" xfId="0" applyNumberFormat="1" applyFont="1" applyFill="1">
      <alignment vertical="center"/>
    </xf>
    <xf numFmtId="0" fontId="266" fillId="0" borderId="0" xfId="0" applyFont="1" applyFill="1">
      <alignment vertical="center"/>
    </xf>
    <xf numFmtId="14" fontId="0" fillId="0" borderId="0" xfId="0" applyNumberFormat="1" applyFill="1">
      <alignment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0" fillId="0" borderId="1" xfId="0" applyBorder="1" applyAlignment="1">
      <alignment horizontal="center" vertical="center"/>
    </xf>
    <xf numFmtId="0" fontId="0" fillId="22" borderId="1" xfId="0" applyFill="1" applyBorder="1" applyAlignment="1">
      <alignment horizontal="center"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0" fontId="99" fillId="22" borderId="0" xfId="0" applyFont="1" applyFill="1">
      <alignment vertical="center"/>
    </xf>
    <xf numFmtId="14" fontId="99" fillId="20" borderId="1" xfId="0" applyNumberFormat="1" applyFont="1" applyFill="1" applyBorder="1" applyAlignment="1">
      <alignment horizontal="center" vertical="center"/>
    </xf>
    <xf numFmtId="0" fontId="100" fillId="0" borderId="0" xfId="0" applyFont="1" applyAlignment="1"/>
    <xf numFmtId="43" fontId="0" fillId="0" borderId="0" xfId="25" applyFont="1" applyAlignment="1"/>
    <xf numFmtId="0" fontId="37" fillId="7" borderId="60" xfId="0" applyFont="1" applyFill="1" applyBorder="1" applyAlignment="1">
      <alignment horizontal="left"/>
    </xf>
    <xf numFmtId="202" fontId="271" fillId="7" borderId="60" xfId="25" applyNumberFormat="1" applyFont="1" applyFill="1" applyBorder="1" applyAlignment="1">
      <alignment horizontal="center"/>
    </xf>
    <xf numFmtId="0" fontId="273" fillId="7" borderId="1" xfId="2" applyFont="1" applyFill="1" applyBorder="1" applyAlignment="1">
      <alignment horizontal="center" vertical="center" wrapText="1"/>
    </xf>
    <xf numFmtId="202" fontId="0" fillId="0" borderId="1" xfId="25" applyNumberFormat="1" applyFont="1" applyBorder="1" applyAlignment="1">
      <alignment horizontal="center" vertical="center" wrapText="1"/>
    </xf>
    <xf numFmtId="43" fontId="0" fillId="0" borderId="1" xfId="25"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273" fillId="7" borderId="1" xfId="2" applyFont="1" applyFill="1" applyBorder="1" applyAlignment="1">
      <alignment horizontal="center" vertical="center"/>
    </xf>
    <xf numFmtId="10" fontId="0" fillId="0" borderId="1" xfId="26" applyNumberFormat="1" applyFont="1" applyBorder="1" applyAlignment="1">
      <alignment horizontal="center" wrapText="1"/>
    </xf>
    <xf numFmtId="10" fontId="0" fillId="0" borderId="1" xfId="26" applyNumberFormat="1" applyFont="1" applyBorder="1" applyAlignment="1">
      <alignment horizontal="center"/>
    </xf>
    <xf numFmtId="0" fontId="273" fillId="7" borderId="1" xfId="2" applyFont="1" applyFill="1" applyBorder="1" applyAlignment="1">
      <alignment vertical="center"/>
    </xf>
    <xf numFmtId="0" fontId="248" fillId="7" borderId="1" xfId="2" applyFont="1" applyFill="1" applyBorder="1" applyAlignment="1">
      <alignment vertical="center"/>
    </xf>
    <xf numFmtId="0" fontId="202" fillId="7" borderId="1" xfId="2" applyFont="1" applyFill="1" applyBorder="1" applyAlignment="1">
      <alignment vertical="center"/>
    </xf>
    <xf numFmtId="0" fontId="100" fillId="7" borderId="1" xfId="2" applyFont="1" applyFill="1" applyBorder="1" applyAlignment="1">
      <alignment vertical="center"/>
    </xf>
    <xf numFmtId="0" fontId="0" fillId="0" borderId="0" xfId="0" applyAlignment="1">
      <alignment vertical="center"/>
    </xf>
    <xf numFmtId="0" fontId="248" fillId="7" borderId="1" xfId="2" applyFont="1" applyFill="1" applyBorder="1" applyAlignment="1">
      <alignment horizontal="center" vertical="center"/>
    </xf>
    <xf numFmtId="202" fontId="274" fillId="0" borderId="1" xfId="25" applyNumberFormat="1" applyFont="1" applyBorder="1" applyAlignment="1"/>
    <xf numFmtId="202" fontId="275" fillId="0" borderId="1" xfId="25" applyNumberFormat="1" applyFont="1" applyBorder="1" applyAlignment="1"/>
    <xf numFmtId="43" fontId="275" fillId="0" borderId="1" xfId="25" applyFont="1" applyBorder="1" applyAlignment="1"/>
    <xf numFmtId="202" fontId="276" fillId="0" borderId="1" xfId="25" applyNumberFormat="1" applyFont="1" applyBorder="1" applyAlignment="1"/>
    <xf numFmtId="202" fontId="275" fillId="0" borderId="1" xfId="25" applyNumberFormat="1" applyFont="1" applyBorder="1" applyAlignment="1">
      <alignment vertical="center"/>
    </xf>
    <xf numFmtId="43" fontId="275" fillId="0" borderId="1" xfId="25" applyFont="1" applyBorder="1" applyAlignment="1">
      <alignment vertical="center"/>
    </xf>
    <xf numFmtId="43" fontId="266" fillId="0" borderId="1" xfId="0" applyNumberFormat="1" applyFont="1" applyBorder="1" applyAlignment="1">
      <alignment vertical="center"/>
    </xf>
    <xf numFmtId="0" fontId="0" fillId="5" borderId="0" xfId="0" applyFill="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xf>
    <xf numFmtId="49" fontId="54" fillId="9" borderId="35" xfId="0" applyNumberFormat="1" applyFont="1" applyFill="1" applyBorder="1" applyAlignment="1" applyProtection="1">
      <alignment horizontal="center" vertical="center" wrapText="1"/>
      <protection locked="0"/>
    </xf>
    <xf numFmtId="184" fontId="47" fillId="9" borderId="70"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lignment horizontal="center" vertical="center"/>
    </xf>
    <xf numFmtId="0" fontId="256" fillId="9" borderId="0" xfId="17" applyNumberFormat="1" applyFont="1" applyFill="1" applyBorder="1" applyAlignment="1">
      <alignment horizontal="center" vertical="center"/>
    </xf>
    <xf numFmtId="176" fontId="256" fillId="0" borderId="1" xfId="17" applyNumberFormat="1" applyFont="1" applyBorder="1" applyAlignment="1">
      <alignment horizontal="center" vertical="center"/>
    </xf>
    <xf numFmtId="0" fontId="190" fillId="7" borderId="5" xfId="0" applyFont="1" applyFill="1" applyBorder="1" applyAlignment="1" applyProtection="1">
      <alignment vertical="center" wrapText="1"/>
      <protection locked="0"/>
    </xf>
    <xf numFmtId="0" fontId="47" fillId="6" borderId="5" xfId="0" applyFont="1" applyFill="1" applyBorder="1" applyAlignment="1" applyProtection="1">
      <alignment vertical="center" wrapText="1"/>
    </xf>
    <xf numFmtId="0" fontId="266"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8" fillId="0" borderId="81" xfId="0" applyFont="1" applyBorder="1" applyAlignment="1">
      <alignment horizontal="center" vertical="center" wrapText="1"/>
    </xf>
    <xf numFmtId="0" fontId="268" fillId="0" borderId="43" xfId="0" applyFont="1" applyBorder="1" applyAlignment="1">
      <alignment horizontal="center" vertical="center" wrapText="1"/>
    </xf>
    <xf numFmtId="0" fontId="277" fillId="0" borderId="82" xfId="0" applyFont="1" applyFill="1" applyBorder="1" applyAlignment="1">
      <alignment horizontal="center" vertical="center" wrapText="1"/>
    </xf>
    <xf numFmtId="0" fontId="277" fillId="0" borderId="65" xfId="0"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49"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wrapText="1"/>
    </xf>
    <xf numFmtId="176" fontId="256" fillId="7" borderId="13" xfId="17" applyNumberFormat="1" applyFont="1" applyFill="1" applyBorder="1" applyAlignment="1">
      <alignment horizontal="center" vertical="center" wrapText="1"/>
    </xf>
    <xf numFmtId="176" fontId="256" fillId="7" borderId="2"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97" fontId="256" fillId="7" borderId="2" xfId="19"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xf>
    <xf numFmtId="0" fontId="256" fillId="7" borderId="2" xfId="17" applyNumberFormat="1" applyFont="1" applyFill="1" applyBorder="1" applyAlignment="1">
      <alignment horizontal="center" vertical="center"/>
    </xf>
    <xf numFmtId="0" fontId="256" fillId="0" borderId="13" xfId="17" applyNumberFormat="1" applyFont="1" applyFill="1" applyBorder="1" applyAlignment="1">
      <alignment horizontal="center" vertical="center" wrapText="1"/>
    </xf>
    <xf numFmtId="0" fontId="256" fillId="0" borderId="2" xfId="17"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wrapText="1"/>
    </xf>
    <xf numFmtId="0"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49" fontId="256" fillId="7" borderId="2"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0" fontId="256" fillId="0" borderId="13" xfId="17" applyNumberFormat="1" applyFont="1" applyFill="1" applyBorder="1" applyAlignment="1">
      <alignment horizontal="center" vertical="center"/>
    </xf>
    <xf numFmtId="0" fontId="256" fillId="0" borderId="2" xfId="17" applyNumberFormat="1" applyFont="1" applyFill="1" applyBorder="1" applyAlignment="1">
      <alignment horizontal="center" vertical="center"/>
    </xf>
    <xf numFmtId="49" fontId="256" fillId="7" borderId="13" xfId="19" applyNumberFormat="1" applyFont="1" applyFill="1" applyBorder="1" applyAlignment="1">
      <alignment horizontal="center" vertical="center"/>
    </xf>
    <xf numFmtId="49" fontId="256" fillId="7" borderId="2" xfId="19" applyNumberFormat="1" applyFont="1" applyFill="1" applyBorder="1" applyAlignment="1">
      <alignment horizontal="center" vertical="center"/>
    </xf>
    <xf numFmtId="177" fontId="256" fillId="0" borderId="13" xfId="17" applyNumberFormat="1" applyFont="1" applyFill="1" applyBorder="1" applyAlignment="1">
      <alignment horizontal="center" vertical="center" wrapText="1"/>
    </xf>
    <xf numFmtId="177" fontId="256" fillId="0" borderId="2" xfId="17" applyNumberFormat="1" applyFont="1" applyFill="1" applyBorder="1" applyAlignment="1">
      <alignment horizontal="center" vertical="center" wrapText="1"/>
    </xf>
    <xf numFmtId="4" fontId="256" fillId="0" borderId="13" xfId="19" applyNumberFormat="1" applyFont="1" applyFill="1" applyBorder="1" applyAlignment="1">
      <alignment horizontal="center" vertical="center" wrapText="1"/>
    </xf>
    <xf numFmtId="4" fontId="256" fillId="0" borderId="2" xfId="19" applyNumberFormat="1" applyFont="1" applyFill="1" applyBorder="1" applyAlignment="1">
      <alignment horizontal="center" vertical="center" wrapText="1"/>
    </xf>
    <xf numFmtId="0" fontId="256" fillId="0" borderId="0" xfId="17" applyNumberFormat="1" applyFont="1" applyBorder="1" applyAlignment="1">
      <alignment horizontal="center" vertical="center" wrapText="1"/>
    </xf>
    <xf numFmtId="0" fontId="256" fillId="20" borderId="13" xfId="17" applyNumberFormat="1" applyFont="1" applyFill="1" applyBorder="1" applyAlignment="1">
      <alignment horizontal="center" vertical="center" wrapText="1"/>
    </xf>
    <xf numFmtId="0" fontId="256" fillId="20" borderId="2" xfId="17" applyNumberFormat="1" applyFont="1" applyFill="1" applyBorder="1" applyAlignment="1">
      <alignment horizontal="center" vertical="center" wrapText="1"/>
    </xf>
    <xf numFmtId="49" fontId="256" fillId="20" borderId="13" xfId="17" applyNumberFormat="1" applyFont="1" applyFill="1" applyBorder="1" applyAlignment="1">
      <alignment horizontal="center" vertical="center" wrapText="1"/>
    </xf>
    <xf numFmtId="49" fontId="256" fillId="20" borderId="2" xfId="17" applyNumberFormat="1" applyFont="1" applyFill="1" applyBorder="1" applyAlignment="1">
      <alignment horizontal="center" vertical="center" wrapText="1"/>
    </xf>
    <xf numFmtId="49" fontId="256" fillId="20" borderId="13" xfId="19" applyNumberFormat="1" applyFont="1" applyFill="1" applyBorder="1" applyAlignment="1">
      <alignment horizontal="center" vertical="center"/>
    </xf>
    <xf numFmtId="49" fontId="256" fillId="20" borderId="2" xfId="19" applyNumberFormat="1" applyFont="1" applyFill="1" applyBorder="1" applyAlignment="1">
      <alignment horizontal="center" vertical="center"/>
    </xf>
    <xf numFmtId="186" fontId="256" fillId="20" borderId="13" xfId="17" applyNumberFormat="1" applyFont="1" applyFill="1" applyBorder="1" applyAlignment="1">
      <alignment horizontal="center" vertical="center" wrapText="1"/>
    </xf>
    <xf numFmtId="186" fontId="256" fillId="20" borderId="2" xfId="17" applyNumberFormat="1" applyFont="1" applyFill="1" applyBorder="1" applyAlignment="1">
      <alignment horizontal="center" vertical="center" wrapText="1"/>
    </xf>
    <xf numFmtId="0" fontId="256" fillId="20" borderId="13" xfId="19" applyNumberFormat="1" applyFont="1" applyFill="1" applyBorder="1" applyAlignment="1">
      <alignment horizontal="center" vertical="center" wrapText="1"/>
    </xf>
    <xf numFmtId="0" fontId="256" fillId="20" borderId="2" xfId="19" applyNumberFormat="1" applyFont="1" applyFill="1" applyBorder="1" applyAlignment="1">
      <alignment horizontal="center" vertical="center" wrapText="1"/>
    </xf>
    <xf numFmtId="4" fontId="256" fillId="20" borderId="13" xfId="19" applyNumberFormat="1" applyFont="1" applyFill="1" applyBorder="1" applyAlignment="1">
      <alignment horizontal="center" vertical="center"/>
    </xf>
    <xf numFmtId="4" fontId="256" fillId="20" borderId="2" xfId="19" applyNumberFormat="1" applyFont="1" applyFill="1" applyBorder="1" applyAlignment="1">
      <alignment horizontal="center" vertical="center"/>
    </xf>
    <xf numFmtId="10" fontId="266" fillId="0" borderId="1" xfId="0" applyNumberFormat="1" applyFont="1" applyBorder="1" applyAlignment="1">
      <alignment horizontal="center" vertical="center"/>
    </xf>
    <xf numFmtId="0" fontId="100" fillId="0" borderId="1" xfId="0" applyFont="1" applyBorder="1" applyAlignment="1">
      <alignment horizontal="center" vertical="center"/>
    </xf>
    <xf numFmtId="0" fontId="268" fillId="0" borderId="1" xfId="0" applyFont="1" applyFill="1" applyBorder="1" applyAlignment="1">
      <alignment horizontal="center" vertical="center" wrapText="1"/>
    </xf>
    <xf numFmtId="0" fontId="270" fillId="7" borderId="0" xfId="0" applyFont="1" applyFill="1" applyBorder="1" applyAlignment="1">
      <alignment horizontal="center"/>
    </xf>
    <xf numFmtId="0" fontId="271" fillId="7" borderId="0" xfId="0" applyFont="1" applyFill="1" applyBorder="1" applyAlignment="1">
      <alignment horizontal="center"/>
    </xf>
    <xf numFmtId="43" fontId="275" fillId="0" borderId="13" xfId="25" applyFont="1" applyBorder="1" applyAlignment="1">
      <alignment horizontal="center" vertical="center"/>
    </xf>
    <xf numFmtId="43" fontId="275" fillId="0" borderId="2" xfId="25" applyFont="1" applyBorder="1" applyAlignment="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7">
    <cellStyle name="Change A&amp;ll" xfId="18"/>
    <cellStyle name="百分比" xfId="26"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3.4new" xfId="23"/>
    <cellStyle name="常规_NH- ISF Approval Schedule 22Sept06 (rev)2" xfId="19"/>
    <cellStyle name="常规_报表8：TS_ProjectName_Month (rev as at 07May09)" xfId="17"/>
    <cellStyle name="常规_最终SHENZHEN-商户信息收集表-PH20101130" xfId="24"/>
    <cellStyle name="货币_报表8：TS_ProjectName_Month (rev as at 07May09)" xfId="21"/>
    <cellStyle name="千位分隔" xfId="25" builtinId="3"/>
    <cellStyle name="千位分隔 10" xfId="20"/>
    <cellStyle name="千位分隔 10 2" xfId="22"/>
  </cellStyles>
  <dxfs count="2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333375</xdr:colOff>
      <xdr:row>55</xdr:row>
      <xdr:rowOff>47625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276725"/>
          <a:ext cx="5562600" cy="5191125"/>
        </a:xfrm>
        <a:prstGeom prst="rect">
          <a:avLst/>
        </a:prstGeom>
      </xdr:spPr>
    </xdr:pic>
    <xdr:clientData/>
  </xdr:twoCellAnchor>
  <xdr:twoCellAnchor editAs="oneCell">
    <xdr:from>
      <xdr:col>7</xdr:col>
      <xdr:colOff>0</xdr:colOff>
      <xdr:row>25</xdr:row>
      <xdr:rowOff>0</xdr:rowOff>
    </xdr:from>
    <xdr:to>
      <xdr:col>15</xdr:col>
      <xdr:colOff>27838</xdr:colOff>
      <xdr:row>49</xdr:row>
      <xdr:rowOff>123295</xdr:rowOff>
    </xdr:to>
    <xdr:pic>
      <xdr:nvPicPr>
        <xdr:cNvPr id="4" name="图片 3"/>
        <xdr:cNvPicPr>
          <a:picLocks noChangeAspect="1"/>
        </xdr:cNvPicPr>
      </xdr:nvPicPr>
      <xdr:blipFill>
        <a:blip xmlns:r="http://schemas.openxmlformats.org/officeDocument/2006/relationships" r:embed="rId2"/>
        <a:stretch>
          <a:fillRect/>
        </a:stretch>
      </xdr:blipFill>
      <xdr:spPr>
        <a:xfrm>
          <a:off x="5953125" y="4276725"/>
          <a:ext cx="5895238"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9525</xdr:rowOff>
    </xdr:from>
    <xdr:to>
      <xdr:col>0</xdr:col>
      <xdr:colOff>1209675</xdr:colOff>
      <xdr:row>10</xdr:row>
      <xdr:rowOff>133350</xdr:rowOff>
    </xdr:to>
    <xdr:cxnSp macro="">
      <xdr:nvCxnSpPr>
        <xdr:cNvPr id="2" name="直接连接符 1"/>
        <xdr:cNvCxnSpPr/>
      </xdr:nvCxnSpPr>
      <xdr:spPr>
        <a:xfrm>
          <a:off x="0" y="2638425"/>
          <a:ext cx="120967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ingying.Lai\Documents\WeChat%20Files\lyyso520\Files\&#36865;&#23457;01--&#21326;&#35199;&#22269;&#38469;&#20844;&#23507;&#29616;&#37329;&#27969;&#39044;&#2797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hx租约明细表"/>
      <sheetName val="租约明细统计及时间段计算"/>
      <sheetName val="年收入测算表"/>
      <sheetName val="现金流预测表"/>
      <sheetName val="收入统计"/>
      <sheetName val="hx产权证面积汇总表"/>
      <sheetName val="hx其他辅助"/>
      <sheetName val="Sheet1"/>
    </sheetNames>
    <sheetDataSet>
      <sheetData sheetId="0" refreshError="1"/>
      <sheetData sheetId="1"/>
      <sheetData sheetId="2" refreshError="1"/>
      <sheetData sheetId="3" refreshError="1"/>
      <sheetData sheetId="4" refreshError="1"/>
      <sheetData sheetId="5" refreshError="1"/>
      <sheetData sheetId="6">
        <row r="176">
          <cell r="D176">
            <v>3382.29</v>
          </cell>
        </row>
        <row r="177">
          <cell r="D177">
            <v>263.98</v>
          </cell>
        </row>
        <row r="178">
          <cell r="D178">
            <v>24747.890000000003</v>
          </cell>
        </row>
      </sheetData>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北京市朝阳区朝阳公园西里北区5号房地产抵押价值预评估</v>
      </c>
    </row>
    <row r="3" spans="1:2" s="1591" customFormat="1">
      <c r="A3" s="1589" t="s">
        <v>1217</v>
      </c>
      <c r="B3" s="1590" t="str">
        <f>'预评函-封皮'!B40</f>
        <v>昆仑信托</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受贵公司委托，我公司对北京市朝阳区朝阳公园西里北区5号房地产抵押价值进行了预评估。</v>
      </c>
    </row>
    <row r="7" spans="1:2" s="1591" customFormat="1">
      <c r="A7" s="1589" t="s">
        <v>1260</v>
      </c>
      <c r="B7" s="1590" t="str">
        <f>'预评函-1'!A7</f>
        <v>估价对象为北京市朝阳区朝阳公园西里北区5号房地产，为所有。根据《不动产权证书》，估价对象（分摊）出让国有建设用地使用权面积为9464.04平方米，建筑面积为24747.89平方米。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朝阳公园西里北区5号房地产,属开发建设的居住项目，该项目尚在开发建设中。根据《不动产权证书》，估价对象（分摊）出让国有建设用地使用权面积为9464.04平方米，规划建筑面积为24747.89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2019年7月24日（评估专业人员实地查勘之日）</v>
      </c>
    </row>
    <row r="13" spans="1:2" s="1591" customFormat="1">
      <c r="A13" s="1589" t="s">
        <v>1223</v>
      </c>
      <c r="B13" s="1590" t="str">
        <f>'预评函-1'!A18</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4" spans="1:2" s="1591" customFormat="1">
      <c r="A14" s="1589" t="s">
        <v>1224</v>
      </c>
      <c r="B14" s="1590" t="str">
        <f>'预评函-1'!A19</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162198</v>
      </c>
    </row>
    <row r="21" spans="1:2" s="1591" customFormat="1">
      <c r="A21" s="1589" t="s">
        <v>1231</v>
      </c>
      <c r="B21" s="1590">
        <f ca="1">'预评函-2'!D7</f>
        <v>80336</v>
      </c>
    </row>
    <row r="22" spans="1:2" s="1591" customFormat="1">
      <c r="A22" s="1589" t="s">
        <v>1232</v>
      </c>
      <c r="B22" s="1590" t="str">
        <f ca="1">'预评函-2'!D6</f>
        <v>壹拾陆亿贰仟壹佰玖拾捌万元整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162198</v>
      </c>
    </row>
    <row r="31" spans="1:2" s="1591" customFormat="1">
      <c r="A31" s="1589" t="s">
        <v>1270</v>
      </c>
      <c r="B31" s="1590">
        <f ca="1">'预评函-2'!D15</f>
        <v>65540</v>
      </c>
    </row>
    <row r="32" spans="1:2" s="1591" customFormat="1">
      <c r="A32" s="1589" t="s">
        <v>1237</v>
      </c>
      <c r="B32" s="1590" t="str">
        <f ca="1">'预评函-2'!D14</f>
        <v>壹拾陆亿贰仟壹佰玖拾捌万元整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北京市朝阳区朝阳公园西里北区5号房地产</v>
      </c>
    </row>
    <row r="42" spans="1:2" s="1591" customFormat="1">
      <c r="A42" s="1589" t="s">
        <v>1284</v>
      </c>
      <c r="B42" s="1590" t="str">
        <f>'预评函-3'!B2</f>
        <v>建筑面积</v>
      </c>
    </row>
    <row r="43" spans="1:2" s="1591" customFormat="1">
      <c r="A43" s="1589" t="s">
        <v>1285</v>
      </c>
      <c r="B43" s="1590">
        <f>'预评函-3'!B4</f>
        <v>24747.89</v>
      </c>
    </row>
    <row r="44" spans="1:2" s="1591" customFormat="1">
      <c r="A44" s="1589" t="s">
        <v>1269</v>
      </c>
      <c r="B44" s="1590" t="str">
        <f>'预评函-3'!C2</f>
        <v>(分摊)土地面积</v>
      </c>
    </row>
    <row r="45" spans="1:2" s="1591" customFormat="1">
      <c r="A45" s="1589" t="s">
        <v>1241</v>
      </c>
      <c r="B45" s="1590">
        <f>'预评函-3'!C4</f>
        <v>9464.0400000000009</v>
      </c>
    </row>
    <row r="46" spans="1:2" s="1591" customFormat="1">
      <c r="A46" s="1589" t="s">
        <v>1267</v>
      </c>
      <c r="B46" s="1590" t="str">
        <f>'预评函-3'!D2</f>
        <v>出让国有建设用地使用权价值</v>
      </c>
    </row>
    <row r="47" spans="1:2" s="1591" customFormat="1">
      <c r="A47" s="1589" t="s">
        <v>1242</v>
      </c>
      <c r="B47" s="1590">
        <f ca="1">'预评函-3'!D4</f>
        <v>103482</v>
      </c>
    </row>
    <row r="48" spans="1:2" s="1591" customFormat="1">
      <c r="A48" s="1589" t="s">
        <v>1243</v>
      </c>
      <c r="B48" s="1590">
        <f ca="1">'预评函-3'!E4</f>
        <v>51254</v>
      </c>
    </row>
    <row r="49" spans="1:2" s="1591" customFormat="1">
      <c r="A49" s="1589" t="s">
        <v>1244</v>
      </c>
      <c r="B49" s="1590" t="str">
        <f ca="1">'预评函-3'!D5</f>
        <v>壹拾亿叁仟肆佰捌拾贰万元整</v>
      </c>
    </row>
    <row r="50" spans="1:2" s="1591" customFormat="1">
      <c r="A50" s="1589" t="s">
        <v>1268</v>
      </c>
      <c r="B50" s="1590" t="str">
        <f>'预评函-3'!F2</f>
        <v>在建建筑物价值</v>
      </c>
    </row>
    <row r="51" spans="1:2" s="1591" customFormat="1">
      <c r="A51" s="1589" t="s">
        <v>1245</v>
      </c>
      <c r="B51" s="1590">
        <f ca="1">'预评函-3'!F4</f>
        <v>58716</v>
      </c>
    </row>
    <row r="52" spans="1:2" s="1591" customFormat="1">
      <c r="A52" s="1589" t="s">
        <v>1246</v>
      </c>
      <c r="B52" s="1590">
        <f ca="1">'预评函-3'!G4</f>
        <v>29082</v>
      </c>
    </row>
    <row r="53" spans="1:2" s="1591" customFormat="1">
      <c r="A53" s="1589" t="s">
        <v>1274</v>
      </c>
      <c r="B53" s="1590" t="str">
        <f ca="1">'预评函-3'!F5</f>
        <v>伍亿捌仟柒佰壹拾陆万元整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3093</v>
      </c>
      <c r="C19" s="2012"/>
    </row>
    <row r="20" spans="1:3">
      <c r="A20" s="2011" t="s">
        <v>1764</v>
      </c>
      <c r="B20" s="2011" t="s">
        <v>3095</v>
      </c>
      <c r="C20" s="2012"/>
    </row>
    <row r="21" spans="1:3">
      <c r="A21" s="2011" t="s">
        <v>1765</v>
      </c>
      <c r="B21" s="2011" t="s">
        <v>3097</v>
      </c>
      <c r="C21" s="2012"/>
    </row>
    <row r="22" spans="1:3">
      <c r="A22" s="2011" t="s">
        <v>1766</v>
      </c>
      <c r="B22" s="2011" t="s">
        <v>3099</v>
      </c>
      <c r="C22" s="2012"/>
    </row>
    <row r="23" spans="1:3">
      <c r="A23" s="2011" t="s">
        <v>1767</v>
      </c>
      <c r="B23" s="2011" t="s">
        <v>3129</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3051</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316"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XX年(多用途剩余年限尾数不同时，可只体现小数点后一位)，假定未设立法定优先受偿款下的房地产市场价值。</v>
      </c>
    </row>
    <row r="54" spans="1:4">
      <c r="A54" s="3316"/>
      <c r="B54" s="2019" t="s">
        <v>861</v>
      </c>
      <c r="C54" s="2016" t="s">
        <v>1277</v>
      </c>
    </row>
    <row r="55" spans="1:4">
      <c r="A55" s="3316"/>
      <c r="B55" s="2019" t="s">
        <v>862</v>
      </c>
      <c r="C55" s="2016" t="s">
        <v>1278</v>
      </c>
    </row>
    <row r="56" spans="1:4">
      <c r="A56" s="3316"/>
      <c r="B56" s="2019" t="s">
        <v>863</v>
      </c>
      <c r="C56" s="2016" t="s">
        <v>1282</v>
      </c>
    </row>
    <row r="57" spans="1:4">
      <c r="A57" s="3316"/>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6" sqref="F6"/>
    </sheetView>
  </sheetViews>
  <sheetFormatPr defaultColWidth="10" defaultRowHeight="18" customHeight="1"/>
  <cols>
    <col min="1" max="1" width="14.875" style="2029" customWidth="1"/>
    <col min="2" max="2" width="12.875" style="2029" customWidth="1"/>
    <col min="3" max="3" width="11.5" style="2029" customWidth="1"/>
    <col min="4" max="6" width="10" style="2029" customWidth="1"/>
    <col min="7" max="7" width="10.75" style="2029" customWidth="1"/>
    <col min="8" max="8" width="10" style="2029" customWidth="1"/>
    <col min="9" max="9" width="11.125" style="2149" customWidth="1"/>
    <col min="10" max="10" width="10" style="2029" customWidth="1"/>
    <col min="11" max="11" width="10" style="2150" customWidth="1"/>
    <col min="12" max="13" width="10" style="2151" customWidth="1"/>
    <col min="14" max="14" width="10" style="2029" customWidth="1"/>
    <col min="15" max="15" width="10" style="2149" customWidth="1"/>
    <col min="16" max="17" width="10" style="2029"/>
    <col min="18" max="18" width="10" style="2029" customWidth="1"/>
    <col min="19" max="16384" width="10" style="2029"/>
  </cols>
  <sheetData>
    <row r="1" spans="1:19" ht="38.25" customHeight="1" thickBot="1">
      <c r="A1" s="2022" t="s">
        <v>1771</v>
      </c>
      <c r="B1" s="3325" t="str">
        <f>IF(B10="北京市","北京市",C10)&amp;F10&amp;IF(结果表!G1="在建","出让国有建设用地使用权及在建建筑物",IF(结果表!G1="土地","出让国有建设用地使用权",))&amp;B9&amp;"预评估"</f>
        <v>北京市朝阳区朝阳公园西里北区5号房地产抵押价值预评估</v>
      </c>
      <c r="C1" s="3326"/>
      <c r="D1" s="3326"/>
      <c r="E1" s="3326"/>
      <c r="F1" s="3326"/>
      <c r="G1" s="3326"/>
      <c r="H1" s="3326"/>
      <c r="I1" s="332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北京市朝阳区朝阳公园西里北区5号房地产抵押价值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北京市朝阳区朝阳公园西里北区5号房地产</v>
      </c>
    </row>
    <row r="3" spans="1:19" ht="18" customHeight="1">
      <c r="A3" s="2032" t="s">
        <v>1773</v>
      </c>
      <c r="B3" s="2033">
        <v>43670</v>
      </c>
      <c r="C3" s="2034" t="s">
        <v>1774</v>
      </c>
      <c r="D3" s="2033">
        <f>B3</f>
        <v>43670</v>
      </c>
      <c r="E3" s="2023"/>
      <c r="F3" s="2023"/>
      <c r="G3" s="2023"/>
      <c r="H3" s="2023"/>
      <c r="I3" s="2023"/>
      <c r="J3" s="2023"/>
      <c r="K3" s="2024"/>
      <c r="L3" s="2025"/>
      <c r="M3" s="2025"/>
      <c r="N3" s="2026"/>
      <c r="O3" s="2027"/>
      <c r="P3" s="2026"/>
      <c r="Q3" s="2026"/>
      <c r="R3" s="2026"/>
      <c r="S3" s="2028"/>
    </row>
    <row r="4" spans="1:19" ht="18" customHeight="1" thickBot="1">
      <c r="A4" s="2035" t="s">
        <v>1775</v>
      </c>
      <c r="B4" s="2036" t="s">
        <v>3056</v>
      </c>
      <c r="C4" s="1037">
        <f ca="1">SUMIF(注册房地产估价师,B4,估价师及机构信息!B3:B24)</f>
        <v>1120070131</v>
      </c>
      <c r="D4" s="2036" t="s">
        <v>3057</v>
      </c>
      <c r="E4" s="1038">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31.5" customHeight="1" thickTop="1">
      <c r="A5" s="2041" t="s">
        <v>1776</v>
      </c>
      <c r="B5" s="2972" t="s">
        <v>3699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1" t="s">
        <v>3701</v>
      </c>
      <c r="C6" s="2045"/>
      <c r="D6" s="2046"/>
      <c r="E6" s="2031"/>
      <c r="F6" s="2039"/>
      <c r="G6" s="2039"/>
      <c r="H6" s="2039"/>
      <c r="I6" s="2039"/>
      <c r="J6" s="2039"/>
      <c r="K6" s="2047" t="str">
        <f>IF(COUNTIF(B6,"*上海银行*"),"上海银行","")</f>
        <v/>
      </c>
      <c r="L6" s="2025"/>
      <c r="M6" s="2025"/>
      <c r="N6" s="2026"/>
      <c r="O6" s="2027"/>
      <c r="P6" s="2026"/>
      <c r="Q6" s="2026"/>
      <c r="R6" s="2026"/>
    </row>
    <row r="7" spans="1:19" ht="28.5" customHeight="1">
      <c r="A7" s="2044" t="s">
        <v>1778</v>
      </c>
      <c r="B7" s="3265" t="s">
        <v>3700</v>
      </c>
      <c r="C7" s="2045"/>
      <c r="D7" s="2046"/>
      <c r="E7" s="2031"/>
      <c r="F7" s="2039"/>
      <c r="G7" s="2039"/>
      <c r="H7" s="2039"/>
      <c r="I7" s="2039"/>
      <c r="J7" s="2039"/>
      <c r="K7" s="2048"/>
      <c r="L7" s="2025"/>
      <c r="M7" s="2025"/>
      <c r="N7" s="2026"/>
      <c r="O7" s="2027"/>
      <c r="P7" s="2026"/>
      <c r="Q7" s="2026"/>
      <c r="R7" s="2026"/>
    </row>
    <row r="8" spans="1:19" ht="18" customHeight="1">
      <c r="A8" s="2044" t="s">
        <v>1779</v>
      </c>
      <c r="B8" s="2049" t="s">
        <v>3058</v>
      </c>
      <c r="C8" s="2050"/>
      <c r="D8" s="3328" t="s">
        <v>1780</v>
      </c>
      <c r="E8" s="2051" t="s">
        <v>3059</v>
      </c>
      <c r="F8" s="2052"/>
      <c r="G8" s="2023"/>
      <c r="H8" s="2023"/>
      <c r="I8" s="2023"/>
      <c r="J8" s="2039"/>
      <c r="K8" s="2040"/>
      <c r="L8" s="2025"/>
      <c r="M8" s="2025"/>
      <c r="N8" s="2026"/>
      <c r="O8" s="2027"/>
      <c r="P8" s="2026"/>
      <c r="Q8" s="2026"/>
      <c r="R8" s="2026"/>
    </row>
    <row r="9" spans="1:19" ht="18" customHeight="1" thickBot="1">
      <c r="A9" s="2037" t="s">
        <v>1781</v>
      </c>
      <c r="B9" s="2053" t="s">
        <v>3059</v>
      </c>
      <c r="C9" s="2054"/>
      <c r="D9" s="3329"/>
      <c r="E9" s="2053" t="s">
        <v>70</v>
      </c>
      <c r="F9" s="2055"/>
      <c r="G9" s="2056"/>
      <c r="H9" s="2056"/>
      <c r="I9" s="2056"/>
      <c r="J9" s="2039"/>
      <c r="K9" s="2048"/>
      <c r="L9" s="2025"/>
      <c r="M9" s="2025"/>
      <c r="N9" s="2026"/>
      <c r="O9" s="2027"/>
      <c r="P9" s="2026"/>
      <c r="Q9" s="2026"/>
      <c r="R9" s="2026"/>
    </row>
    <row r="10" spans="1:19" ht="18" customHeight="1" thickTop="1">
      <c r="A10" s="2057" t="s">
        <v>1782</v>
      </c>
      <c r="B10" s="2058" t="s">
        <v>3060</v>
      </c>
      <c r="C10" s="2059"/>
      <c r="D10" s="2043"/>
      <c r="E10" s="2060" t="s">
        <v>1783</v>
      </c>
      <c r="F10" s="2973" t="s">
        <v>3061</v>
      </c>
      <c r="G10" s="2061"/>
      <c r="H10" s="2062"/>
      <c r="I10" s="2043"/>
      <c r="J10" s="2039"/>
      <c r="K10" s="2048"/>
      <c r="L10" s="2025"/>
      <c r="M10" s="2025"/>
      <c r="N10" s="2026"/>
      <c r="O10" s="2027"/>
      <c r="P10" s="2026"/>
      <c r="Q10" s="2026"/>
      <c r="R10" s="2026"/>
    </row>
    <row r="11" spans="1:19" ht="18" customHeight="1">
      <c r="A11" s="2063" t="s">
        <v>1784</v>
      </c>
      <c r="B11" s="2064" t="s">
        <v>3062</v>
      </c>
      <c r="C11" s="2065"/>
      <c r="D11" s="2066"/>
      <c r="E11" s="2039"/>
      <c r="F11" s="2039"/>
      <c r="G11" s="2039"/>
      <c r="H11" s="2039"/>
      <c r="I11" s="2039"/>
      <c r="J11" s="2039"/>
      <c r="K11" s="2048"/>
      <c r="L11" s="2025"/>
      <c r="M11" s="2025"/>
      <c r="N11" s="2026"/>
      <c r="O11" s="2027"/>
      <c r="P11" s="2026"/>
      <c r="Q11" s="2026"/>
      <c r="R11" s="2026"/>
    </row>
    <row r="12" spans="1:19" ht="18" customHeight="1">
      <c r="A12" s="2067" t="s">
        <v>1785</v>
      </c>
      <c r="B12" s="2064" t="s">
        <v>3063</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v>63451</v>
      </c>
      <c r="E13" s="2073"/>
      <c r="F13" s="2073">
        <v>56146</v>
      </c>
      <c r="G13" s="2073">
        <v>56146</v>
      </c>
      <c r="H13" s="2073"/>
      <c r="I13" s="1047"/>
      <c r="J13" s="2039"/>
      <c r="K13" s="2048"/>
      <c r="L13" s="2025"/>
      <c r="M13" s="2025"/>
      <c r="N13" s="2026"/>
      <c r="O13" s="2027"/>
      <c r="P13" s="2026"/>
      <c r="Q13" s="2026"/>
      <c r="R13" s="2026"/>
    </row>
    <row r="14" spans="1:19" ht="18" customHeight="1">
      <c r="A14" s="2070"/>
      <c r="B14" s="2071"/>
      <c r="C14" s="2072" t="s">
        <v>1794</v>
      </c>
      <c r="D14" s="1050">
        <v>70</v>
      </c>
      <c r="E14" s="1050"/>
      <c r="F14" s="1050">
        <v>50</v>
      </c>
      <c r="G14" s="1050">
        <v>50</v>
      </c>
      <c r="H14" s="1050"/>
      <c r="I14" s="1050"/>
      <c r="J14" s="2039"/>
      <c r="K14" s="2074"/>
      <c r="L14" s="2025"/>
      <c r="M14" s="2025"/>
      <c r="N14" s="2026"/>
      <c r="O14" s="2027"/>
      <c r="P14" s="2026"/>
      <c r="Q14" s="2026"/>
      <c r="R14" s="2026"/>
    </row>
    <row r="15" spans="1:19" ht="18" customHeight="1">
      <c r="A15" s="2057"/>
      <c r="B15" s="2075"/>
      <c r="C15" s="2072" t="s">
        <v>1795</v>
      </c>
      <c r="D15" s="1049">
        <f>IF(B12="出让",IF(D13="","",ROUNDDOWN(MIN((D13-$D$3)/365,D14),2)),D14)</f>
        <v>54.19</v>
      </c>
      <c r="E15" s="1049" t="str">
        <f>IF(B12="出让",IF(E13="","",ROUNDDOWN(MIN((E13-$D$3)/365,E14),2)),E14)</f>
        <v/>
      </c>
      <c r="F15" s="1049">
        <f>IF(B12="出让",IF(F13="","",ROUNDDOWN(MIN((F13-$D$3)/365,F14),2)),F14)</f>
        <v>34.18</v>
      </c>
      <c r="G15" s="1049">
        <f>IF(B12="出让",IF(G13="","",ROUNDDOWN(MIN((G13-$D$3)/365,G14),2)),G14)</f>
        <v>34.18</v>
      </c>
      <c r="H15" s="1049" t="str">
        <f>IF(B12="出让",IF(H13="","",ROUNDDOWN(MIN((H13-$D$3)/365,H14),2)),H14)</f>
        <v/>
      </c>
      <c r="I15" s="1049" t="str">
        <f>IF(B12="出让",IF(I13="","",ROUNDDOWN(MIN((I13-$D$3)/365,I14),2)),I14)</f>
        <v/>
      </c>
      <c r="J15" s="2039"/>
      <c r="K15" s="2076"/>
      <c r="L15" s="2077"/>
      <c r="M15" s="2077"/>
      <c r="N15" s="2078"/>
      <c r="O15" s="2077"/>
      <c r="P15" s="2078"/>
      <c r="Q15" s="2026"/>
      <c r="R15" s="2026"/>
    </row>
    <row r="16" spans="1:19" ht="30.75" customHeight="1">
      <c r="A16" s="2060" t="s">
        <v>1796</v>
      </c>
      <c r="B16" s="3335" t="s">
        <v>3064</v>
      </c>
      <c r="C16" s="3336"/>
      <c r="D16" s="3337"/>
      <c r="E16" s="2974" t="s">
        <v>3067</v>
      </c>
      <c r="F16" s="3338" t="s">
        <v>3068</v>
      </c>
      <c r="G16" s="3339"/>
      <c r="H16" s="3339"/>
      <c r="I16" s="3340"/>
      <c r="J16" s="2026"/>
      <c r="K16" s="2076"/>
      <c r="L16" s="2077"/>
      <c r="M16" s="2077"/>
      <c r="N16" s="2078"/>
      <c r="O16" s="2077"/>
      <c r="P16" s="2078"/>
      <c r="Q16" s="2026"/>
      <c r="R16" s="2026"/>
    </row>
    <row r="17" spans="1:22" ht="18" customHeight="1">
      <c r="A17" s="2079" t="s">
        <v>1797</v>
      </c>
      <c r="B17" s="2975" t="s">
        <v>3069</v>
      </c>
      <c r="C17" s="2976">
        <f>'数据-汇总表'!E3</f>
        <v>24747.89</v>
      </c>
      <c r="D17" s="2977" t="s">
        <v>3070</v>
      </c>
      <c r="E17" s="3341" t="s">
        <v>3065</v>
      </c>
      <c r="F17" s="3342"/>
      <c r="G17" s="3342"/>
      <c r="H17" s="3342"/>
      <c r="I17" s="3343"/>
      <c r="J17" s="2026"/>
      <c r="K17" s="2080"/>
      <c r="L17" s="2077"/>
      <c r="M17" s="2077"/>
      <c r="N17" s="2078"/>
      <c r="O17" s="2077"/>
      <c r="P17" s="2078"/>
      <c r="Q17" s="2026"/>
      <c r="R17" s="2026"/>
      <c r="S17" s="2026"/>
      <c r="T17" s="2026"/>
      <c r="U17" s="2026"/>
      <c r="V17" s="2026"/>
    </row>
    <row r="18" spans="1:22" ht="36" customHeight="1" thickBot="1">
      <c r="A18" s="2081" t="s">
        <v>1798</v>
      </c>
      <c r="B18" s="2978" t="s">
        <v>3071</v>
      </c>
      <c r="C18" s="2979">
        <f>'数据-汇总表'!D3</f>
        <v>9464.0400000000009</v>
      </c>
      <c r="D18" s="2980" t="s">
        <v>3072</v>
      </c>
      <c r="E18" s="3344" t="s">
        <v>3066</v>
      </c>
      <c r="F18" s="3345"/>
      <c r="G18" s="3345"/>
      <c r="H18" s="3345"/>
      <c r="I18" s="3346"/>
      <c r="J18" s="2026"/>
      <c r="K18" s="2080"/>
      <c r="L18" s="2077"/>
      <c r="M18" s="2077"/>
      <c r="N18" s="2078"/>
      <c r="O18" s="2077"/>
      <c r="P18" s="2078"/>
      <c r="Q18" s="2026"/>
      <c r="R18" s="2026"/>
      <c r="S18" s="2026"/>
      <c r="T18" s="2026"/>
      <c r="U18" s="2026"/>
      <c r="V18" s="2026"/>
    </row>
    <row r="19" spans="1:22" ht="37.5" customHeight="1" thickTop="1" thickBot="1">
      <c r="A19" s="373" t="s">
        <v>1799</v>
      </c>
      <c r="B19" s="352" t="s">
        <v>1800</v>
      </c>
      <c r="C19" s="2082" t="s">
        <v>3047</v>
      </c>
      <c r="D19" s="2083" t="s">
        <v>1801</v>
      </c>
      <c r="E19" s="2084" t="s">
        <v>3073</v>
      </c>
      <c r="F19" s="2085" t="str">
        <f>IF(AND(C19="是",E19="否"),"是否提供他项权证或相关说明","")</f>
        <v>是否提供他项权证或相关说明</v>
      </c>
      <c r="G19" s="2086"/>
      <c r="H19" s="2039"/>
      <c r="I19" s="2039"/>
      <c r="J19" s="2039"/>
      <c r="K19" s="2048"/>
      <c r="L19" s="2025"/>
      <c r="M19" s="2025"/>
      <c r="N19" s="2078"/>
      <c r="O19" s="2077"/>
      <c r="P19" s="2078"/>
      <c r="Q19" s="2026"/>
      <c r="R19" s="2026"/>
      <c r="S19" s="2026"/>
      <c r="T19" s="2026"/>
      <c r="U19" s="2026"/>
      <c r="V19" s="2026"/>
    </row>
    <row r="20" spans="1:22" ht="18" customHeight="1">
      <c r="A20" s="2087" t="s">
        <v>1802</v>
      </c>
      <c r="B20" s="3331" t="s">
        <v>1803</v>
      </c>
      <c r="C20" s="3332"/>
      <c r="D20" s="3333" t="s">
        <v>1804</v>
      </c>
      <c r="E20" s="3334"/>
      <c r="F20" s="2088" t="s">
        <v>1805</v>
      </c>
      <c r="G20" s="2039"/>
      <c r="H20" s="2039"/>
      <c r="I20" s="2039"/>
      <c r="J20" s="2039"/>
      <c r="K20" s="3330" t="s">
        <v>1806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8"/>
      <c r="O20" s="2077"/>
      <c r="P20" s="2078"/>
      <c r="Q20" s="2026"/>
      <c r="R20" s="2026"/>
      <c r="S20" s="2026"/>
      <c r="T20" s="2026"/>
      <c r="U20" s="2026"/>
      <c r="V20" s="2026"/>
    </row>
    <row r="21" spans="1:22" ht="24.75" customHeight="1">
      <c r="A21" s="2087"/>
      <c r="B21" s="2089" t="s">
        <v>1807</v>
      </c>
      <c r="C21" s="2090" t="s">
        <v>3074</v>
      </c>
      <c r="D21" s="2091" t="s">
        <v>1809</v>
      </c>
      <c r="E21" s="2092" t="s">
        <v>1808</v>
      </c>
      <c r="F21" s="2093"/>
      <c r="G21" s="2039"/>
      <c r="H21" s="2039"/>
      <c r="I21" s="2039"/>
      <c r="J21" s="2039"/>
      <c r="K21" s="33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87"/>
      <c r="B22" s="2094" t="s">
        <v>1810</v>
      </c>
      <c r="C22" s="2090" t="s">
        <v>1811</v>
      </c>
      <c r="D22" s="2023"/>
      <c r="E22" s="2023"/>
      <c r="F22" s="2095"/>
      <c r="G22" s="2039"/>
      <c r="H22" s="2039"/>
      <c r="I22" s="2039"/>
      <c r="J22" s="2039"/>
      <c r="K22" s="33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6" t="s">
        <v>1812</v>
      </c>
      <c r="B23" s="183" t="s">
        <v>1813</v>
      </c>
      <c r="C23" s="2097"/>
      <c r="D23" s="2098" t="s">
        <v>1813</v>
      </c>
      <c r="E23" s="2099"/>
      <c r="F23" s="2095"/>
      <c r="G23" s="2039"/>
      <c r="H23" s="2039"/>
      <c r="I23" s="2039"/>
      <c r="J23" s="2039"/>
      <c r="K23" s="2100"/>
      <c r="L23" s="748"/>
      <c r="M23" s="2025"/>
      <c r="N23" s="2078"/>
      <c r="O23" s="2077"/>
      <c r="P23" s="2078"/>
      <c r="Q23" s="2026"/>
      <c r="R23" s="2026"/>
      <c r="S23" s="2026"/>
      <c r="T23" s="2026"/>
      <c r="U23" s="2026"/>
      <c r="V23" s="2026"/>
    </row>
    <row r="24" spans="1:22" ht="18" customHeight="1">
      <c r="A24" s="2101"/>
      <c r="B24" s="183" t="s">
        <v>1814</v>
      </c>
      <c r="C24" s="2102"/>
      <c r="D24" s="2096" t="s">
        <v>1814</v>
      </c>
      <c r="E24" s="2103"/>
      <c r="F24" s="2095"/>
      <c r="G24" s="2039"/>
      <c r="H24" s="2039"/>
      <c r="I24" s="2039"/>
      <c r="J24" s="2039"/>
      <c r="K24" s="2100"/>
      <c r="L24" s="748"/>
      <c r="M24" s="2025"/>
      <c r="N24" s="2078"/>
      <c r="O24" s="2077"/>
      <c r="P24" s="2078"/>
      <c r="Q24" s="2026"/>
      <c r="R24" s="2026"/>
      <c r="S24" s="2026"/>
      <c r="T24" s="2026"/>
      <c r="U24" s="2026"/>
      <c r="V24" s="2026"/>
    </row>
    <row r="25" spans="1:22" ht="18" customHeight="1">
      <c r="A25" s="2101"/>
      <c r="B25" s="183" t="s">
        <v>1815</v>
      </c>
      <c r="C25" s="2102"/>
      <c r="D25" s="2096" t="s">
        <v>1815</v>
      </c>
      <c r="E25" s="2103"/>
      <c r="F25" s="2095"/>
      <c r="G25" s="2039"/>
      <c r="H25" s="2039"/>
      <c r="I25" s="2039"/>
      <c r="J25" s="2039"/>
      <c r="K25" s="2048"/>
      <c r="L25" s="2025"/>
      <c r="M25" s="2025"/>
      <c r="N25" s="2078"/>
      <c r="O25" s="2077"/>
      <c r="P25" s="2078"/>
      <c r="Q25" s="2026"/>
      <c r="R25" s="2026"/>
      <c r="S25" s="2026"/>
      <c r="T25" s="2026"/>
      <c r="U25" s="2026"/>
      <c r="V25" s="2026"/>
    </row>
    <row r="26" spans="1:22" ht="18" customHeight="1" thickBot="1">
      <c r="A26" s="2104"/>
      <c r="B26" s="2105" t="s">
        <v>1816</v>
      </c>
      <c r="C26" s="2106"/>
      <c r="D26" s="2107" t="s">
        <v>1817</v>
      </c>
      <c r="E26" s="2108"/>
      <c r="F26" s="2109"/>
      <c r="G26" s="2056"/>
      <c r="H26" s="2056"/>
      <c r="I26" s="2056"/>
      <c r="J26" s="2039"/>
      <c r="K26" s="2048"/>
      <c r="L26" s="2025"/>
      <c r="M26" s="2025"/>
      <c r="N26" s="2078"/>
      <c r="O26" s="2077"/>
      <c r="P26" s="2078"/>
      <c r="Q26" s="2026"/>
      <c r="R26" s="2026"/>
      <c r="S26" s="2026"/>
      <c r="T26" s="2026"/>
      <c r="U26" s="2026"/>
      <c r="V26" s="2026"/>
    </row>
    <row r="27" spans="1:22" ht="18" customHeight="1" thickTop="1">
      <c r="A27" s="3318" t="s">
        <v>1818</v>
      </c>
      <c r="B27" s="2057" t="s">
        <v>1819</v>
      </c>
      <c r="C27" s="2110" t="s">
        <v>3075</v>
      </c>
      <c r="D27" s="2111"/>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318"/>
      <c r="B28" s="2032" t="s">
        <v>1820</v>
      </c>
      <c r="C28" s="2112" t="s">
        <v>3076</v>
      </c>
      <c r="D28" s="2981" t="s">
        <v>3077</v>
      </c>
      <c r="E28" s="2039"/>
      <c r="F28" s="2039"/>
      <c r="G28" s="2039"/>
      <c r="H28" s="2039"/>
      <c r="I28" s="2039"/>
      <c r="J28" s="2026"/>
      <c r="K28" s="2113"/>
      <c r="L28" s="2025"/>
      <c r="M28" s="2025"/>
      <c r="N28" s="2026"/>
      <c r="O28" s="2027"/>
      <c r="P28" s="2026"/>
      <c r="Q28" s="2026"/>
      <c r="R28" s="2026"/>
      <c r="S28" s="2026"/>
      <c r="T28" s="2026"/>
      <c r="U28" s="2026"/>
      <c r="V28" s="2026"/>
    </row>
    <row r="29" spans="1:22" ht="18" customHeight="1">
      <c r="A29" s="3318"/>
      <c r="B29" s="2032" t="s">
        <v>1821</v>
      </c>
      <c r="C29" s="2114" t="s">
        <v>3073</v>
      </c>
      <c r="D29" s="2115"/>
      <c r="E29" s="2039"/>
      <c r="F29" s="2039"/>
      <c r="G29" s="2039"/>
      <c r="H29" s="2039"/>
      <c r="I29" s="2039"/>
      <c r="J29" s="2026"/>
      <c r="K29" s="2113"/>
      <c r="L29" s="2025"/>
      <c r="M29" s="2025"/>
      <c r="N29" s="2026"/>
      <c r="O29" s="2027"/>
      <c r="P29" s="2026"/>
      <c r="Q29" s="2026"/>
      <c r="R29" s="2026"/>
      <c r="S29" s="2026"/>
      <c r="T29" s="2026"/>
      <c r="U29" s="2026"/>
      <c r="V29" s="2026"/>
    </row>
    <row r="30" spans="1:22" ht="18" customHeight="1">
      <c r="A30" s="3319"/>
      <c r="B30" s="2032" t="s">
        <v>1822</v>
      </c>
      <c r="C30" s="3320"/>
      <c r="D30" s="3321"/>
      <c r="E30" s="2039"/>
      <c r="F30" s="2039"/>
      <c r="G30" s="2039"/>
      <c r="H30" s="2039"/>
      <c r="I30" s="2039"/>
      <c r="J30" s="2026"/>
      <c r="K30" s="2113"/>
      <c r="L30" s="2025"/>
      <c r="M30" s="2025"/>
      <c r="N30" s="2026"/>
      <c r="O30" s="2027"/>
      <c r="P30" s="2026"/>
      <c r="Q30" s="2026"/>
      <c r="R30" s="2026"/>
      <c r="S30" s="2026"/>
      <c r="T30" s="2026"/>
      <c r="U30" s="2026"/>
      <c r="V30" s="2026"/>
    </row>
    <row r="31" spans="1:22" ht="18" customHeight="1">
      <c r="A31" s="3322" t="s">
        <v>1823</v>
      </c>
      <c r="B31" s="2116" t="s">
        <v>3078</v>
      </c>
      <c r="C31" s="2117" t="str">
        <f>IF(B31="现房","成新及维护状况正常否",IF(B31="在建","工程状态是否正常",IF(B31="土地","是否闲置","-")))</f>
        <v>成新及维护状况正常否</v>
      </c>
      <c r="D31" s="2118"/>
      <c r="E31" s="2119"/>
      <c r="F31" s="2039"/>
      <c r="G31" s="2039"/>
      <c r="H31" s="2039"/>
      <c r="I31" s="2039"/>
      <c r="J31" s="2039"/>
      <c r="K31" s="2047"/>
      <c r="L31" s="2025"/>
      <c r="M31" s="2025"/>
      <c r="N31" s="2026"/>
      <c r="O31" s="2027"/>
      <c r="P31" s="2026"/>
      <c r="Q31" s="2026"/>
      <c r="R31" s="2026"/>
      <c r="S31" s="2026"/>
      <c r="T31" s="2026"/>
      <c r="U31" s="2026"/>
      <c r="V31" s="2026"/>
    </row>
    <row r="32" spans="1:22" ht="18" customHeight="1">
      <c r="A32" s="3323"/>
      <c r="B32" s="2116"/>
      <c r="C32" s="2117" t="str">
        <f>IF(B32="现房","成新及维护状况是否正常",IF(B32="在建","工程状态是否正常",IF(B32="土地","是否闲置","-")))</f>
        <v>-</v>
      </c>
      <c r="D32" s="2118"/>
      <c r="E32" s="2119"/>
      <c r="F32" s="2039"/>
      <c r="G32" s="2039"/>
      <c r="H32" s="2039"/>
      <c r="I32" s="2039"/>
      <c r="J32" s="2039"/>
      <c r="K32" s="2048"/>
      <c r="L32" s="2025"/>
      <c r="M32" s="2025"/>
      <c r="N32" s="2026"/>
      <c r="O32" s="2027"/>
      <c r="P32" s="2026"/>
      <c r="Q32" s="2026"/>
      <c r="R32" s="2026"/>
      <c r="S32" s="2026"/>
      <c r="T32" s="2026"/>
      <c r="U32" s="2026"/>
      <c r="V32" s="2026"/>
    </row>
    <row r="33" spans="1:22" ht="18" customHeight="1">
      <c r="A33" s="3323"/>
      <c r="B33" s="2120"/>
      <c r="C33" s="2063" t="str">
        <f>IF(B33="现房","成新及维护状况是否正常",IF(B33="在建","工程状态是否正常",IF(B33="土地","是否闲置","-")))</f>
        <v>-</v>
      </c>
      <c r="D33" s="2121"/>
      <c r="E33" s="2122"/>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3" t="s">
        <v>3079</v>
      </c>
      <c r="C34" s="2123" t="s">
        <v>3080</v>
      </c>
      <c r="D34" s="2123" t="s">
        <v>3081</v>
      </c>
      <c r="E34" s="2123" t="s">
        <v>3082</v>
      </c>
      <c r="F34" s="2123" t="s">
        <v>3083</v>
      </c>
      <c r="G34" s="2123" t="s">
        <v>3084</v>
      </c>
      <c r="H34" s="2123" t="s">
        <v>3086</v>
      </c>
      <c r="I34" s="2039"/>
      <c r="J34" s="2039"/>
      <c r="K34" s="1793">
        <f>COUNTIF(B34:H34,"——")</f>
        <v>0</v>
      </c>
      <c r="L34" s="2068" t="s">
        <v>1825</v>
      </c>
      <c r="M34" s="2068" t="s">
        <v>1826</v>
      </c>
      <c r="N34" s="2068" t="s">
        <v>1827</v>
      </c>
      <c r="O34" s="2068" t="s">
        <v>1828</v>
      </c>
      <c r="P34" s="2068" t="s">
        <v>1829</v>
      </c>
      <c r="Q34" s="2068" t="s">
        <v>1830</v>
      </c>
      <c r="R34" s="2068" t="s">
        <v>1831</v>
      </c>
      <c r="S34" s="3317" t="s">
        <v>1832</v>
      </c>
      <c r="T34" s="2124" t="str">
        <f>NUMBERSTRING(7-K34,1)&amp;"通"</f>
        <v>七通</v>
      </c>
      <c r="U34" s="2026"/>
      <c r="V34" s="2026"/>
    </row>
    <row r="35" spans="1:22" ht="18" customHeight="1">
      <c r="A35" s="2125"/>
      <c r="B35" s="3324" t="s">
        <v>1833</v>
      </c>
      <c r="C35" s="3324"/>
      <c r="D35" s="3324"/>
      <c r="E35" s="3324"/>
      <c r="F35" s="2126">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317"/>
      <c r="T35" s="48" t="str">
        <f>IF(T34="一通",L35,IF(T34="二通",M35,IF(T34="三通",N35,IF(T34="四通",O35,IF(T34="五通",P35,IF(T34="六通",Q35,R35))))))</f>
        <v>通路、通电、通讯、通上水、通下水、通热、燃气</v>
      </c>
      <c r="U35" s="2026"/>
      <c r="V35" s="2026"/>
    </row>
    <row r="36" spans="1:22" ht="18" customHeight="1">
      <c r="A36" s="2127"/>
      <c r="B36" s="2126" t="s">
        <v>1834</v>
      </c>
      <c r="C36" s="2126" t="s">
        <v>1835</v>
      </c>
      <c r="D36" s="2126" t="s">
        <v>1836</v>
      </c>
      <c r="E36" s="2126" t="s">
        <v>1837</v>
      </c>
      <c r="F36" s="2128"/>
      <c r="G36" s="2039"/>
      <c r="H36" s="2039"/>
      <c r="I36" s="2039"/>
      <c r="J36" s="2039"/>
      <c r="K36" s="2048"/>
      <c r="L36" s="2025"/>
      <c r="M36" s="2025"/>
      <c r="N36" s="2026"/>
      <c r="O36" s="2027"/>
      <c r="P36" s="2026"/>
      <c r="Q36" s="2026"/>
      <c r="R36" s="2026"/>
      <c r="S36" s="2026"/>
      <c r="T36" s="2026"/>
      <c r="U36" s="2026"/>
      <c r="V36" s="2026"/>
    </row>
    <row r="37" spans="1:22" ht="18" customHeight="1">
      <c r="A37" s="2129" t="s">
        <v>1838</v>
      </c>
      <c r="B37" s="2130" t="s">
        <v>269</v>
      </c>
      <c r="C37" s="2130" t="s">
        <v>269</v>
      </c>
      <c r="D37" s="2130" t="s">
        <v>269</v>
      </c>
      <c r="E37" s="2130"/>
      <c r="F37" s="2128"/>
      <c r="G37" s="2039"/>
      <c r="H37" s="2039"/>
      <c r="I37" s="2039"/>
      <c r="J37" s="2039"/>
      <c r="K37" s="2048"/>
      <c r="L37" s="2025"/>
      <c r="M37" s="2025"/>
      <c r="N37" s="2026"/>
      <c r="O37" s="2027"/>
      <c r="P37" s="2026"/>
      <c r="Q37" s="2026"/>
      <c r="R37" s="2026"/>
      <c r="S37" s="2026"/>
      <c r="T37" s="2026"/>
      <c r="U37" s="2026"/>
      <c r="V37" s="2026"/>
    </row>
    <row r="38" spans="1:22" ht="18" customHeight="1" thickBot="1">
      <c r="A38" s="2131" t="s">
        <v>1839</v>
      </c>
      <c r="B38" s="2132"/>
      <c r="C38" s="2132" t="s">
        <v>333</v>
      </c>
      <c r="D38" s="2132" t="s">
        <v>333</v>
      </c>
      <c r="E38" s="2132"/>
      <c r="F38" s="2133"/>
      <c r="G38" s="2056"/>
      <c r="H38" s="2056"/>
      <c r="I38" s="2056"/>
      <c r="J38" s="2039"/>
      <c r="K38" s="2048"/>
      <c r="L38" s="2025"/>
      <c r="M38" s="2025"/>
      <c r="N38" s="2026"/>
      <c r="O38" s="2027"/>
      <c r="P38" s="2026"/>
      <c r="Q38" s="2026"/>
      <c r="R38" s="2026"/>
      <c r="S38" s="2026"/>
      <c r="T38" s="2026"/>
      <c r="U38" s="2026"/>
      <c r="V38" s="2026"/>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6"/>
      <c r="B40" s="2026"/>
      <c r="C40" s="2026"/>
      <c r="D40" s="2026"/>
      <c r="E40" s="2026"/>
      <c r="F40" s="2026"/>
      <c r="G40" s="2026"/>
      <c r="H40" s="2026"/>
      <c r="I40" s="2139"/>
      <c r="J40" s="2078"/>
      <c r="K40" s="666"/>
      <c r="L40" s="2077"/>
      <c r="M40" s="2077"/>
      <c r="N40" s="2078"/>
      <c r="O40" s="2077"/>
      <c r="P40" s="2026"/>
      <c r="Q40" s="2026"/>
      <c r="R40" s="2026"/>
      <c r="S40" s="2026"/>
      <c r="T40" s="2026"/>
      <c r="U40" s="2026"/>
      <c r="V40" s="2026"/>
    </row>
    <row r="41" spans="1:22" ht="18" customHeight="1">
      <c r="A41" s="8" t="s">
        <v>1841</v>
      </c>
      <c r="B41" s="2140"/>
      <c r="C41" s="2141"/>
      <c r="D41" s="2026"/>
      <c r="E41" s="2026"/>
      <c r="F41" s="2026"/>
      <c r="G41" s="2026"/>
      <c r="H41" s="2026"/>
      <c r="I41" s="2027"/>
      <c r="J41" s="2026"/>
      <c r="K41" s="2113"/>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2"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Y13" activePane="bottomRight" state="frozen"/>
      <selection activeCell="C50" sqref="C50"/>
      <selection pane="topRight" activeCell="C50" sqref="C50"/>
      <selection pane="bottomLeft" activeCell="C50" sqref="C50"/>
      <selection pane="bottomRight" activeCell="AY5" sqref="AY5"/>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0" width="9.5" style="2149" customWidth="1"/>
    <col min="41" max="45" width="9.5" style="2149" hidden="1" customWidth="1"/>
    <col min="46"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3"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1865</v>
      </c>
      <c r="AZ2" s="1269"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9464.0400000000009</v>
      </c>
      <c r="B3" s="14">
        <f>IF(C3="否",G5-AT5,G5)</f>
        <v>24747.89</v>
      </c>
      <c r="C3" s="2158" t="s">
        <v>3073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1868</v>
      </c>
      <c r="B5" s="1801"/>
      <c r="C5" s="1801"/>
      <c r="D5" s="1804"/>
      <c r="E5" s="16" t="s">
        <v>1</v>
      </c>
      <c r="F5" s="16">
        <f>SUM(F13:F587)</f>
        <v>0</v>
      </c>
      <c r="G5" s="16">
        <f>SUM(G13:G587)</f>
        <v>27085.279999999999</v>
      </c>
      <c r="H5" s="16">
        <f t="shared" ref="H5:AT5" si="0">SUM(H13:H656)</f>
        <v>24366.799999999999</v>
      </c>
      <c r="I5" s="16">
        <f t="shared" si="0"/>
        <v>20189.89</v>
      </c>
      <c r="J5" s="16">
        <f t="shared" si="0"/>
        <v>0</v>
      </c>
      <c r="K5" s="16">
        <f t="shared" si="0"/>
        <v>794.62</v>
      </c>
      <c r="L5" s="16">
        <f t="shared" si="0"/>
        <v>0</v>
      </c>
      <c r="M5" s="16">
        <f t="shared" si="0"/>
        <v>3382.29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381.09000000000003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12.85</v>
      </c>
      <c r="AM5" s="16">
        <f t="shared" si="0"/>
        <v>0</v>
      </c>
      <c r="AN5" s="16">
        <f t="shared" si="0"/>
        <v>368.24</v>
      </c>
      <c r="AO5" s="16">
        <f t="shared" si="0"/>
        <v>0</v>
      </c>
      <c r="AP5" s="16">
        <f t="shared" si="0"/>
        <v>0</v>
      </c>
      <c r="AQ5" s="16">
        <f t="shared" si="0"/>
        <v>0</v>
      </c>
      <c r="AR5" s="16">
        <f t="shared" si="0"/>
        <v>0</v>
      </c>
      <c r="AS5" s="16">
        <f t="shared" si="0"/>
        <v>0</v>
      </c>
      <c r="AT5" s="16">
        <f t="shared" si="0"/>
        <v>2337.39</v>
      </c>
      <c r="AU5" s="1800"/>
      <c r="AV5" s="15" t="s">
        <v>1868</v>
      </c>
      <c r="AW5" s="1801"/>
      <c r="AX5" s="1801"/>
      <c r="AY5" s="17" t="s">
        <v>3</v>
      </c>
      <c r="AZ5" s="18">
        <f t="shared" ref="AZ5:BT5" si="1">SUM(AZ13:AZ656)</f>
        <v>24747.89</v>
      </c>
      <c r="BA5" s="18">
        <f t="shared" si="1"/>
        <v>24366.799999999999</v>
      </c>
      <c r="BB5" s="18">
        <f t="shared" si="1"/>
        <v>20189.89</v>
      </c>
      <c r="BC5" s="18">
        <f t="shared" si="1"/>
        <v>794.62</v>
      </c>
      <c r="BD5" s="18">
        <f t="shared" si="1"/>
        <v>3382.29</v>
      </c>
      <c r="BE5" s="18">
        <f t="shared" si="1"/>
        <v>0</v>
      </c>
      <c r="BF5" s="18">
        <f t="shared" si="1"/>
        <v>0</v>
      </c>
      <c r="BG5" s="18">
        <f t="shared" si="1"/>
        <v>0</v>
      </c>
      <c r="BH5" s="18">
        <f t="shared" si="1"/>
        <v>0</v>
      </c>
      <c r="BI5" s="18">
        <f t="shared" si="1"/>
        <v>0</v>
      </c>
      <c r="BJ5" s="18">
        <f t="shared" si="1"/>
        <v>0</v>
      </c>
      <c r="BK5" s="18">
        <f t="shared" si="1"/>
        <v>0</v>
      </c>
      <c r="BL5" s="18">
        <f t="shared" si="1"/>
        <v>381.09000000000003</v>
      </c>
      <c r="BM5" s="18">
        <f t="shared" si="1"/>
        <v>0</v>
      </c>
      <c r="BN5" s="18">
        <f t="shared" si="1"/>
        <v>0</v>
      </c>
      <c r="BO5" s="18">
        <f t="shared" si="1"/>
        <v>0</v>
      </c>
      <c r="BP5" s="18">
        <f t="shared" si="1"/>
        <v>0</v>
      </c>
      <c r="BQ5" s="18">
        <f t="shared" si="1"/>
        <v>12.85</v>
      </c>
      <c r="BR5" s="18">
        <f t="shared" si="1"/>
        <v>368.24</v>
      </c>
      <c r="BS5" s="18">
        <f t="shared" si="1"/>
        <v>0</v>
      </c>
      <c r="BT5" s="19">
        <f t="shared" si="1"/>
        <v>0</v>
      </c>
    </row>
    <row r="6" spans="1:72" s="2167" customFormat="1" ht="12.75">
      <c r="A6" s="15" t="s">
        <v>1869</v>
      </c>
      <c r="B6" s="2164"/>
      <c r="C6" s="2164"/>
      <c r="D6" s="2165"/>
      <c r="E6" s="16">
        <f>H6+AC6+AT6</f>
        <v>9464.0399999999991</v>
      </c>
      <c r="F6" s="16" t="s">
        <v>1</v>
      </c>
      <c r="G6" s="16" t="s">
        <v>2</v>
      </c>
      <c r="H6" s="20">
        <f>SUMIF(I$12:AB$12,"总值",I6:AB6)</f>
        <v>9318.31</v>
      </c>
      <c r="I6" s="16">
        <f t="shared" ref="I6:AB6" si="2">ROUND($A$3*I5/$B$3,2)</f>
        <v>7720.98</v>
      </c>
      <c r="J6" s="16">
        <f t="shared" si="2"/>
        <v>0</v>
      </c>
      <c r="K6" s="16">
        <f t="shared" si="2"/>
        <v>303.88</v>
      </c>
      <c r="L6" s="16">
        <f t="shared" si="2"/>
        <v>0</v>
      </c>
      <c r="M6" s="16">
        <f t="shared" si="2"/>
        <v>1293.45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145.72999999999999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v>
      </c>
      <c r="AM6" s="16">
        <f t="shared" si="3"/>
        <v>0</v>
      </c>
      <c r="AN6" s="16">
        <f t="shared" si="3"/>
        <v>140.82</v>
      </c>
      <c r="AO6" s="16">
        <f t="shared" si="3"/>
        <v>0</v>
      </c>
      <c r="AP6" s="16">
        <f t="shared" si="3"/>
        <v>0</v>
      </c>
      <c r="AQ6" s="16">
        <f t="shared" si="3"/>
        <v>0</v>
      </c>
      <c r="AR6" s="16">
        <f t="shared" si="3"/>
        <v>0</v>
      </c>
      <c r="AS6" s="16">
        <f t="shared" si="3"/>
        <v>0</v>
      </c>
      <c r="AT6" s="20">
        <f>IF(C3="是",ROUND($A$3*AT5/$B$3,2),0)</f>
        <v>0</v>
      </c>
      <c r="AU6" s="2166"/>
      <c r="AV6" s="15" t="s">
        <v>1869</v>
      </c>
      <c r="AW6" s="2164"/>
      <c r="AX6" s="2164"/>
      <c r="AY6" s="21">
        <f>IF(AY3&gt;0,AY3,ROUND($A$3*AZ5/$B$3,2))</f>
        <v>9464.0400000000009</v>
      </c>
      <c r="AZ6" s="16" t="s">
        <v>3</v>
      </c>
      <c r="BA6" s="16">
        <f>ROUND($AY$6*BA5/$AZ$5,2)</f>
        <v>9318.2999999999993</v>
      </c>
      <c r="BB6" s="16">
        <f>ROUND($AY$6*BB5/$AZ$5,2)</f>
        <v>7720.98</v>
      </c>
      <c r="BC6" s="16">
        <f t="shared" ref="BC6:BH6" si="4">ROUND($AY$6*BC5/$AZ$5,2)</f>
        <v>303.88</v>
      </c>
      <c r="BD6" s="16">
        <f t="shared" si="4"/>
        <v>1293.45</v>
      </c>
      <c r="BE6" s="16">
        <f t="shared" si="4"/>
        <v>0</v>
      </c>
      <c r="BF6" s="16">
        <f t="shared" si="4"/>
        <v>0</v>
      </c>
      <c r="BG6" s="16">
        <f t="shared" si="4"/>
        <v>0</v>
      </c>
      <c r="BH6" s="16">
        <f t="shared" si="4"/>
        <v>0</v>
      </c>
      <c r="BI6" s="16">
        <f t="shared" ref="BI6:BT6" si="5">ROUND($AY$6*BI5/$AZ$5,2)</f>
        <v>0</v>
      </c>
      <c r="BJ6" s="16">
        <f t="shared" si="5"/>
        <v>0</v>
      </c>
      <c r="BK6" s="16">
        <f t="shared" si="5"/>
        <v>0</v>
      </c>
      <c r="BL6" s="16">
        <f t="shared" si="5"/>
        <v>145.74</v>
      </c>
      <c r="BM6" s="16">
        <f t="shared" si="5"/>
        <v>0</v>
      </c>
      <c r="BN6" s="16">
        <f t="shared" si="5"/>
        <v>0</v>
      </c>
      <c r="BO6" s="16">
        <f t="shared" si="5"/>
        <v>0</v>
      </c>
      <c r="BP6" s="16">
        <f t="shared" si="5"/>
        <v>0</v>
      </c>
      <c r="BQ6" s="16">
        <f t="shared" si="5"/>
        <v>4.91</v>
      </c>
      <c r="BR6" s="16">
        <f t="shared" si="5"/>
        <v>140.82</v>
      </c>
      <c r="BS6" s="16">
        <f t="shared" si="5"/>
        <v>0</v>
      </c>
      <c r="BT6" s="22">
        <f t="shared" si="5"/>
        <v>0</v>
      </c>
    </row>
    <row r="7" spans="1:72" s="2157" customFormat="1" ht="24.75">
      <c r="A7" s="2100" t="s">
        <v>1870</v>
      </c>
      <c r="B7" s="2100" t="s">
        <v>1871</v>
      </c>
      <c r="C7" s="2100" t="s">
        <v>1872</v>
      </c>
      <c r="D7" s="2100" t="s">
        <v>1873</v>
      </c>
      <c r="E7" s="2100" t="s">
        <v>1874</v>
      </c>
      <c r="F7" s="2100" t="s">
        <v>1875</v>
      </c>
      <c r="G7" s="2168" t="s">
        <v>1876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4"/>
      <c r="AU7" s="2169" t="s">
        <v>1877</v>
      </c>
      <c r="AV7" s="23" t="s">
        <v>1878</v>
      </c>
      <c r="AW7" s="2156" t="s">
        <v>1879</v>
      </c>
      <c r="AX7" s="23" t="s">
        <v>1872</v>
      </c>
      <c r="AY7" s="1801" t="s">
        <v>1880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1881</v>
      </c>
      <c r="H8" s="2174" t="s">
        <v>1882</v>
      </c>
      <c r="I8" s="2175"/>
      <c r="J8" s="1816"/>
      <c r="K8" s="1816"/>
      <c r="L8" s="1816"/>
      <c r="M8" s="1816"/>
      <c r="N8" s="1816"/>
      <c r="O8" s="1816"/>
      <c r="P8" s="1816"/>
      <c r="Q8" s="1816"/>
      <c r="R8" s="1816"/>
      <c r="S8" s="1816"/>
      <c r="T8" s="1816"/>
      <c r="U8" s="1816"/>
      <c r="V8" s="2176"/>
      <c r="W8" s="1816"/>
      <c r="X8" s="1816"/>
      <c r="Y8" s="1816"/>
      <c r="Z8" s="1816"/>
      <c r="AA8" s="2176"/>
      <c r="AB8" s="2177"/>
      <c r="AC8" s="981" t="s">
        <v>1883</v>
      </c>
      <c r="AD8" s="2178"/>
      <c r="AE8" s="2170"/>
      <c r="AF8" s="1816"/>
      <c r="AG8" s="1816"/>
      <c r="AH8" s="1816"/>
      <c r="AI8" s="1816"/>
      <c r="AJ8" s="1816"/>
      <c r="AK8" s="1816"/>
      <c r="AL8" s="1816"/>
      <c r="AM8" s="1816"/>
      <c r="AN8" s="1816"/>
      <c r="AO8" s="1816"/>
      <c r="AP8" s="1816"/>
      <c r="AQ8" s="1816"/>
      <c r="AR8" s="1816"/>
      <c r="AS8" s="1816"/>
      <c r="AT8" s="1291" t="s">
        <v>1884</v>
      </c>
      <c r="AU8" s="2172" t="s">
        <v>1885</v>
      </c>
      <c r="AV8" s="1291"/>
      <c r="AW8" s="2155"/>
      <c r="AX8" s="1291"/>
      <c r="AY8" s="2156"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9" customFormat="1" ht="12.75">
      <c r="A9" s="2172"/>
      <c r="B9" s="2172"/>
      <c r="C9" s="2172"/>
      <c r="D9" s="2172"/>
      <c r="E9" s="2172"/>
      <c r="F9" s="2172"/>
      <c r="G9" s="1291"/>
      <c r="H9" s="2180" t="s">
        <v>1888</v>
      </c>
      <c r="I9" s="2181" t="s">
        <v>3045</v>
      </c>
      <c r="J9" s="981"/>
      <c r="K9" s="2181" t="s">
        <v>3049</v>
      </c>
      <c r="L9" s="981"/>
      <c r="M9" s="2181" t="s">
        <v>3049</v>
      </c>
      <c r="N9" s="981"/>
      <c r="O9" s="2181"/>
      <c r="P9" s="981"/>
      <c r="Q9" s="2181"/>
      <c r="R9" s="981"/>
      <c r="S9" s="2181"/>
      <c r="T9" s="981"/>
      <c r="U9" s="2181"/>
      <c r="V9" s="981"/>
      <c r="W9" s="2181"/>
      <c r="X9" s="2182"/>
      <c r="Y9" s="2181"/>
      <c r="Z9" s="981"/>
      <c r="AA9" s="2181"/>
      <c r="AB9" s="981"/>
      <c r="AC9" s="2173"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3"/>
      <c r="AT9" s="2172"/>
      <c r="AU9" s="2172" t="s">
        <v>1891</v>
      </c>
      <c r="AV9" s="1291"/>
      <c r="AW9" s="2155"/>
      <c r="AX9" s="1291"/>
      <c r="AY9" s="28"/>
      <c r="AZ9" s="28" t="s">
        <v>1881</v>
      </c>
      <c r="BA9" s="2184" t="s">
        <v>1892</v>
      </c>
      <c r="BB9" s="2185"/>
      <c r="BC9" s="1337"/>
      <c r="BD9" s="1337"/>
      <c r="BE9" s="1337"/>
      <c r="BF9" s="1337"/>
      <c r="BG9" s="1337"/>
      <c r="BH9" s="1337"/>
      <c r="BI9" s="1337"/>
      <c r="BJ9" s="1337"/>
      <c r="BK9" s="2186"/>
      <c r="BL9" s="15" t="s">
        <v>1893</v>
      </c>
      <c r="BM9" s="1816"/>
      <c r="BN9" s="2175"/>
      <c r="BO9" s="1816"/>
      <c r="BP9" s="1816"/>
      <c r="BQ9" s="1816"/>
      <c r="BR9" s="1816"/>
      <c r="BS9" s="1816"/>
      <c r="BT9" s="26"/>
    </row>
    <row r="10" spans="1:72" s="2179" customFormat="1" ht="12.75">
      <c r="A10" s="2172"/>
      <c r="B10" s="2172"/>
      <c r="C10" s="2172"/>
      <c r="D10" s="2172"/>
      <c r="E10" s="2172"/>
      <c r="F10" s="2172"/>
      <c r="G10" s="1291"/>
      <c r="H10" s="28"/>
      <c r="I10" s="2181" t="s">
        <v>3046</v>
      </c>
      <c r="J10" s="981"/>
      <c r="K10" s="2187" t="s">
        <v>27</v>
      </c>
      <c r="L10" s="981"/>
      <c r="M10" s="2187" t="s">
        <v>3052</v>
      </c>
      <c r="N10" s="981"/>
      <c r="O10" s="2187"/>
      <c r="P10" s="981"/>
      <c r="Q10" s="2187"/>
      <c r="R10" s="981"/>
      <c r="S10" s="2187"/>
      <c r="T10" s="981"/>
      <c r="U10" s="2187"/>
      <c r="V10" s="981"/>
      <c r="W10" s="2187"/>
      <c r="X10" s="981"/>
      <c r="Y10" s="2187"/>
      <c r="Z10" s="981"/>
      <c r="AA10" s="2187"/>
      <c r="AB10" s="981"/>
      <c r="AC10" s="1291"/>
      <c r="AD10" s="15" t="s">
        <v>1894</v>
      </c>
      <c r="AE10" s="2188"/>
      <c r="AF10" s="15" t="s">
        <v>1894</v>
      </c>
      <c r="AG10" s="2188"/>
      <c r="AH10" s="15" t="s">
        <v>1895</v>
      </c>
      <c r="AI10" s="2188"/>
      <c r="AJ10" s="15" t="s">
        <v>1895</v>
      </c>
      <c r="AK10" s="2188"/>
      <c r="AL10" s="15" t="s">
        <v>1896</v>
      </c>
      <c r="AM10" s="1297"/>
      <c r="AN10" s="15" t="s">
        <v>1896</v>
      </c>
      <c r="AO10" s="1297"/>
      <c r="AP10" s="15" t="s">
        <v>1897</v>
      </c>
      <c r="AQ10" s="1297"/>
      <c r="AR10" s="15" t="s">
        <v>1897</v>
      </c>
      <c r="AS10" s="1297"/>
      <c r="AT10" s="2172"/>
      <c r="AU10" s="2172"/>
      <c r="AV10" s="1291"/>
      <c r="AW10" s="2155"/>
      <c r="AX10" s="1291"/>
      <c r="AY10" s="28"/>
      <c r="AZ10" s="28"/>
      <c r="BA10" s="2189" t="s">
        <v>1888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1" t="str">
        <f>AR9</f>
        <v>地下</v>
      </c>
    </row>
    <row r="11" spans="1:72" s="2179" customFormat="1" ht="12.75">
      <c r="A11" s="2172"/>
      <c r="B11" s="2172"/>
      <c r="C11" s="2172"/>
      <c r="D11" s="2172"/>
      <c r="E11" s="2172"/>
      <c r="F11" s="2172"/>
      <c r="G11" s="1291"/>
      <c r="H11" s="2189"/>
      <c r="I11" s="2192" t="s">
        <v>3048</v>
      </c>
      <c r="J11" s="2193"/>
      <c r="K11" s="2192" t="s">
        <v>3050</v>
      </c>
      <c r="L11" s="2193"/>
      <c r="M11" s="2192" t="s">
        <v>3052</v>
      </c>
      <c r="N11" s="2193"/>
      <c r="O11" s="2192"/>
      <c r="P11" s="2193"/>
      <c r="Q11" s="2192"/>
      <c r="R11" s="2193"/>
      <c r="S11" s="2192"/>
      <c r="T11" s="2193"/>
      <c r="U11" s="2192"/>
      <c r="V11" s="2193"/>
      <c r="W11" s="2192"/>
      <c r="X11" s="2193"/>
      <c r="Y11" s="2192"/>
      <c r="Z11" s="2193"/>
      <c r="AA11" s="2192"/>
      <c r="AB11" s="2193"/>
      <c r="AC11" s="1291"/>
      <c r="AD11" s="2194" t="s">
        <v>1898</v>
      </c>
      <c r="AE11" s="1817"/>
      <c r="AF11" s="2194" t="s">
        <v>1898</v>
      </c>
      <c r="AG11" s="1817"/>
      <c r="AH11" s="2194" t="s">
        <v>1899</v>
      </c>
      <c r="AI11" s="2195"/>
      <c r="AJ11" s="2194" t="s">
        <v>1899</v>
      </c>
      <c r="AK11" s="1817"/>
      <c r="AL11" s="1815"/>
      <c r="AM11" s="1817"/>
      <c r="AN11" s="1815"/>
      <c r="AO11" s="1817"/>
      <c r="AP11" s="1815"/>
      <c r="AQ11" s="1817"/>
      <c r="AR11" s="1815"/>
      <c r="AS11" s="1817"/>
      <c r="AT11" s="2155"/>
      <c r="AU11" s="2172"/>
      <c r="AV11" s="1291"/>
      <c r="AW11" s="2155"/>
      <c r="AX11" s="1291"/>
      <c r="AY11" s="28"/>
      <c r="AZ11" s="28"/>
      <c r="BA11" s="28"/>
      <c r="BB11" s="2177" t="str">
        <f>I10</f>
        <v>住宅</v>
      </c>
      <c r="BC11" s="2177" t="str">
        <f>K10</f>
        <v>办公</v>
      </c>
      <c r="BD11" s="2177" t="str">
        <f>M10</f>
        <v>车库</v>
      </c>
      <c r="BE11" s="2177">
        <f>O10</f>
        <v>0</v>
      </c>
      <c r="BF11" s="2177">
        <f>Q10</f>
        <v>0</v>
      </c>
      <c r="BG11" s="2177">
        <f>S10</f>
        <v>0</v>
      </c>
      <c r="BH11" s="2177">
        <f>U10</f>
        <v>0</v>
      </c>
      <c r="BI11" s="2177">
        <f>W10</f>
        <v>0</v>
      </c>
      <c r="BJ11" s="2177">
        <f>Y10</f>
        <v>0</v>
      </c>
      <c r="BK11" s="2177">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199"/>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7" t="s">
        <v>1901</v>
      </c>
      <c r="AT12" s="2200"/>
      <c r="AU12" s="2197"/>
      <c r="AV12" s="31"/>
      <c r="AW12" s="2156"/>
      <c r="AX12" s="31"/>
      <c r="AY12" s="2201"/>
      <c r="AZ12" s="28"/>
      <c r="BA12" s="2189"/>
      <c r="BB12" s="24" t="str">
        <f>I11</f>
        <v>公寓</v>
      </c>
      <c r="BC12" s="2202" t="str">
        <f>K11</f>
        <v>会所</v>
      </c>
      <c r="BD12" s="2202" t="str">
        <f>M11</f>
        <v>车库</v>
      </c>
      <c r="BE12" s="2177">
        <f>O11</f>
        <v>0</v>
      </c>
      <c r="BF12" s="2177">
        <f>Q11</f>
        <v>0</v>
      </c>
      <c r="BG12" s="2177">
        <f>S11</f>
        <v>0</v>
      </c>
      <c r="BH12" s="2177">
        <f>U11</f>
        <v>0</v>
      </c>
      <c r="BI12" s="2177">
        <f>W11</f>
        <v>0</v>
      </c>
      <c r="BJ12" s="2177">
        <f>Y11</f>
        <v>0</v>
      </c>
      <c r="BK12" s="2177">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c r="D13" s="2203" t="s">
        <v>3047</v>
      </c>
      <c r="E13" s="16">
        <f>IF($C$3="是",ROUND($A$3*G13/$B$3,2),ROUND($A$3*(G13-AT13)/$B$3,2))</f>
        <v>9464.0400000000009</v>
      </c>
      <c r="F13" s="32"/>
      <c r="G13" s="33">
        <f>H13+AC13+AT13</f>
        <v>27085.279999999999</v>
      </c>
      <c r="H13" s="20">
        <f>SUMIF(I$12:AB$12,"总值",I13:AB13)</f>
        <v>24366.799999999999</v>
      </c>
      <c r="I13" s="2204">
        <v>20189.89</v>
      </c>
      <c r="J13" s="2204"/>
      <c r="K13" s="2204">
        <v>794.62</v>
      </c>
      <c r="L13" s="2204"/>
      <c r="M13" s="2204">
        <v>3382.29</v>
      </c>
      <c r="N13" s="2204"/>
      <c r="O13" s="2204"/>
      <c r="P13" s="2204"/>
      <c r="Q13" s="2204"/>
      <c r="R13" s="2204"/>
      <c r="S13" s="2204"/>
      <c r="T13" s="2204"/>
      <c r="U13" s="2204"/>
      <c r="V13" s="2204"/>
      <c r="W13" s="2204"/>
      <c r="X13" s="2204"/>
      <c r="Y13" s="2204"/>
      <c r="Z13" s="2204"/>
      <c r="AA13" s="2204"/>
      <c r="AB13" s="2204"/>
      <c r="AC13" s="16">
        <f>SUMIF(AD$12:AS$12,"总值",AD13:AS13)</f>
        <v>381.09000000000003</v>
      </c>
      <c r="AD13" s="2205"/>
      <c r="AE13" s="2205"/>
      <c r="AF13" s="2205"/>
      <c r="AG13" s="2205"/>
      <c r="AH13" s="2205"/>
      <c r="AI13" s="2205"/>
      <c r="AJ13" s="2205"/>
      <c r="AK13" s="2205"/>
      <c r="AL13" s="2205">
        <v>12.85</v>
      </c>
      <c r="AM13" s="2205"/>
      <c r="AN13" s="2205">
        <f>104.26+263.98</f>
        <v>368.24</v>
      </c>
      <c r="AO13" s="2205"/>
      <c r="AP13" s="2205"/>
      <c r="AQ13" s="2205"/>
      <c r="AR13" s="2205"/>
      <c r="AS13" s="2205"/>
      <c r="AT13" s="2206">
        <v>2337.39</v>
      </c>
      <c r="AU13" s="2207"/>
      <c r="AV13" s="11">
        <f t="shared" ref="AV13:AX17" si="6">A13</f>
        <v>0</v>
      </c>
      <c r="AW13" s="11">
        <f t="shared" si="6"/>
        <v>0</v>
      </c>
      <c r="AX13" s="11">
        <f t="shared" si="6"/>
        <v>0</v>
      </c>
      <c r="AY13" s="1804">
        <f>ROUND($AY$6*AZ13/$AZ$5,2)</f>
        <v>9464.0400000000009</v>
      </c>
      <c r="AZ13" s="16">
        <f>BA13+BL13</f>
        <v>24747.89</v>
      </c>
      <c r="BA13" s="16">
        <f>SUM(BB13:BK13)</f>
        <v>24366.799999999999</v>
      </c>
      <c r="BB13" s="16">
        <f>IF($D13="是",I13-J13,0)</f>
        <v>20189.89</v>
      </c>
      <c r="BC13" s="16">
        <f>IF($D13="是",K13-L13,0)</f>
        <v>794.62</v>
      </c>
      <c r="BD13" s="16">
        <f>IF($D13="是",M13-N13,0)</f>
        <v>3382.29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381.09000000000003</v>
      </c>
      <c r="BM13" s="16">
        <f>IF($D13="是",AD13-AE13,0)</f>
        <v>0</v>
      </c>
      <c r="BN13" s="16">
        <f>IF($D13="是",AF13-AG13,0)</f>
        <v>0</v>
      </c>
      <c r="BO13" s="16">
        <f>IF($D13="是",AH13-AI13,0)</f>
        <v>0</v>
      </c>
      <c r="BP13" s="16">
        <f>IF($D13="是",AJ13-AK13,0)</f>
        <v>0</v>
      </c>
      <c r="BQ13" s="16">
        <f>IF($D13="是",AL13-AM13,0)</f>
        <v>12.85</v>
      </c>
      <c r="BR13" s="16">
        <f>IF($D13="是",AN13-AO13,0)</f>
        <v>368.24</v>
      </c>
      <c r="BS13" s="16">
        <f>IF($D13="是",AP13-AQ13,0)</f>
        <v>0</v>
      </c>
      <c r="BT13" s="22">
        <f>IF($D13="是",AR13-AS13,0)</f>
        <v>0</v>
      </c>
    </row>
    <row r="14" spans="1:72" s="2157" customFormat="1" ht="12.75">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7" t="s">
        <v>0</v>
      </c>
      <c r="B1" s="3347" t="s">
        <v>4</v>
      </c>
      <c r="C1" s="3347" t="s">
        <v>5</v>
      </c>
      <c r="D1" s="3348" t="s">
        <v>53</v>
      </c>
      <c r="E1" s="3348" t="s">
        <v>54</v>
      </c>
      <c r="F1" s="3348"/>
      <c r="G1" s="3348"/>
      <c r="H1" s="3348"/>
      <c r="I1" s="3348"/>
      <c r="J1" s="3348"/>
      <c r="K1" s="3348"/>
      <c r="L1" s="3348"/>
      <c r="M1" s="3348"/>
    </row>
    <row r="2" spans="1:13" ht="27" customHeight="1">
      <c r="A2" s="3347"/>
      <c r="B2" s="3347"/>
      <c r="C2" s="3347"/>
      <c r="D2" s="3348"/>
      <c r="E2" s="3348" t="s">
        <v>37</v>
      </c>
      <c r="F2" s="3348" t="s">
        <v>38</v>
      </c>
      <c r="G2" s="3348"/>
      <c r="H2" s="3348"/>
      <c r="I2" s="3348"/>
      <c r="J2" s="3348" t="s">
        <v>39</v>
      </c>
      <c r="K2" s="3348"/>
      <c r="L2" s="3348"/>
      <c r="M2" s="3348"/>
    </row>
    <row r="3" spans="1:13" ht="28.5">
      <c r="A3" s="3347"/>
      <c r="B3" s="3347"/>
      <c r="C3" s="3347"/>
      <c r="D3" s="3348"/>
      <c r="E3" s="33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8" t="s">
        <v>55</v>
      </c>
      <c r="B9" s="3348"/>
      <c r="C9" s="33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7" sqref="B17:G3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1927</v>
      </c>
      <c r="B1" s="1391"/>
      <c r="C1" s="1391"/>
      <c r="D1" s="1391"/>
      <c r="E1" s="1391"/>
      <c r="F1" s="1391"/>
      <c r="G1" s="1391"/>
      <c r="H1" s="1391"/>
      <c r="I1" s="1391"/>
      <c r="J1" s="1391"/>
      <c r="K1" s="1391"/>
      <c r="L1" s="1391"/>
      <c r="M1" s="1391"/>
      <c r="N1" s="1391"/>
      <c r="O1" s="1391"/>
      <c r="P1" s="1391"/>
    </row>
    <row r="2" spans="1:16" ht="15">
      <c r="A2" s="3358" t="s">
        <v>1928</v>
      </c>
      <c r="B2" s="3358"/>
      <c r="C2" s="3358"/>
      <c r="D2" s="967" t="s">
        <v>1904</v>
      </c>
      <c r="E2" s="2217" t="s">
        <v>1905</v>
      </c>
      <c r="F2" s="1391"/>
      <c r="G2" s="2218"/>
      <c r="H2" s="2219"/>
      <c r="I2" s="2220" t="s">
        <v>1929</v>
      </c>
      <c r="J2" s="1391"/>
      <c r="K2" s="1391"/>
      <c r="L2" s="1391"/>
      <c r="M2" s="1391"/>
      <c r="N2" s="1426"/>
      <c r="O2" s="1391"/>
      <c r="P2" s="1391"/>
    </row>
    <row r="3" spans="1:16" ht="15.75" thickBot="1">
      <c r="A3" s="3359" t="s">
        <v>1902</v>
      </c>
      <c r="B3" s="3359"/>
      <c r="C3" s="3359"/>
      <c r="D3" s="46">
        <f>'数据-基础表'!AY6</f>
        <v>9464.0400000000009</v>
      </c>
      <c r="E3" s="46">
        <f>'数据-基础表'!AZ5</f>
        <v>24747.89</v>
      </c>
      <c r="F3" s="1391"/>
      <c r="G3" s="1398"/>
      <c r="H3" s="1246" t="s">
        <v>1903</v>
      </c>
      <c r="I3" s="55">
        <f>ROUND('数据-基础表'!B3/'数据-基础表'!A3,2)</f>
        <v>2.61</v>
      </c>
      <c r="J3" s="1391"/>
      <c r="K3" s="1391"/>
      <c r="L3" s="1391"/>
      <c r="M3" s="1391"/>
      <c r="N3" s="1426"/>
      <c r="O3" s="1391"/>
      <c r="P3" s="1391"/>
    </row>
    <row r="4" spans="1:16" ht="15">
      <c r="A4" s="3360"/>
      <c r="B4" s="3361"/>
      <c r="C4" s="3362"/>
      <c r="D4" s="2221" t="s">
        <v>1904</v>
      </c>
      <c r="E4" s="2222" t="s">
        <v>1905</v>
      </c>
      <c r="F4" s="1391"/>
      <c r="G4" s="2223" t="s">
        <v>1930</v>
      </c>
      <c r="H4" s="1246" t="s">
        <v>1910</v>
      </c>
      <c r="I4" s="55">
        <f>ROUND(SUMIF('数据-基础表'!I9:AS9,"地上",'数据-基础表'!I5:AS5)/'数据-基础表'!A3,2)</f>
        <v>2.13</v>
      </c>
      <c r="J4" s="1391"/>
      <c r="K4" s="1391"/>
      <c r="L4" s="1391"/>
      <c r="M4" s="1391"/>
      <c r="N4" s="1426"/>
      <c r="O4" s="1391"/>
      <c r="P4" s="1391"/>
    </row>
    <row r="5" spans="1:16">
      <c r="A5" s="47" t="s">
        <v>1906</v>
      </c>
      <c r="B5" s="3363" t="s">
        <v>1907</v>
      </c>
      <c r="C5" s="3363"/>
      <c r="D5" s="48">
        <f>ROUND($D$3*E5/$E$3,2)</f>
        <v>7720.98</v>
      </c>
      <c r="E5" s="49">
        <f>SUMIF('数据-基础表'!$11:$11,"住宅",'数据-基础表'!$5:$5)</f>
        <v>20189.89</v>
      </c>
      <c r="F5" s="1391"/>
      <c r="G5" s="1398"/>
      <c r="H5" s="1246" t="s">
        <v>1903</v>
      </c>
      <c r="I5" s="55">
        <f>ROUND(E31/D31,2)</f>
        <v>2.61</v>
      </c>
      <c r="J5" s="1391"/>
      <c r="K5" s="1391"/>
      <c r="L5" s="1391"/>
      <c r="M5" s="1391"/>
      <c r="N5" s="1391"/>
      <c r="O5" s="1391"/>
      <c r="P5" s="1391"/>
    </row>
    <row r="6" spans="1:16" ht="15" thickBot="1">
      <c r="A6" s="2224"/>
      <c r="B6" s="3363" t="s">
        <v>1908</v>
      </c>
      <c r="C6" s="3363"/>
      <c r="D6" s="48">
        <f>ROUND($D$3*E6/$E$3,2)</f>
        <v>1743.06</v>
      </c>
      <c r="E6" s="49">
        <f>E3-E5</f>
        <v>4558</v>
      </c>
      <c r="F6" s="1391"/>
      <c r="G6" s="2225" t="s">
        <v>1909</v>
      </c>
      <c r="H6" s="1398" t="s">
        <v>1910</v>
      </c>
      <c r="I6" s="939">
        <f>ROUND(F31/D31,2)</f>
        <v>2.13</v>
      </c>
      <c r="J6" s="1391"/>
      <c r="K6" s="1391"/>
      <c r="L6" s="1391"/>
      <c r="M6" s="1391"/>
      <c r="N6" s="1391"/>
      <c r="O6" s="1391"/>
      <c r="P6" s="1391"/>
    </row>
    <row r="7" spans="1:16" ht="15">
      <c r="A7" s="3355"/>
      <c r="B7" s="3356"/>
      <c r="C7" s="3357"/>
      <c r="D7" s="2221" t="s">
        <v>1904</v>
      </c>
      <c r="E7" s="2226" t="s">
        <v>1911</v>
      </c>
      <c r="F7" s="1391"/>
      <c r="G7" s="2218" t="s">
        <v>1912</v>
      </c>
      <c r="H7" s="64"/>
      <c r="I7" s="420"/>
      <c r="J7" s="1391"/>
      <c r="K7" s="1391"/>
      <c r="L7" s="1391"/>
      <c r="M7" s="1391"/>
      <c r="N7" s="1391"/>
      <c r="O7" s="1391"/>
      <c r="P7" s="1391"/>
    </row>
    <row r="8" spans="1:16">
      <c r="A8" s="47" t="s">
        <v>1913</v>
      </c>
      <c r="B8" s="50" t="s">
        <v>1914</v>
      </c>
      <c r="C8" s="48" t="s">
        <v>1915</v>
      </c>
      <c r="D8" s="48">
        <f t="shared" ref="D8:D15" si="0">ROUND($D$3*E8/$E$3,2)</f>
        <v>7720.98</v>
      </c>
      <c r="E8" s="51">
        <f>SUMIF('数据-基础表'!BB10:BK10,"地上",'数据-基础表'!BB5:BK5)</f>
        <v>20189.89</v>
      </c>
      <c r="F8" s="1391"/>
      <c r="G8" s="2227"/>
      <c r="H8" s="2227"/>
      <c r="I8" s="1391"/>
      <c r="J8" s="1391"/>
      <c r="K8" s="1391"/>
      <c r="L8" s="1391"/>
      <c r="M8" s="1391"/>
      <c r="N8" s="1391"/>
      <c r="O8" s="1391"/>
      <c r="P8" s="1391"/>
    </row>
    <row r="9" spans="1:16">
      <c r="A9" s="2228"/>
      <c r="B9" s="2229"/>
      <c r="C9" s="48" t="s">
        <v>1916</v>
      </c>
      <c r="D9" s="48">
        <f t="shared" si="0"/>
        <v>0</v>
      </c>
      <c r="E9" s="52">
        <v>0</v>
      </c>
      <c r="F9" s="1391"/>
      <c r="G9" s="2227"/>
      <c r="H9" s="2227"/>
      <c r="I9" s="1391"/>
      <c r="J9" s="1391"/>
      <c r="K9" s="1391"/>
      <c r="L9" s="1391"/>
      <c r="M9" s="1391"/>
      <c r="N9" s="1391"/>
      <c r="O9" s="1391"/>
      <c r="P9" s="1391"/>
    </row>
    <row r="10" spans="1:16">
      <c r="A10" s="2228"/>
      <c r="B10" s="2229"/>
      <c r="C10" s="48" t="s">
        <v>1925</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1917</v>
      </c>
      <c r="D11" s="48">
        <f t="shared" si="0"/>
        <v>303.88</v>
      </c>
      <c r="E11" s="51">
        <f>SUMPRODUCT(('数据-基础表'!BB10:BK10="地下")*('数据-基础表'!BB11:BK11="办公")*('数据-基础表'!BB5:BK5))+'数据-基础表'!BP5</f>
        <v>794.62</v>
      </c>
      <c r="F11" s="1391"/>
      <c r="G11" s="2227"/>
      <c r="H11" s="2227"/>
      <c r="I11" s="1391"/>
      <c r="J11" s="1391"/>
      <c r="K11" s="1391"/>
      <c r="L11" s="1391"/>
      <c r="M11" s="1391"/>
      <c r="N11" s="1391"/>
      <c r="O11" s="1391"/>
      <c r="P11" s="1391"/>
    </row>
    <row r="12" spans="1:16">
      <c r="A12" s="2228"/>
      <c r="B12" s="2229"/>
      <c r="C12" s="48" t="s">
        <v>1918</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1919</v>
      </c>
      <c r="D13" s="48">
        <f t="shared" si="0"/>
        <v>1293.45</v>
      </c>
      <c r="E13" s="51">
        <f>SUMPRODUCT(('数据-基础表'!BB10:BK10="地下")*('数据-基础表'!BB11:BK11="车库")*('数据-基础表'!BB5:BK5))</f>
        <v>3382.29</v>
      </c>
      <c r="F13" s="1391"/>
      <c r="G13" s="2227"/>
      <c r="H13" s="2227"/>
      <c r="I13" s="1391"/>
      <c r="J13" s="1391"/>
      <c r="K13" s="1391"/>
      <c r="L13" s="1391"/>
      <c r="M13" s="1391"/>
      <c r="N13" s="1391"/>
      <c r="O13" s="1391"/>
      <c r="P13" s="1391"/>
    </row>
    <row r="14" spans="1:16">
      <c r="A14" s="2228"/>
      <c r="B14" s="2229"/>
      <c r="C14" s="48" t="s">
        <v>1931</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1926</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1920</v>
      </c>
      <c r="D16" s="50">
        <f>SUM(D8:D15)</f>
        <v>9318.31</v>
      </c>
      <c r="E16" s="53">
        <f>SUM(E8:E15)</f>
        <v>24366.799999999999</v>
      </c>
      <c r="F16" s="1391"/>
      <c r="G16" s="2227"/>
      <c r="H16" s="2230" t="s">
        <v>1932</v>
      </c>
      <c r="I16" s="2231"/>
      <c r="J16" s="1391"/>
      <c r="K16" s="3352" t="s">
        <v>1932</v>
      </c>
      <c r="L16" s="3353"/>
      <c r="M16" s="3353"/>
      <c r="N16" s="3353"/>
      <c r="O16" s="3353"/>
      <c r="P16" s="3354"/>
    </row>
    <row r="17" spans="1:19" ht="15">
      <c r="A17" s="2232" t="s">
        <v>1933</v>
      </c>
      <c r="B17" s="2233" t="s">
        <v>1934</v>
      </c>
      <c r="C17" s="2234" t="s">
        <v>1935</v>
      </c>
      <c r="D17" s="2235" t="s">
        <v>1923</v>
      </c>
      <c r="E17" s="2236" t="s">
        <v>1924</v>
      </c>
      <c r="F17" s="2237"/>
      <c r="G17" s="2238"/>
      <c r="H17" s="2239" t="s">
        <v>1936</v>
      </c>
      <c r="I17" s="2240" t="s">
        <v>1921</v>
      </c>
      <c r="J17" s="1391"/>
      <c r="K17" s="3349" t="s">
        <v>1937</v>
      </c>
      <c r="L17" s="3350"/>
      <c r="M17" s="3351"/>
      <c r="N17" s="3349" t="s">
        <v>1938</v>
      </c>
      <c r="O17" s="3350"/>
      <c r="P17" s="3351"/>
      <c r="R17" s="2218" t="s">
        <v>1939</v>
      </c>
      <c r="S17" s="64"/>
    </row>
    <row r="18" spans="1:19" ht="15">
      <c r="A18" s="2228"/>
      <c r="B18" s="2241"/>
      <c r="C18" s="2242"/>
      <c r="D18" s="2243"/>
      <c r="E18" s="2244" t="s">
        <v>1940</v>
      </c>
      <c r="F18" s="2245" t="s">
        <v>1941</v>
      </c>
      <c r="G18" s="2246" t="s">
        <v>1942</v>
      </c>
      <c r="H18" s="1261" t="s">
        <v>1943</v>
      </c>
      <c r="I18" s="2247" t="s">
        <v>1944</v>
      </c>
      <c r="J18" s="1391"/>
      <c r="K18" s="1261" t="s">
        <v>1945</v>
      </c>
      <c r="L18" s="2248" t="s">
        <v>1946</v>
      </c>
      <c r="M18" s="1046" t="s">
        <v>1947</v>
      </c>
      <c r="N18" s="1261" t="s">
        <v>1945</v>
      </c>
      <c r="O18" s="2248" t="s">
        <v>1946</v>
      </c>
      <c r="P18" s="1046" t="s">
        <v>1947</v>
      </c>
      <c r="R18" s="1246" t="s">
        <v>1948</v>
      </c>
      <c r="S18" s="1246" t="s">
        <v>1949</v>
      </c>
    </row>
    <row r="19" spans="1:19">
      <c r="A19" s="2249"/>
      <c r="B19" s="50" t="s">
        <v>1922</v>
      </c>
      <c r="C19" s="2970" t="s">
        <v>3053</v>
      </c>
      <c r="D19" s="48">
        <f>ROUND($D$3*E19/$E$3,2)</f>
        <v>7720.98</v>
      </c>
      <c r="E19" s="56">
        <f t="shared" ref="E19:E26" si="1">SUM(F19:G19)</f>
        <v>20189.89</v>
      </c>
      <c r="F19" s="57">
        <f>'数据-基础表'!I13</f>
        <v>20189.89</v>
      </c>
      <c r="G19" s="58"/>
      <c r="H19" s="723">
        <f>ROUND($D$3*I19/$E$3,2)</f>
        <v>120.75</v>
      </c>
      <c r="I19" s="51">
        <f t="shared" ref="I19:I26" si="2">IF($I$17="自定义",P19,M19)</f>
        <v>315.76</v>
      </c>
      <c r="J19" s="1391"/>
      <c r="K19" s="1390">
        <f t="shared" ref="K19:K26" si="3">ROUND(E$28*E19/E$27,2)</f>
        <v>315.76</v>
      </c>
      <c r="L19" s="1246">
        <f t="shared" ref="L19:L26" si="4">ROUND(IF(COUNTIF(C19,"*住宅*")&gt;0,E$29*E19/E$32,0),2)</f>
        <v>0</v>
      </c>
      <c r="M19" s="1402">
        <f>K19+L19</f>
        <v>315.76</v>
      </c>
      <c r="N19" s="2250"/>
      <c r="O19" s="2251"/>
      <c r="P19" s="1402">
        <f>N19+O19</f>
        <v>0</v>
      </c>
      <c r="R19" s="1246">
        <f t="shared" ref="R19:S26" si="5">D19+H19</f>
        <v>7841.73</v>
      </c>
      <c r="S19" s="1247">
        <f t="shared" si="5"/>
        <v>20505.649999999998</v>
      </c>
    </row>
    <row r="20" spans="1:19">
      <c r="A20" s="2252"/>
      <c r="B20" s="50" t="s">
        <v>1950</v>
      </c>
      <c r="C20" s="2970" t="s">
        <v>3054</v>
      </c>
      <c r="D20" s="48">
        <f t="shared" ref="D20:D26" si="6">ROUND($D$3*E20/$E$3,2)</f>
        <v>303.88</v>
      </c>
      <c r="E20" s="56">
        <f t="shared" si="1"/>
        <v>794.62</v>
      </c>
      <c r="F20" s="57"/>
      <c r="G20" s="58">
        <f>'数据-基础表'!K13</f>
        <v>794.62</v>
      </c>
      <c r="H20" s="723">
        <f t="shared" ref="H20:H26" si="7">ROUND($D$3*I20/$E$3,2)</f>
        <v>4.75</v>
      </c>
      <c r="I20" s="51">
        <f t="shared" si="2"/>
        <v>12.43</v>
      </c>
      <c r="J20" s="1391"/>
      <c r="K20" s="1390">
        <f t="shared" si="3"/>
        <v>12.43</v>
      </c>
      <c r="L20" s="1246">
        <f t="shared" si="4"/>
        <v>0</v>
      </c>
      <c r="M20" s="1402">
        <f t="shared" ref="M20:M26" si="8">K20+L20</f>
        <v>12.43</v>
      </c>
      <c r="N20" s="2250"/>
      <c r="O20" s="2251"/>
      <c r="P20" s="1402">
        <f t="shared" ref="P20:P26" si="9">N20+O20</f>
        <v>0</v>
      </c>
      <c r="R20" s="1246">
        <f t="shared" si="5"/>
        <v>308.63</v>
      </c>
      <c r="S20" s="1247">
        <f t="shared" si="5"/>
        <v>807.05</v>
      </c>
    </row>
    <row r="21" spans="1:19">
      <c r="A21" s="2252"/>
      <c r="B21" s="50" t="s">
        <v>1950</v>
      </c>
      <c r="C21" s="2970" t="s">
        <v>3055</v>
      </c>
      <c r="D21" s="48">
        <f t="shared" si="6"/>
        <v>1293.45</v>
      </c>
      <c r="E21" s="56">
        <f t="shared" si="1"/>
        <v>3382.29</v>
      </c>
      <c r="F21" s="57"/>
      <c r="G21" s="58">
        <f>'数据-基础表'!M13</f>
        <v>3382.29</v>
      </c>
      <c r="H21" s="723">
        <f t="shared" si="7"/>
        <v>20.23</v>
      </c>
      <c r="I21" s="51">
        <f t="shared" si="2"/>
        <v>52.9</v>
      </c>
      <c r="J21" s="1391"/>
      <c r="K21" s="1390">
        <f t="shared" si="3"/>
        <v>52.9</v>
      </c>
      <c r="L21" s="1246">
        <f t="shared" si="4"/>
        <v>0</v>
      </c>
      <c r="M21" s="1402">
        <f t="shared" si="8"/>
        <v>52.9</v>
      </c>
      <c r="N21" s="2250"/>
      <c r="O21" s="2251"/>
      <c r="P21" s="1402">
        <f t="shared" si="9"/>
        <v>0</v>
      </c>
      <c r="R21" s="1246">
        <f t="shared" si="5"/>
        <v>1313.68</v>
      </c>
      <c r="S21" s="1247">
        <f t="shared" si="5"/>
        <v>3435.19</v>
      </c>
    </row>
    <row r="22" spans="1:19">
      <c r="A22" s="2252"/>
      <c r="B22" s="50" t="s">
        <v>1950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3"/>
      <c r="O26" s="2254"/>
      <c r="P26" s="67">
        <f t="shared" si="9"/>
        <v>0</v>
      </c>
      <c r="R26" s="1246">
        <f t="shared" si="5"/>
        <v>0</v>
      </c>
      <c r="S26" s="1247">
        <f t="shared" si="5"/>
        <v>0</v>
      </c>
    </row>
    <row r="27" spans="1:19" ht="15.75" thickBot="1">
      <c r="A27" s="2252"/>
      <c r="B27" s="48"/>
      <c r="C27" s="2255" t="s">
        <v>1951</v>
      </c>
      <c r="D27" s="1392">
        <f>SUM(D19:D26)</f>
        <v>9318.31</v>
      </c>
      <c r="E27" s="1393">
        <f>IF(SUM(E19:E26)='数据-基础表'!BA5,SUM(E19:E26),IF(F27="地上面积有误","面积有误","地下面积有误"))</f>
        <v>24366.799999999999</v>
      </c>
      <c r="F27" s="1392">
        <f>IF(SUM(F19:F26)=E8,SUM(F19:F26),"地上面积有误")</f>
        <v>20189.89</v>
      </c>
      <c r="G27" s="1394">
        <f>SUM(G19:G26)</f>
        <v>4176.91</v>
      </c>
      <c r="H27" s="1395">
        <f>SUM(H19:H26)</f>
        <v>145.72999999999999</v>
      </c>
      <c r="I27" s="1396">
        <f>SUM(I19:I26)</f>
        <v>381.09</v>
      </c>
      <c r="J27" s="1391"/>
      <c r="K27" s="1399">
        <f>SUM(K19:K26)</f>
        <v>381.09</v>
      </c>
      <c r="L27" s="1400">
        <f>SUM(L19:L26)</f>
        <v>0</v>
      </c>
      <c r="M27" s="1403">
        <f>SUM(M19:M26)</f>
        <v>381.09</v>
      </c>
      <c r="N27" s="1399">
        <f t="shared" ref="N27:O27" si="10">SUM(N19:N26)</f>
        <v>0</v>
      </c>
      <c r="O27" s="1400">
        <f t="shared" si="10"/>
        <v>0</v>
      </c>
      <c r="P27" s="1401">
        <f>SUM(P19:P26)</f>
        <v>0</v>
      </c>
      <c r="R27" s="1248">
        <f>IF(SUM(R19:R26)=$D$3,SUM(R19:R26),SUM(R19:R26)&amp;"误差"&amp;ROUND(SUM(R19:R26)-$D$3,2))</f>
        <v>9464.0399999999991</v>
      </c>
      <c r="S27" s="1246">
        <f>IF(SUM(S19:S26)=$E$3,SUM(S19:S26),SUM(S19:S26)&amp;"误差"&amp;ROUND(SUM(S19:S26)-E3,2))</f>
        <v>24747.889999999996</v>
      </c>
    </row>
    <row r="28" spans="1:19">
      <c r="A28" s="2252"/>
      <c r="B28" s="50" t="s">
        <v>1952</v>
      </c>
      <c r="C28" s="1258" t="s">
        <v>1953</v>
      </c>
      <c r="D28" s="48">
        <f>ROUND($D$3*E28/$E$3,2)</f>
        <v>145.74</v>
      </c>
      <c r="E28" s="56">
        <f>SUM(F28:G28)</f>
        <v>381.09000000000003</v>
      </c>
      <c r="F28" s="64">
        <f>'数据-基础表'!BQ5+'数据-基础表'!BS5</f>
        <v>12.85</v>
      </c>
      <c r="G28" s="65">
        <f>'数据-基础表'!BR5+'数据-基础表'!BT5</f>
        <v>368.24</v>
      </c>
      <c r="H28" s="1391"/>
      <c r="I28" s="1391"/>
      <c r="J28" s="1391"/>
      <c r="K28" s="1391"/>
      <c r="L28" s="1391"/>
      <c r="M28" s="1391"/>
      <c r="N28" s="1391"/>
      <c r="O28" s="1391"/>
      <c r="P28" s="1391"/>
    </row>
    <row r="29" spans="1:19">
      <c r="A29" s="2252"/>
      <c r="B29" s="50" t="s">
        <v>1952</v>
      </c>
      <c r="C29" s="2256" t="s">
        <v>1954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2"/>
      <c r="B30" s="50"/>
      <c r="C30" s="2257" t="s">
        <v>1951</v>
      </c>
      <c r="D30" s="1392">
        <f>SUM(D28:D29)</f>
        <v>145.74</v>
      </c>
      <c r="E30" s="1392">
        <f>SUM(E28:E29)</f>
        <v>381.09000000000003</v>
      </c>
      <c r="F30" s="1392">
        <f>SUM(F28:F29)</f>
        <v>12.85</v>
      </c>
      <c r="G30" s="1394">
        <f>SUM(G28:G29)</f>
        <v>368.24</v>
      </c>
      <c r="H30" s="1391"/>
      <c r="I30" s="1391"/>
      <c r="J30" s="1391"/>
      <c r="K30" s="1391"/>
      <c r="L30" s="1391"/>
      <c r="M30" s="1391"/>
      <c r="N30" s="1391"/>
      <c r="O30" s="1391"/>
      <c r="P30" s="1391"/>
    </row>
    <row r="31" spans="1:19" ht="15.75" thickBot="1">
      <c r="A31" s="2258"/>
      <c r="B31" s="2259"/>
      <c r="C31" s="1007" t="s">
        <v>1955</v>
      </c>
      <c r="D31" s="729">
        <f>D27+D30</f>
        <v>9464.0499999999993</v>
      </c>
      <c r="E31" s="729">
        <f>E27+E30</f>
        <v>24747.89</v>
      </c>
      <c r="F31" s="730">
        <f>F27+F30</f>
        <v>20202.739999999998</v>
      </c>
      <c r="G31" s="731">
        <f>G27+G30</f>
        <v>4545.1499999999996</v>
      </c>
      <c r="H31" s="1391"/>
      <c r="I31" s="1391"/>
      <c r="J31" s="1391"/>
      <c r="K31" s="1391"/>
      <c r="L31" s="1391"/>
      <c r="M31" s="1391"/>
      <c r="N31" s="1391"/>
      <c r="O31" s="1391"/>
      <c r="P31" s="1391"/>
    </row>
    <row r="32" spans="1:19">
      <c r="A32" s="2223"/>
      <c r="B32" s="2223" t="s">
        <v>1956</v>
      </c>
      <c r="C32" s="2223"/>
      <c r="D32" s="2223"/>
      <c r="E32" s="1273">
        <f>SUMIF(C19:C26,"*住宅*",E19:E26)</f>
        <v>20189.89</v>
      </c>
      <c r="F32" s="2223"/>
      <c r="G32" s="2223"/>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1" sqref="K11"/>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1957</v>
      </c>
      <c r="B1" s="732"/>
      <c r="C1" s="1579"/>
      <c r="D1" s="226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5" t="s">
        <v>1958</v>
      </c>
      <c r="B2" s="1265">
        <f>项目基本情况!D3</f>
        <v>43670</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8" customFormat="1" ht="15" thickBot="1">
      <c r="A3" s="2026"/>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8" customFormat="1" ht="15" thickBot="1">
      <c r="A4" s="68" t="s">
        <v>1959</v>
      </c>
      <c r="B4" s="2270"/>
      <c r="C4" s="2271"/>
      <c r="D4" s="2272"/>
      <c r="E4" s="2271" t="s">
        <v>1960</v>
      </c>
      <c r="F4" s="2271"/>
      <c r="G4" s="2271"/>
      <c r="H4" s="2271"/>
      <c r="I4" s="2271"/>
      <c r="J4" s="2273"/>
      <c r="K4" s="2274"/>
      <c r="L4" s="2275"/>
      <c r="M4" s="2271"/>
      <c r="N4" s="2271" t="s">
        <v>1961</v>
      </c>
      <c r="O4" s="2271"/>
      <c r="P4" s="2271"/>
      <c r="Q4" s="2271"/>
      <c r="R4" s="2271"/>
      <c r="S4" s="2273"/>
      <c r="T4" s="2276" t="str">
        <f>'数据-汇总表'!I17</f>
        <v>按面积比例</v>
      </c>
      <c r="U4" s="2270" t="s">
        <v>1962</v>
      </c>
      <c r="V4" s="2271"/>
      <c r="W4" s="2271"/>
      <c r="X4" s="2271"/>
      <c r="Y4" s="2273"/>
      <c r="Z4" s="2234" t="s">
        <v>1963</v>
      </c>
      <c r="AA4" s="2234"/>
      <c r="AB4" s="2234"/>
      <c r="AC4" s="2234"/>
      <c r="AD4" s="2234"/>
      <c r="AE4" s="2232" t="s">
        <v>1964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9" customFormat="1" ht="42">
      <c r="A5" s="2278" t="s">
        <v>1965</v>
      </c>
      <c r="B5" s="2279" t="s">
        <v>1966</v>
      </c>
      <c r="C5" s="2280" t="s">
        <v>1967</v>
      </c>
      <c r="D5" s="2281" t="s">
        <v>1968</v>
      </c>
      <c r="E5" s="1267" t="s">
        <v>1969</v>
      </c>
      <c r="F5" s="2282" t="s">
        <v>1970</v>
      </c>
      <c r="G5" s="1267" t="s">
        <v>1971</v>
      </c>
      <c r="H5" s="1267" t="s">
        <v>1972</v>
      </c>
      <c r="I5" s="1267" t="s">
        <v>1973</v>
      </c>
      <c r="J5" s="2283" t="s">
        <v>1974</v>
      </c>
      <c r="K5" s="2284" t="s">
        <v>1975</v>
      </c>
      <c r="L5" s="2285" t="s">
        <v>1976</v>
      </c>
      <c r="M5" s="2286" t="s">
        <v>1977</v>
      </c>
      <c r="N5" s="2287" t="s">
        <v>3087</v>
      </c>
      <c r="O5" s="2285" t="s">
        <v>1978</v>
      </c>
      <c r="P5" s="2288" t="s">
        <v>1979</v>
      </c>
      <c r="Q5" s="69" t="s">
        <v>1980</v>
      </c>
      <c r="R5" s="2289" t="s">
        <v>1981</v>
      </c>
      <c r="S5" s="2290" t="s">
        <v>1982</v>
      </c>
      <c r="T5" s="2291" t="s">
        <v>1983</v>
      </c>
      <c r="U5" s="1266" t="s">
        <v>1984</v>
      </c>
      <c r="V5" s="1267" t="s">
        <v>1985</v>
      </c>
      <c r="W5" s="1267" t="s">
        <v>1986</v>
      </c>
      <c r="X5" s="71"/>
      <c r="Y5" s="70" t="s">
        <v>1987</v>
      </c>
      <c r="Z5" s="2292" t="s">
        <v>1984</v>
      </c>
      <c r="AA5" s="1267" t="s">
        <v>1985</v>
      </c>
      <c r="AB5" s="1267" t="s">
        <v>1986</v>
      </c>
      <c r="AC5" s="71"/>
      <c r="AD5" s="71" t="s">
        <v>1987</v>
      </c>
      <c r="AE5" s="1266" t="s">
        <v>1988</v>
      </c>
      <c r="AF5" s="1267" t="s">
        <v>1989</v>
      </c>
      <c r="AG5" s="70" t="s">
        <v>1990</v>
      </c>
      <c r="AH5" s="1266" t="s">
        <v>1991</v>
      </c>
      <c r="AI5" s="2292" t="s">
        <v>1992</v>
      </c>
      <c r="AJ5" s="2292" t="s">
        <v>1993</v>
      </c>
      <c r="AK5" s="1267" t="s">
        <v>1994</v>
      </c>
      <c r="AL5" s="1267" t="s">
        <v>1995</v>
      </c>
      <c r="AM5" s="70" t="s">
        <v>1996</v>
      </c>
      <c r="AN5" s="2293" t="s">
        <v>1997</v>
      </c>
      <c r="AO5" s="2068" t="s">
        <v>1998</v>
      </c>
      <c r="AP5" s="1248" t="s">
        <v>1999</v>
      </c>
      <c r="AQ5" s="2294" t="s">
        <v>2000</v>
      </c>
      <c r="AR5" s="2294" t="s">
        <v>2001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8" customFormat="1" ht="14.25">
      <c r="A6" s="2295" t="str">
        <f>'数据-汇总表'!C19</f>
        <v>住宅</v>
      </c>
      <c r="B6" s="2296" t="str">
        <f>IF(A6=0,"","经营性")</f>
        <v>经营性</v>
      </c>
      <c r="C6" s="2297" t="s">
        <v>3046</v>
      </c>
      <c r="D6" s="1051">
        <f>SUMIF(项目基本情况!D$12:I$12,C6,项目基本情况!D$14:I$14)</f>
        <v>70</v>
      </c>
      <c r="E6" s="1048">
        <f>IF(B6="","",SUMIF(项目基本情况!D$12:I$12,C6,项目基本情况!D$13:I$13))</f>
        <v>63451</v>
      </c>
      <c r="F6" s="72">
        <f>SUMIF(项目基本情况!D$12:I$12,C6,项目基本情况!D$15:I$15)</f>
        <v>54.19</v>
      </c>
      <c r="G6" s="73">
        <f>IF(ISERROR(ROUND(POWER(1+H6,D6-F6)*(POWER(1+H6,F6)-1)/(POWER(1+H6,D6)-1),3)),0,ROUND(POWER(1+H6,D6-F6)*(POWER(1+H6,F6)-1)/(POWER(1+H6,D6)-1),3))</f>
        <v>0.95199999999999996</v>
      </c>
      <c r="H6" s="2992">
        <v>4.4999999999999998E-2</v>
      </c>
      <c r="I6" s="2992">
        <v>0.05</v>
      </c>
      <c r="J6" s="74">
        <v>8.5000000000000006E-2</v>
      </c>
      <c r="K6" s="1250">
        <f>SUMIF('数据-汇总表'!C$19:C$33,A6,'数据-汇总表'!E$19:E$33)</f>
        <v>20189.89</v>
      </c>
      <c r="L6" s="803">
        <f>4000+2000</f>
        <v>6000</v>
      </c>
      <c r="M6" s="75">
        <f t="shared" ref="M6:M14" si="0">ROUND(K6*L6/10000,0)</f>
        <v>12114</v>
      </c>
      <c r="N6" s="801">
        <f>N20</f>
        <v>0.83</v>
      </c>
      <c r="O6" s="75" t="str">
        <f>IF($N$5="成新度","——",ROUND(M6*N6,0))</f>
        <v>——</v>
      </c>
      <c r="P6" s="76" t="str">
        <f>IF($N$5="成新度","——",M6-O6)</f>
        <v>——</v>
      </c>
      <c r="Q6" s="804">
        <v>0.2</v>
      </c>
      <c r="R6" s="77">
        <f ca="1">SUMIF('数据-汇总表'!C$19:C$33,A6,'数据-汇总表'!R$19:R$27)</f>
        <v>7841.73</v>
      </c>
      <c r="S6" s="54">
        <f>IF('数据-汇总表'!$I$17="按面积比例",SUMIF('数据-汇总表'!C$19:C$33,A6,'数据-汇总表'!K$19:K$33),SUMIF('数据-汇总表'!C$19:C$33,A6,'数据-汇总表'!N$19:N$33))</f>
        <v>315.76</v>
      </c>
      <c r="T6" s="1442">
        <f>ROUND($L$14*S6/10000,0)</f>
        <v>79</v>
      </c>
      <c r="U6" s="78">
        <v>7</v>
      </c>
      <c r="V6" s="79">
        <v>0.03</v>
      </c>
      <c r="W6" s="79">
        <v>0.05</v>
      </c>
      <c r="X6" s="1260"/>
      <c r="Y6" s="80">
        <f>N6</f>
        <v>0.83</v>
      </c>
      <c r="Z6" s="81"/>
      <c r="AA6" s="74"/>
      <c r="AB6" s="74"/>
      <c r="AC6" s="1260"/>
      <c r="AD6" s="82"/>
      <c r="AE6" s="1261">
        <f ca="1">IF(AN6="",0,SUMIF(INDIRECT("'"&amp;AN6&amp;"'"&amp;"!E:E"),$AE$5,INDIRECT("'"&amp;AN6&amp;"'"&amp;"!F:F")))</f>
        <v>54.19</v>
      </c>
      <c r="AF6" s="1802"/>
      <c r="AG6" s="147">
        <f>IF(AF6="",0,AE6-AF6)</f>
        <v>0</v>
      </c>
      <c r="AH6" s="83"/>
      <c r="AI6" s="85">
        <v>365</v>
      </c>
      <c r="AJ6" s="86"/>
      <c r="AK6" s="87">
        <v>0.03</v>
      </c>
      <c r="AL6" s="88">
        <v>3.0000000000000001E-3</v>
      </c>
      <c r="AM6" s="96">
        <v>0.05</v>
      </c>
      <c r="AN6" s="2298" t="s">
        <v>3091</v>
      </c>
      <c r="AO6" s="55">
        <f ca="1">SUMIF(INDIRECT("'"&amp;AN6&amp;"'"&amp;"!A:A"),"总价",INDIRECT("'"&amp;AN6&amp;"'"&amp;"!B:B"))</f>
        <v>119848</v>
      </c>
      <c r="AP6" s="2299">
        <f>IF(C6="住宅",K6*L6,0)</f>
        <v>121139340</v>
      </c>
      <c r="AQ6" s="55">
        <f>ROUND($L$14*$N$14*S6/10000,0)</f>
        <v>66</v>
      </c>
      <c r="AR6" s="55">
        <f>ROUND($L$14*(1-$N$14)*S6/10000,0)</f>
        <v>13</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8" customFormat="1" ht="14.25">
      <c r="A7" s="2295" t="str">
        <f>'数据-汇总表'!C20</f>
        <v>会所</v>
      </c>
      <c r="B7" s="2296" t="str">
        <f t="shared" ref="B7:B13" si="1">IF(A7=0,"","经营性")</f>
        <v>经营性</v>
      </c>
      <c r="C7" s="2297" t="s">
        <v>27</v>
      </c>
      <c r="D7" s="1051">
        <f>SUMIF(项目基本情况!D$12:I$12,C7,项目基本情况!D$14:I$14)</f>
        <v>50</v>
      </c>
      <c r="E7" s="1048">
        <f>IF(B7="","",SUMIF(项目基本情况!D$12:I$12,C7,项目基本情况!D$13:I$13))</f>
        <v>56146</v>
      </c>
      <c r="F7" s="72">
        <f>SUMIF(项目基本情况!D$12:I$12,C7,项目基本情况!D$15:I$15)</f>
        <v>34.18</v>
      </c>
      <c r="G7" s="73">
        <f t="shared" ref="G7:G11" ca="1" si="2">IF(ISERROR(ROUND(POWER(1+H7,D7-F7)*(POWER(1+H7,F7)-1)/(POWER(1+H7,D7)-1),3)),0,ROUND(POWER(1+H7,D7-F7)*(POWER(1+H7,F7)-1)/(POWER(1+H7,D7)-1),3))</f>
        <v>0.89400000000000002</v>
      </c>
      <c r="H7" s="802">
        <f ca="1">'基准地价修正（办公）'!G20</f>
        <v>5.1999999999999998E-2</v>
      </c>
      <c r="I7" s="802">
        <v>5.5E-2</v>
      </c>
      <c r="J7" s="74">
        <v>8.5000000000000006E-2</v>
      </c>
      <c r="K7" s="1250">
        <f>SUMIF('数据-汇总表'!C$19:C$33,A7,'数据-汇总表'!E$19:E$33)</f>
        <v>794.62</v>
      </c>
      <c r="L7" s="803">
        <f>2500+1000</f>
        <v>3500</v>
      </c>
      <c r="M7" s="75">
        <f t="shared" si="0"/>
        <v>278</v>
      </c>
      <c r="N7" s="801">
        <f>N6</f>
        <v>0.83</v>
      </c>
      <c r="O7" s="75" t="str">
        <f t="shared" ref="O7:O14" si="3">IF($N$5="成新度","——",ROUND(M7*N7,0))</f>
        <v>——</v>
      </c>
      <c r="P7" s="76" t="str">
        <f t="shared" ref="P7:P14" si="4">IF($N$5="成新度","——",M7-O7)</f>
        <v>——</v>
      </c>
      <c r="Q7" s="804">
        <v>0.15</v>
      </c>
      <c r="R7" s="77">
        <f ca="1">SUMIF('数据-汇总表'!C$19:C$33,A7,'数据-汇总表'!R$19:R$27)</f>
        <v>308.63</v>
      </c>
      <c r="S7" s="54">
        <f>IF('数据-汇总表'!$I$17="按面积比例",SUMIF('数据-汇总表'!C$19:C$33,A7,'数据-汇总表'!K$19:K$33),SUMIF('数据-汇总表'!C$19:C$33,A7,'数据-汇总表'!N$19:N$33))</f>
        <v>12.43</v>
      </c>
      <c r="T7" s="1442">
        <f t="shared" ref="T7:T13" si="5">ROUND($L$14*S7/10000,0)</f>
        <v>3</v>
      </c>
      <c r="U7" s="78">
        <v>3</v>
      </c>
      <c r="V7" s="79">
        <v>0.02</v>
      </c>
      <c r="W7" s="79">
        <v>0.1</v>
      </c>
      <c r="X7" s="1260"/>
      <c r="Y7" s="80">
        <f>N7</f>
        <v>0.83</v>
      </c>
      <c r="Z7" s="81"/>
      <c r="AA7" s="74"/>
      <c r="AB7" s="74"/>
      <c r="AC7" s="1260"/>
      <c r="AD7" s="82"/>
      <c r="AE7" s="1261">
        <f t="shared" ref="AE7:AE13" ca="1" si="6">IF(AN7="",0,SUMIF(INDIRECT("'"&amp;AN7&amp;"'"&amp;"!E:E"),$AE$5,INDIRECT("'"&amp;AN7&amp;"'"&amp;"!F:F")))</f>
        <v>34.18</v>
      </c>
      <c r="AF7" s="1802"/>
      <c r="AG7" s="147">
        <f t="shared" ref="AG7:AG13" si="7">IF(AF7="",0,AE7-AF7)</f>
        <v>0</v>
      </c>
      <c r="AH7" s="83"/>
      <c r="AI7" s="85">
        <v>365</v>
      </c>
      <c r="AJ7" s="86"/>
      <c r="AK7" s="87">
        <v>1.4999999999999999E-2</v>
      </c>
      <c r="AL7" s="88">
        <v>1.5E-3</v>
      </c>
      <c r="AM7" s="89">
        <v>0.02</v>
      </c>
      <c r="AN7" s="2298" t="s">
        <v>3092</v>
      </c>
      <c r="AO7" s="55">
        <f t="shared" ref="AO7:AO13" ca="1" si="8">SUMIF(INDIRECT("'"&amp;AN7&amp;"'"&amp;"!A:A"),"总价",INDIRECT("'"&amp;AN7&amp;"'"&amp;"!B:B"))</f>
        <v>1095</v>
      </c>
      <c r="AP7" s="2299">
        <f t="shared" ref="AP7:AP13" si="9">IF(C7="住宅",K7*L7,0)</f>
        <v>0</v>
      </c>
      <c r="AQ7" s="55">
        <f t="shared" ref="AQ7:AQ13" si="10">ROUND($L$14*$N$14*S7/10000,0)</f>
        <v>3</v>
      </c>
      <c r="AR7" s="55">
        <f t="shared" ref="AR7:AR13" si="11">ROUND($L$14*(1-$N$14)*S7/10000,0)</f>
        <v>1</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8" customFormat="1" ht="14.25">
      <c r="A8" s="2295" t="str">
        <f>'数据-汇总表'!C21</f>
        <v>车库</v>
      </c>
      <c r="B8" s="2296" t="str">
        <f t="shared" si="1"/>
        <v>经营性</v>
      </c>
      <c r="C8" s="2297" t="s">
        <v>3052</v>
      </c>
      <c r="D8" s="1051">
        <f>SUMIF(项目基本情况!D$12:I$12,C8,项目基本情况!D$14:I$14)</f>
        <v>50</v>
      </c>
      <c r="E8" s="1048">
        <f>IF(B8="","",SUMIF(项目基本情况!D$12:I$12,C8,项目基本情况!D$13:I$13))</f>
        <v>56146</v>
      </c>
      <c r="F8" s="72">
        <f>SUMIF(项目基本情况!D$12:I$12,C8,项目基本情况!D$15:I$15)</f>
        <v>34.18</v>
      </c>
      <c r="G8" s="73">
        <f t="shared" si="2"/>
        <v>0.85899999999999999</v>
      </c>
      <c r="H8" s="2992">
        <v>0.04</v>
      </c>
      <c r="I8" s="2992">
        <v>4.4999999999999998E-2</v>
      </c>
      <c r="J8" s="74">
        <v>8.5000000000000006E-2</v>
      </c>
      <c r="K8" s="1250">
        <f>SUMIF('数据-汇总表'!C$19:C$33,A8,'数据-汇总表'!E$19:E$33)</f>
        <v>3382.29</v>
      </c>
      <c r="L8" s="803">
        <v>2500</v>
      </c>
      <c r="M8" s="75">
        <f>ROUND(K8*L8/10000,0)</f>
        <v>846</v>
      </c>
      <c r="N8" s="801">
        <f>N6</f>
        <v>0.83</v>
      </c>
      <c r="O8" s="75" t="str">
        <f t="shared" si="3"/>
        <v>——</v>
      </c>
      <c r="P8" s="76" t="str">
        <f t="shared" si="4"/>
        <v>——</v>
      </c>
      <c r="Q8" s="804">
        <v>0.05</v>
      </c>
      <c r="R8" s="77">
        <f ca="1">SUMIF('数据-汇总表'!C$19:C$33,A8,'数据-汇总表'!R$19:R$27)</f>
        <v>1313.68</v>
      </c>
      <c r="S8" s="54">
        <f>IF('数据-汇总表'!$I$17="按面积比例",SUMIF('数据-汇总表'!C$19:C$33,A8,'数据-汇总表'!K$19:K$33),SUMIF('数据-汇总表'!C$19:C$33,A8,'数据-汇总表'!N$19:N$33))</f>
        <v>52.9</v>
      </c>
      <c r="T8" s="1442">
        <f t="shared" si="5"/>
        <v>13</v>
      </c>
      <c r="U8" s="805">
        <v>1</v>
      </c>
      <c r="V8" s="806">
        <v>0.02</v>
      </c>
      <c r="W8" s="806">
        <v>0.1</v>
      </c>
      <c r="X8" s="1260"/>
      <c r="Y8" s="807">
        <f>N8</f>
        <v>0.83</v>
      </c>
      <c r="Z8" s="81"/>
      <c r="AA8" s="74"/>
      <c r="AB8" s="74"/>
      <c r="AC8" s="1260"/>
      <c r="AD8" s="82"/>
      <c r="AE8" s="1261">
        <f t="shared" ca="1" si="6"/>
        <v>34.18</v>
      </c>
      <c r="AF8" s="1802"/>
      <c r="AG8" s="147">
        <f t="shared" si="7"/>
        <v>0</v>
      </c>
      <c r="AH8" s="808"/>
      <c r="AI8" s="85">
        <v>365</v>
      </c>
      <c r="AJ8" s="86"/>
      <c r="AK8" s="809">
        <v>1.4999999999999999E-2</v>
      </c>
      <c r="AL8" s="810">
        <v>1.5E-3</v>
      </c>
      <c r="AM8" s="811">
        <v>0.01</v>
      </c>
      <c r="AN8" s="2298" t="s">
        <v>3094</v>
      </c>
      <c r="AO8" s="55">
        <f t="shared" ca="1" si="8"/>
        <v>1554</v>
      </c>
      <c r="AP8" s="2299">
        <f t="shared" si="9"/>
        <v>0</v>
      </c>
      <c r="AQ8" s="55">
        <f t="shared" si="10"/>
        <v>11</v>
      </c>
      <c r="AR8" s="55">
        <f t="shared" si="11"/>
        <v>2</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8" customFormat="1" ht="14.25">
      <c r="A9" s="2295">
        <f>'数据-汇总表'!C22</f>
        <v>0</v>
      </c>
      <c r="B9" s="2296" t="str">
        <f t="shared" si="1"/>
        <v/>
      </c>
      <c r="C9" s="229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8" customFormat="1" ht="14.25">
      <c r="A10" s="2295">
        <f>'数据-汇总表'!C23</f>
        <v>0</v>
      </c>
      <c r="B10" s="2296" t="str">
        <f t="shared" si="1"/>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8" customFormat="1" ht="14.25">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8" customFormat="1" ht="14.25">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8" customFormat="1" ht="14.25">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8" customFormat="1" ht="14.25">
      <c r="A14" s="2300" t="s">
        <v>2002</v>
      </c>
      <c r="B14" s="2296" t="s">
        <v>2003</v>
      </c>
      <c r="C14" s="2301" t="s">
        <v>2002</v>
      </c>
      <c r="D14" s="1051"/>
      <c r="E14" s="1048"/>
      <c r="F14" s="72"/>
      <c r="G14" s="73"/>
      <c r="H14" s="1249"/>
      <c r="I14" s="1249"/>
      <c r="J14" s="1249"/>
      <c r="K14" s="1250">
        <f>SUMIF('数据-汇总表'!C$19:C$33,A14,'数据-汇总表'!E$19:E$33)</f>
        <v>381.09000000000003</v>
      </c>
      <c r="L14" s="91">
        <f>L8</f>
        <v>2500</v>
      </c>
      <c r="M14" s="75">
        <f t="shared" si="0"/>
        <v>95</v>
      </c>
      <c r="N14" s="92">
        <f>N6</f>
        <v>0.83</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8" customFormat="1" ht="27">
      <c r="A15" s="2300" t="s">
        <v>2004</v>
      </c>
      <c r="B15" s="2296" t="s">
        <v>2003</v>
      </c>
      <c r="C15" s="2301" t="s">
        <v>2005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8" customFormat="1" ht="15.75" thickBot="1">
      <c r="A16" s="2302" t="s">
        <v>2006</v>
      </c>
      <c r="B16" s="97"/>
      <c r="C16" s="1005"/>
      <c r="D16" s="2303"/>
      <c r="E16" s="97"/>
      <c r="F16" s="97"/>
      <c r="G16" s="98">
        <f ca="1">ROUND(SUMPRODUCT(G6:G13,K6:K13)/SUMPRODUCT((G6:G13&gt;0)*(K6:K13)),3)</f>
        <v>0.93700000000000006</v>
      </c>
      <c r="H16" s="99">
        <f ca="1">ROUND(SUMPRODUCT(H6:H13,K6:K13)/SUMPRODUCT((H6:H13&gt;0)*(K6:K13)),3)</f>
        <v>4.4999999999999998E-2</v>
      </c>
      <c r="I16" s="100"/>
      <c r="J16" s="100"/>
      <c r="K16" s="101">
        <f>SUM(K6:K15)</f>
        <v>24747.89</v>
      </c>
      <c r="L16" s="102">
        <f>ROUND(M16*10000/SUM(K6:K14),0)</f>
        <v>5388</v>
      </c>
      <c r="M16" s="102">
        <f>SUM(M6:M14)</f>
        <v>13333</v>
      </c>
      <c r="N16" s="103">
        <f>ROUND(SUMPRODUCT(M6:M14,N6:N14)/M16,3)</f>
        <v>0.83</v>
      </c>
      <c r="O16" s="102">
        <f>SUM(O6:O14)</f>
        <v>0</v>
      </c>
      <c r="P16" s="102">
        <f>SUM(P6:P14)</f>
        <v>0</v>
      </c>
      <c r="Q16" s="104">
        <f>ROUND(SUMPRODUCT(Q6:Q13,K6:K13)/SUMPRODUCT((Q6:Q13&gt;0)*(K6:K13)),2)</f>
        <v>0.18</v>
      </c>
      <c r="R16" s="1254">
        <f ca="1">SUM(R6:R13)</f>
        <v>9464.0399999999991</v>
      </c>
      <c r="S16" s="105">
        <f>SUM(S6:S13)</f>
        <v>381.09</v>
      </c>
      <c r="T16" s="106">
        <f>IF(SUMIF(T6:T13,"&lt;9E307")=M14,SUMIF(T6:T13,"&lt;9E307"),"有误，请检查")</f>
        <v>95</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79"/>
      <c r="D17" s="2262"/>
      <c r="E17" s="226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69"/>
      <c r="C18" s="2266"/>
      <c r="D18" s="2267"/>
      <c r="E18" s="2266"/>
      <c r="F18" s="2266"/>
      <c r="G18" s="2266"/>
      <c r="H18" s="2266"/>
      <c r="I18" s="2266"/>
      <c r="J18" s="2266"/>
      <c r="K18" s="168"/>
      <c r="L18" s="168"/>
      <c r="M18" s="1579">
        <v>2004</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2008</v>
      </c>
      <c r="B19" s="112">
        <v>0</v>
      </c>
      <c r="C19" s="2266" t="s">
        <v>2009</v>
      </c>
      <c r="D19" s="2267"/>
      <c r="E19" s="2266"/>
      <c r="F19" s="2266"/>
      <c r="G19" s="2266"/>
      <c r="H19" s="2266"/>
      <c r="I19" s="2266"/>
      <c r="J19" s="2266"/>
      <c r="K19" s="168"/>
      <c r="L19" s="168"/>
      <c r="M19" s="2982">
        <v>0.75</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2010</v>
      </c>
      <c r="B20" s="113">
        <v>2</v>
      </c>
      <c r="C20" s="2266" t="s">
        <v>2011</v>
      </c>
      <c r="D20" s="2267"/>
      <c r="E20" s="2266"/>
      <c r="F20" s="2266"/>
      <c r="G20" s="2266"/>
      <c r="H20" s="2266"/>
      <c r="I20" s="2266"/>
      <c r="J20" s="2266"/>
      <c r="K20" s="168"/>
      <c r="L20" s="168"/>
      <c r="M20" s="2982">
        <v>0.9</v>
      </c>
      <c r="N20" s="2983">
        <f>ROUND((M19+M20)/2,2)</f>
        <v>0.83</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2012</v>
      </c>
      <c r="B21" s="113">
        <f>B20</f>
        <v>2</v>
      </c>
      <c r="C21" s="2266"/>
      <c r="D21" s="2267"/>
      <c r="E21" s="2266"/>
      <c r="F21" s="2266"/>
      <c r="G21" s="2266"/>
      <c r="H21" s="2266"/>
      <c r="I21" s="2266"/>
      <c r="J21" s="226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2013</v>
      </c>
      <c r="B22" s="114">
        <f>B19+B20</f>
        <v>2</v>
      </c>
      <c r="C22" s="2266"/>
      <c r="D22" s="2267"/>
      <c r="E22" s="2266"/>
      <c r="F22" s="2266"/>
      <c r="G22" s="2266"/>
      <c r="H22" s="2266"/>
      <c r="I22" s="2266"/>
      <c r="J22" s="226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2014</v>
      </c>
      <c r="B23" s="114">
        <f>B19+B21</f>
        <v>2</v>
      </c>
      <c r="C23" s="2266"/>
      <c r="D23" s="2267"/>
      <c r="E23" s="2266"/>
      <c r="F23" s="2266"/>
      <c r="G23" s="2266"/>
      <c r="H23" s="2266"/>
      <c r="I23" s="2266"/>
      <c r="J23" s="226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2015</v>
      </c>
      <c r="B24" s="115">
        <f>B20-B21</f>
        <v>0</v>
      </c>
      <c r="C24" s="2266"/>
      <c r="D24" s="2267"/>
      <c r="E24" s="2266"/>
      <c r="F24" s="2266"/>
      <c r="G24" s="2266"/>
      <c r="H24" s="2266"/>
      <c r="I24" s="2266"/>
      <c r="J24" s="226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9"/>
      <c r="C25" s="2266"/>
      <c r="D25" s="2267"/>
      <c r="E25" s="2266"/>
      <c r="F25" s="2266"/>
      <c r="G25" s="2266"/>
      <c r="H25" s="2266"/>
      <c r="I25" s="2266"/>
      <c r="J25" s="226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2016</v>
      </c>
      <c r="B26" s="2309" t="s">
        <v>2017</v>
      </c>
      <c r="C26" s="2310" t="s">
        <v>2018</v>
      </c>
      <c r="D26" s="2267"/>
      <c r="E26" s="2266"/>
      <c r="F26" s="2266"/>
      <c r="G26" s="2266"/>
      <c r="H26" s="2266"/>
      <c r="I26" s="2266"/>
      <c r="J26" s="226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2019</v>
      </c>
      <c r="B27" s="116">
        <v>160</v>
      </c>
      <c r="C27" s="1762" t="s">
        <v>2020</v>
      </c>
      <c r="D27" s="2312"/>
      <c r="E27" s="1426"/>
      <c r="F27" s="1426"/>
      <c r="G27" s="2266"/>
      <c r="H27" s="2266"/>
      <c r="I27" s="2266"/>
      <c r="J27" s="226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2021</v>
      </c>
      <c r="B28" s="119">
        <v>200</v>
      </c>
      <c r="C28" s="2315"/>
      <c r="D28" s="2312"/>
      <c r="E28" s="1426"/>
      <c r="F28" s="1426"/>
      <c r="G28" s="2266"/>
      <c r="H28" s="2266"/>
      <c r="I28" s="2266"/>
      <c r="J28" s="226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2022</v>
      </c>
      <c r="B29" s="121"/>
      <c r="C29" s="1762" t="s">
        <v>2023</v>
      </c>
      <c r="D29" s="2312"/>
      <c r="E29" s="1426"/>
      <c r="F29" s="1426"/>
      <c r="G29" s="2266"/>
      <c r="H29" s="2266"/>
      <c r="I29" s="2266"/>
      <c r="J29" s="226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2024</v>
      </c>
      <c r="B30" s="724">
        <v>200</v>
      </c>
      <c r="C30" s="2315"/>
      <c r="D30" s="2312"/>
      <c r="E30" s="1426"/>
      <c r="F30" s="1426"/>
      <c r="G30" s="2266"/>
      <c r="H30" s="2266"/>
      <c r="I30" s="2266"/>
      <c r="J30" s="226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2025</v>
      </c>
      <c r="B31" s="120">
        <f>B30-B32</f>
        <v>200</v>
      </c>
      <c r="C31" s="1762"/>
      <c r="D31" s="2312"/>
      <c r="E31" s="1426"/>
      <c r="F31" s="1426"/>
      <c r="G31" s="2266"/>
      <c r="H31" s="2266"/>
      <c r="I31" s="2266"/>
      <c r="J31" s="226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2026</v>
      </c>
      <c r="B32" s="725">
        <v>0</v>
      </c>
      <c r="C32" s="2315"/>
      <c r="D32" s="2267"/>
      <c r="E32" s="2266"/>
      <c r="F32" s="2266"/>
      <c r="G32" s="2266"/>
      <c r="H32" s="2266"/>
      <c r="I32" s="2266"/>
      <c r="J32" s="226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2027</v>
      </c>
      <c r="B33" s="726">
        <v>0.03</v>
      </c>
      <c r="C33" s="1761" t="s">
        <v>2028</v>
      </c>
      <c r="D33" s="2267"/>
      <c r="E33" s="2266"/>
      <c r="F33" s="2266"/>
      <c r="G33" s="2266"/>
      <c r="H33" s="2266"/>
      <c r="I33" s="2266"/>
      <c r="J33" s="226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2029</v>
      </c>
      <c r="B34" s="122">
        <v>0.05</v>
      </c>
      <c r="C34" s="1761" t="s">
        <v>2030</v>
      </c>
      <c r="D34" s="2267" t="s">
        <v>2031</v>
      </c>
      <c r="E34" s="732"/>
      <c r="F34" s="2266"/>
      <c r="G34" s="2266"/>
      <c r="H34" s="2266"/>
      <c r="I34" s="2266"/>
      <c r="J34" s="226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2032</v>
      </c>
      <c r="B35" s="119">
        <v>200</v>
      </c>
      <c r="C35" s="1761" t="s">
        <v>2033</v>
      </c>
      <c r="D35" s="2312"/>
      <c r="E35" s="1426"/>
      <c r="F35" s="1426"/>
      <c r="G35" s="2266"/>
      <c r="H35" s="2266"/>
      <c r="I35" s="2266"/>
      <c r="J35" s="226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2034</v>
      </c>
      <c r="B36" s="123">
        <v>1.4999999999999999E-2</v>
      </c>
      <c r="C36" s="1761" t="s">
        <v>2035</v>
      </c>
      <c r="D36" s="2267"/>
      <c r="E36" s="2266"/>
      <c r="F36" s="2266"/>
      <c r="G36" s="2266"/>
      <c r="H36" s="2266"/>
      <c r="I36" s="2266"/>
      <c r="J36" s="226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2036</v>
      </c>
      <c r="B37" s="124">
        <v>0.02</v>
      </c>
      <c r="C37" s="1761" t="s">
        <v>2037</v>
      </c>
      <c r="D37" s="2267"/>
      <c r="E37" s="2266"/>
      <c r="F37" s="2266"/>
      <c r="G37" s="2266"/>
      <c r="H37" s="2266"/>
      <c r="I37" s="2266"/>
      <c r="J37" s="226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2038</v>
      </c>
      <c r="B38" s="122">
        <v>0.02</v>
      </c>
      <c r="C38" s="1761" t="s">
        <v>2037</v>
      </c>
      <c r="D38" s="2267"/>
      <c r="E38" s="2266"/>
      <c r="F38" s="2266"/>
      <c r="G38" s="2266"/>
      <c r="H38" s="2266"/>
      <c r="I38" s="2266"/>
      <c r="J38" s="226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2039</v>
      </c>
      <c r="B39" s="362">
        <f ca="1">存贷款利率!I1</f>
        <v>1.4999999999999999E-2</v>
      </c>
      <c r="C39" s="1761"/>
      <c r="D39" s="2267"/>
      <c r="E39" s="2266"/>
      <c r="F39" s="2266"/>
      <c r="G39" s="2266"/>
      <c r="H39" s="2266"/>
      <c r="I39" s="2266"/>
      <c r="J39" s="226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2040</v>
      </c>
      <c r="B40" s="1299">
        <f ca="1">存贷款利率!G1</f>
        <v>4.7500000000000001E-2</v>
      </c>
      <c r="C40" s="1761" t="s">
        <v>2041</v>
      </c>
      <c r="D40" s="1579"/>
      <c r="E40" s="2267"/>
      <c r="F40" s="2266"/>
      <c r="G40" s="2266"/>
      <c r="H40" s="2266"/>
      <c r="I40" s="2266"/>
      <c r="J40" s="226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2042</v>
      </c>
      <c r="B41" s="125">
        <f>B42+B43</f>
        <v>5.6000000000000001E-2</v>
      </c>
      <c r="C41" s="1762"/>
      <c r="D41" s="1579"/>
      <c r="E41" s="2267"/>
      <c r="F41" s="2266"/>
      <c r="G41" s="2266"/>
      <c r="H41" s="2266"/>
      <c r="I41" s="2266"/>
      <c r="J41" s="226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2043</v>
      </c>
      <c r="B42" s="126">
        <v>0.05</v>
      </c>
      <c r="C42" s="2320">
        <f>IF(B2&lt;DATE(2016,5,1),0,B42)</f>
        <v>0.05</v>
      </c>
      <c r="D42" s="2267"/>
      <c r="E42" s="2266"/>
      <c r="F42" s="2266"/>
      <c r="G42" s="2266"/>
      <c r="H42" s="2266"/>
      <c r="I42" s="2266"/>
      <c r="J42" s="226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2044</v>
      </c>
      <c r="B43" s="127">
        <f>B42*(B44+B45+B46)+B47</f>
        <v>6.000000000000001E-3</v>
      </c>
      <c r="C43" s="1762"/>
      <c r="D43" s="2267"/>
      <c r="E43" s="2266"/>
      <c r="F43" s="2266"/>
      <c r="G43" s="2266"/>
      <c r="H43" s="2266"/>
      <c r="I43" s="2266"/>
      <c r="J43" s="226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2045</v>
      </c>
      <c r="B44" s="128">
        <v>7.0000000000000007E-2</v>
      </c>
      <c r="C44" s="1761" t="s">
        <v>2046</v>
      </c>
      <c r="D44" s="2267"/>
      <c r="E44" s="2266"/>
      <c r="F44" s="2266"/>
      <c r="G44" s="2266"/>
      <c r="H44" s="2266"/>
      <c r="I44" s="2266"/>
      <c r="J44" s="226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2047</v>
      </c>
      <c r="B45" s="126">
        <v>0.03</v>
      </c>
      <c r="C45" s="1762" t="s">
        <v>2048</v>
      </c>
      <c r="D45" s="2267"/>
      <c r="E45" s="2266"/>
      <c r="F45" s="2266"/>
      <c r="G45" s="2266"/>
      <c r="H45" s="2266"/>
      <c r="I45" s="2266"/>
      <c r="J45" s="226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2049</v>
      </c>
      <c r="B46" s="126">
        <v>0.02</v>
      </c>
      <c r="C46" s="1762" t="s">
        <v>2050</v>
      </c>
      <c r="D46" s="2267"/>
      <c r="E46" s="2266"/>
      <c r="F46" s="2266"/>
      <c r="G46" s="2266"/>
      <c r="H46" s="2266"/>
      <c r="I46" s="2266"/>
      <c r="J46" s="226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2051</v>
      </c>
      <c r="B47" s="129"/>
      <c r="C47" s="1762" t="s">
        <v>2052</v>
      </c>
      <c r="D47" s="2267"/>
      <c r="E47" s="2266"/>
      <c r="F47" s="2266"/>
      <c r="G47" s="2266"/>
      <c r="H47" s="2266"/>
      <c r="I47" s="2266"/>
      <c r="J47" s="226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2053</v>
      </c>
      <c r="B48" s="130">
        <v>0.03</v>
      </c>
      <c r="C48" s="1769" t="s">
        <v>2054</v>
      </c>
      <c r="D48" s="2267"/>
      <c r="E48" s="2266"/>
      <c r="F48" s="2266"/>
      <c r="G48" s="2266"/>
      <c r="H48" s="2266"/>
      <c r="I48" s="2266"/>
      <c r="J48" s="226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2055</v>
      </c>
      <c r="B49" s="126">
        <v>5.0000000000000001E-4</v>
      </c>
      <c r="C49" s="1769" t="s">
        <v>2056</v>
      </c>
      <c r="D49" s="2267"/>
      <c r="E49" s="2266"/>
      <c r="F49" s="2266"/>
      <c r="G49" s="2266"/>
      <c r="H49" s="2266"/>
      <c r="I49" s="2266"/>
      <c r="J49" s="226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2057</v>
      </c>
      <c r="B50" s="131">
        <v>1.2E-2</v>
      </c>
      <c r="C50" s="1426"/>
      <c r="D50" s="2267"/>
      <c r="E50" s="2266"/>
      <c r="F50" s="2266"/>
      <c r="G50" s="2266"/>
      <c r="H50" s="2266"/>
      <c r="I50" s="2266"/>
      <c r="J50" s="226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2058</v>
      </c>
      <c r="B51" s="132">
        <v>0.12</v>
      </c>
      <c r="C51" s="1426"/>
      <c r="D51" s="2267"/>
      <c r="E51" s="2266"/>
      <c r="F51" s="2266"/>
      <c r="G51" s="2266"/>
      <c r="H51" s="2266"/>
      <c r="I51" s="2266"/>
      <c r="J51" s="226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2059</v>
      </c>
      <c r="B52" s="133">
        <f>SUMIF(A54:A63,B53,B54:B63)</f>
        <v>24</v>
      </c>
      <c r="C52" s="1426"/>
      <c r="D52" s="2267"/>
      <c r="E52" s="2266"/>
      <c r="F52" s="2266"/>
      <c r="G52" s="2266"/>
      <c r="H52" s="2266"/>
      <c r="I52" s="2266"/>
      <c r="J52" s="226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2060</v>
      </c>
      <c r="B53" s="2325" t="s">
        <v>269</v>
      </c>
      <c r="C53" s="1426" t="s">
        <v>2061</v>
      </c>
      <c r="D53" s="2326" t="s">
        <v>2062</v>
      </c>
      <c r="E53" s="2266"/>
      <c r="F53" s="2266"/>
      <c r="G53" s="2266"/>
      <c r="H53" s="2266"/>
      <c r="I53" s="2266"/>
      <c r="J53" s="226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2063</v>
      </c>
      <c r="B54" s="84"/>
      <c r="C54" s="1426">
        <v>30</v>
      </c>
      <c r="D54" s="2267"/>
      <c r="E54" s="2266"/>
      <c r="F54" s="2266"/>
      <c r="G54" s="2266"/>
      <c r="H54" s="2266"/>
      <c r="I54" s="2266"/>
      <c r="J54" s="226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2064</v>
      </c>
      <c r="B55" s="84">
        <v>24</v>
      </c>
      <c r="C55" s="1426">
        <v>24</v>
      </c>
      <c r="D55" s="2267"/>
      <c r="E55" s="2266"/>
      <c r="F55" s="2266"/>
      <c r="G55" s="2266"/>
      <c r="H55" s="2266"/>
      <c r="I55" s="2328"/>
      <c r="J55" s="226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2065</v>
      </c>
      <c r="B56" s="84"/>
      <c r="C56" s="1426">
        <v>18</v>
      </c>
      <c r="D56" s="2267"/>
      <c r="E56" s="2266"/>
      <c r="F56" s="2266"/>
      <c r="G56" s="2266"/>
      <c r="H56" s="2266"/>
      <c r="I56" s="2266"/>
      <c r="J56" s="226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2066</v>
      </c>
      <c r="B57" s="84"/>
      <c r="C57" s="1426">
        <v>12</v>
      </c>
      <c r="D57" s="2267"/>
      <c r="E57" s="2266"/>
      <c r="F57" s="2266"/>
      <c r="G57" s="2266"/>
      <c r="H57" s="2266"/>
      <c r="I57" s="2266"/>
      <c r="J57" s="226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2067</v>
      </c>
      <c r="B58" s="84"/>
      <c r="C58" s="1426">
        <v>3</v>
      </c>
      <c r="D58" s="2267"/>
      <c r="E58" s="2266"/>
      <c r="F58" s="2266"/>
      <c r="G58" s="2266"/>
      <c r="H58" s="2266"/>
      <c r="I58" s="2266"/>
      <c r="J58" s="226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2068</v>
      </c>
      <c r="B59" s="84"/>
      <c r="C59" s="1426">
        <v>1.5</v>
      </c>
      <c r="D59" s="2267"/>
      <c r="E59" s="2266"/>
      <c r="F59" s="2266"/>
      <c r="G59" s="2266"/>
      <c r="H59" s="2266"/>
      <c r="I59" s="2266"/>
      <c r="J59" s="226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2069</v>
      </c>
      <c r="B60" s="84"/>
      <c r="C60" s="2266"/>
      <c r="D60" s="2267"/>
      <c r="E60" s="2266"/>
      <c r="F60" s="2266"/>
      <c r="G60" s="2266"/>
      <c r="H60" s="2266"/>
      <c r="I60" s="2266"/>
      <c r="J60" s="226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2070</v>
      </c>
      <c r="B61" s="84"/>
      <c r="C61" s="2266"/>
      <c r="D61" s="2267"/>
      <c r="E61" s="2266"/>
      <c r="F61" s="2266"/>
      <c r="G61" s="2266"/>
      <c r="H61" s="2266"/>
      <c r="I61" s="2266"/>
      <c r="J61" s="226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2071</v>
      </c>
      <c r="B62" s="84"/>
      <c r="C62" s="2266"/>
      <c r="D62" s="2267"/>
      <c r="E62" s="2266"/>
      <c r="F62" s="2266"/>
      <c r="G62" s="2266"/>
      <c r="H62" s="2266"/>
      <c r="I62" s="2266"/>
      <c r="J62" s="226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2072</v>
      </c>
      <c r="B63" s="134"/>
      <c r="C63" s="2266"/>
      <c r="D63" s="2267"/>
      <c r="E63" s="2266"/>
      <c r="F63" s="2266"/>
      <c r="G63" s="2266"/>
      <c r="H63" s="2266"/>
      <c r="I63" s="2266"/>
      <c r="J63" s="226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364" t="s">
        <v>2073</v>
      </c>
      <c r="B1" s="3365"/>
      <c r="C1" s="3365"/>
      <c r="D1" s="3365"/>
      <c r="E1" s="3365"/>
      <c r="F1" s="3365"/>
      <c r="G1" s="3365"/>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2074</v>
      </c>
      <c r="D2" s="2355"/>
      <c r="E2" s="2356"/>
      <c r="F2" s="2275"/>
      <c r="G2" s="2354" t="s">
        <v>2075</v>
      </c>
      <c r="H2" s="2357"/>
      <c r="I2" s="2357"/>
      <c r="J2" s="2357"/>
      <c r="K2" s="2357"/>
      <c r="L2" s="2357"/>
      <c r="M2" s="2357"/>
      <c r="N2" s="2357"/>
      <c r="O2" s="2357"/>
      <c r="P2" s="2357"/>
      <c r="Q2" s="2357"/>
      <c r="R2" s="2357"/>
    </row>
    <row r="3" spans="1:29" ht="42.75">
      <c r="A3" s="415" t="s">
        <v>2076</v>
      </c>
      <c r="B3" s="1267" t="s">
        <v>2077</v>
      </c>
      <c r="C3" s="2984" t="s">
        <v>3631</v>
      </c>
      <c r="D3" s="2359"/>
      <c r="E3" s="431" t="s">
        <v>2076</v>
      </c>
      <c r="F3" s="2360" t="s">
        <v>2078</v>
      </c>
      <c r="G3" s="2361" t="s">
        <v>2079</v>
      </c>
      <c r="H3" s="2357"/>
      <c r="I3" s="2357"/>
      <c r="J3" s="2357"/>
      <c r="K3" s="2357"/>
      <c r="L3" s="2357"/>
      <c r="M3" s="2357"/>
      <c r="N3" s="2357"/>
      <c r="O3" s="2357"/>
      <c r="P3" s="2357"/>
      <c r="Q3" s="2357"/>
      <c r="R3" s="2357"/>
    </row>
    <row r="4" spans="1:29" ht="40.5">
      <c r="A4" s="431"/>
      <c r="B4" s="1793" t="s">
        <v>2080</v>
      </c>
      <c r="C4" s="2985" t="s">
        <v>3114</v>
      </c>
      <c r="D4" s="2359"/>
      <c r="E4" s="2362"/>
      <c r="F4" s="42" t="s">
        <v>2081</v>
      </c>
      <c r="G4" s="2363" t="s">
        <v>2082</v>
      </c>
      <c r="H4" s="2357"/>
      <c r="I4" s="2357"/>
      <c r="J4" s="2357"/>
      <c r="K4" s="2357"/>
      <c r="L4" s="2357"/>
      <c r="M4" s="2357"/>
      <c r="N4" s="2357"/>
      <c r="O4" s="2357"/>
      <c r="P4" s="2357"/>
      <c r="Q4" s="2357"/>
      <c r="R4" s="2357"/>
    </row>
    <row r="5" spans="1:29" ht="27">
      <c r="A5" s="431"/>
      <c r="B5" s="1793" t="s">
        <v>2083</v>
      </c>
      <c r="C5" s="2985" t="s">
        <v>3115</v>
      </c>
      <c r="D5" s="2359"/>
      <c r="E5" s="2362"/>
      <c r="F5" s="1793" t="s">
        <v>2084</v>
      </c>
      <c r="G5" s="2363" t="s">
        <v>2085</v>
      </c>
      <c r="H5" s="2357"/>
      <c r="I5" s="2357"/>
      <c r="J5" s="2357"/>
      <c r="K5" s="2357"/>
      <c r="L5" s="2357"/>
      <c r="M5" s="2357"/>
      <c r="N5" s="2357"/>
      <c r="O5" s="2357"/>
      <c r="P5" s="2357"/>
      <c r="Q5" s="2357"/>
      <c r="R5" s="2357"/>
    </row>
    <row r="6" spans="1:29" ht="15">
      <c r="A6" s="431"/>
      <c r="B6" s="1793" t="s">
        <v>2086</v>
      </c>
      <c r="C6" s="2986" t="s">
        <v>3113</v>
      </c>
      <c r="D6" s="2359"/>
      <c r="E6" s="2362"/>
      <c r="F6" s="1793" t="s">
        <v>2087</v>
      </c>
      <c r="G6" s="2363" t="s">
        <v>2088</v>
      </c>
      <c r="H6" s="2357"/>
      <c r="I6" s="2357"/>
      <c r="J6" s="2357"/>
      <c r="K6" s="2357"/>
      <c r="L6" s="2357"/>
      <c r="M6" s="2357"/>
      <c r="N6" s="2357"/>
      <c r="O6" s="2357"/>
      <c r="P6" s="2357"/>
      <c r="Q6" s="2357"/>
      <c r="R6" s="2357"/>
    </row>
    <row r="7" spans="1:29" ht="41.25" thickBot="1">
      <c r="A7" s="431"/>
      <c r="B7" s="1793" t="s">
        <v>2084</v>
      </c>
      <c r="C7" s="2986" t="s">
        <v>3632</v>
      </c>
      <c r="D7" s="2364"/>
      <c r="E7" s="2365"/>
      <c r="F7" s="2366" t="s">
        <v>2089</v>
      </c>
      <c r="G7" s="2367" t="s">
        <v>2090</v>
      </c>
      <c r="H7" s="2357"/>
      <c r="I7" s="2357"/>
      <c r="J7" s="2357"/>
      <c r="K7" s="2357"/>
      <c r="L7" s="2357"/>
      <c r="M7" s="2357"/>
      <c r="N7" s="2357"/>
      <c r="O7" s="2357"/>
      <c r="P7" s="2357"/>
      <c r="Q7" s="2357"/>
      <c r="R7" s="2357"/>
    </row>
    <row r="8" spans="1:29" ht="15">
      <c r="A8" s="431"/>
      <c r="B8" s="1793" t="s">
        <v>2087</v>
      </c>
      <c r="C8" s="2986" t="s">
        <v>3116</v>
      </c>
      <c r="D8" s="2364"/>
      <c r="E8" s="2364"/>
      <c r="F8" s="1132"/>
      <c r="G8" s="1132"/>
      <c r="H8" s="2357"/>
      <c r="I8" s="2357"/>
      <c r="J8" s="2357"/>
      <c r="K8" s="2357"/>
      <c r="L8" s="2357"/>
      <c r="M8" s="2357"/>
      <c r="N8" s="2357"/>
      <c r="O8" s="2357"/>
      <c r="P8" s="2357"/>
      <c r="Q8" s="2357"/>
      <c r="R8" s="2357"/>
    </row>
    <row r="9" spans="1:29" ht="15">
      <c r="A9" s="431"/>
      <c r="B9" s="1793" t="s">
        <v>2091</v>
      </c>
      <c r="C9" s="2985" t="s">
        <v>3631</v>
      </c>
      <c r="D9" s="2359"/>
      <c r="E9" s="2364"/>
      <c r="F9" s="1132"/>
      <c r="G9" s="1132"/>
      <c r="H9" s="2357"/>
      <c r="I9" s="2357"/>
      <c r="J9" s="2357"/>
      <c r="K9" s="2357"/>
      <c r="L9" s="2357"/>
      <c r="M9" s="2357"/>
      <c r="N9" s="2357"/>
      <c r="O9" s="2357"/>
      <c r="P9" s="2357"/>
      <c r="Q9" s="2357"/>
      <c r="R9" s="2357"/>
    </row>
    <row r="10" spans="1:29" s="117" customFormat="1" ht="15.75" thickBot="1">
      <c r="A10" s="2368"/>
      <c r="B10" s="2369" t="s">
        <v>2092</v>
      </c>
      <c r="C10" s="2987" t="s">
        <v>3117</v>
      </c>
      <c r="D10" s="2359"/>
      <c r="E10" s="2359"/>
      <c r="F10" s="1132"/>
      <c r="G10" s="1132"/>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7" customFormat="1" ht="15">
      <c r="A11" s="2373"/>
      <c r="B11" s="2364"/>
      <c r="C11" s="2359"/>
      <c r="D11" s="2359"/>
      <c r="E11" s="2359"/>
      <c r="F11" s="2364"/>
      <c r="G11" s="1150"/>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50"/>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2093</v>
      </c>
      <c r="B13" s="2374"/>
      <c r="C13" s="2374"/>
      <c r="D13" s="2381"/>
      <c r="E13" s="2374"/>
      <c r="F13" s="2374"/>
      <c r="G13" s="2374"/>
    </row>
    <row r="14" spans="1:29" ht="15.75" thickBot="1">
      <c r="A14" s="2385"/>
      <c r="B14" s="2386"/>
      <c r="C14" s="2387" t="s">
        <v>2094</v>
      </c>
      <c r="D14" s="2359"/>
      <c r="E14" s="2388"/>
      <c r="F14" s="2388"/>
      <c r="G14" s="2354" t="s">
        <v>2095</v>
      </c>
    </row>
    <row r="15" spans="1:29" ht="42.75">
      <c r="A15" s="68" t="s">
        <v>2096</v>
      </c>
      <c r="B15" s="1266" t="s">
        <v>2077</v>
      </c>
      <c r="C15" s="2389" t="str">
        <f>C3</f>
        <v>好</v>
      </c>
      <c r="D15" s="2359"/>
      <c r="E15" s="2390" t="s">
        <v>2097</v>
      </c>
      <c r="F15" s="1266" t="s">
        <v>2098</v>
      </c>
      <c r="G15" s="135" t="str">
        <f>G3</f>
        <v>估价对象位于XX开发区，园区建设成熟度XX，产业集聚程度XX</v>
      </c>
    </row>
    <row r="16" spans="1:29" ht="42.75">
      <c r="A16" s="645"/>
      <c r="B16" s="2391" t="s">
        <v>2080</v>
      </c>
      <c r="C16" s="2392" t="str">
        <f>C4</f>
        <v>较好</v>
      </c>
      <c r="D16" s="2359"/>
      <c r="E16" s="2393"/>
      <c r="F16" s="2394" t="s">
        <v>2081</v>
      </c>
      <c r="G16" s="136" t="str">
        <f>G4</f>
        <v>估价对象周边道路状况、公共交通通达情况、停车便捷程度，综合评价交通便捷度较好</v>
      </c>
    </row>
    <row r="17" spans="1:18" ht="15">
      <c r="A17" s="645"/>
      <c r="B17" s="2391" t="s">
        <v>2083</v>
      </c>
      <c r="C17" s="2392" t="str">
        <f>C5</f>
        <v>较好</v>
      </c>
      <c r="D17" s="2364"/>
      <c r="E17" s="2393"/>
      <c r="F17" s="2394" t="s">
        <v>2099</v>
      </c>
      <c r="G17" s="1567"/>
    </row>
    <row r="18" spans="1:18" ht="42.75">
      <c r="A18" s="645"/>
      <c r="B18" s="2394" t="s">
        <v>2086</v>
      </c>
      <c r="C18" s="136" t="str">
        <f>C6</f>
        <v>较好</v>
      </c>
      <c r="D18" s="2364"/>
      <c r="E18" s="2393"/>
      <c r="F18" s="2394" t="s">
        <v>2089</v>
      </c>
      <c r="G18" s="136" t="str">
        <f>G7</f>
        <v>该园区内是否有污染型企业，绿化情况，卫生条件，整体环境状况判断</v>
      </c>
    </row>
    <row r="19" spans="1:18" ht="28.5">
      <c r="A19" s="645"/>
      <c r="B19" s="2394" t="s">
        <v>2100</v>
      </c>
      <c r="C19" s="2988" t="s">
        <v>3118</v>
      </c>
      <c r="D19" s="2359"/>
      <c r="E19" s="2393"/>
      <c r="F19" s="1793" t="s">
        <v>2084</v>
      </c>
      <c r="G19" s="136" t="str">
        <f>G5</f>
        <v>估价对象所在区域公共配套设施齐备情况</v>
      </c>
    </row>
    <row r="20" spans="1:18" ht="15">
      <c r="A20" s="645"/>
      <c r="B20" s="2394" t="s">
        <v>2101</v>
      </c>
      <c r="C20" s="2392" t="str">
        <f>C9</f>
        <v>好</v>
      </c>
      <c r="D20" s="2364"/>
      <c r="E20" s="2393"/>
      <c r="F20" s="1793" t="s">
        <v>2102</v>
      </c>
      <c r="G20" s="136" t="str">
        <f>G6</f>
        <v>估价对象所在区域基础设施水平</v>
      </c>
    </row>
    <row r="21" spans="1:18" ht="15">
      <c r="A21" s="645"/>
      <c r="B21" s="1793" t="s">
        <v>2084</v>
      </c>
      <c r="C21" s="136" t="str">
        <f>C7</f>
        <v>好</v>
      </c>
      <c r="D21" s="2359"/>
      <c r="E21" s="2393"/>
      <c r="F21" s="2394" t="s">
        <v>2103</v>
      </c>
      <c r="G21" s="2395"/>
    </row>
    <row r="22" spans="1:18" ht="13.5" customHeight="1">
      <c r="A22" s="645"/>
      <c r="B22" s="1793" t="s">
        <v>2087</v>
      </c>
      <c r="C22" s="136" t="str">
        <f>C8</f>
        <v>七通</v>
      </c>
      <c r="D22" s="2359"/>
      <c r="E22" s="2393"/>
      <c r="F22" s="2394" t="s">
        <v>2092</v>
      </c>
      <c r="G22" s="1567"/>
    </row>
    <row r="23" spans="1:18" s="2357" customFormat="1" ht="15.75" thickBot="1">
      <c r="A23" s="645"/>
      <c r="B23" s="2394" t="s">
        <v>2103</v>
      </c>
      <c r="C23" s="2395" t="s">
        <v>3119</v>
      </c>
      <c r="D23" s="2382"/>
      <c r="E23" s="2396"/>
      <c r="F23" s="2397" t="s">
        <v>2104</v>
      </c>
      <c r="G23" s="2398"/>
      <c r="H23" s="2382"/>
      <c r="I23" s="2383"/>
      <c r="J23" s="2382"/>
      <c r="K23" s="2382"/>
      <c r="L23" s="2383"/>
      <c r="M23" s="2382"/>
      <c r="N23" s="2382"/>
      <c r="O23" s="2383"/>
      <c r="P23" s="2382"/>
      <c r="Q23" s="2382"/>
      <c r="R23" s="2384"/>
    </row>
    <row r="24" spans="1:18" s="2357" customFormat="1" ht="15.75" thickBot="1">
      <c r="A24" s="2399"/>
      <c r="B24" s="2397" t="s">
        <v>2105</v>
      </c>
      <c r="C24" s="137" t="str">
        <f>C10</f>
        <v>支路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24747.89</v>
      </c>
      <c r="C1" s="1740"/>
      <c r="D1" s="1740"/>
      <c r="E1" s="1740"/>
      <c r="F1" s="1740"/>
      <c r="G1" s="1738"/>
    </row>
    <row r="2" spans="1:10" ht="16.5">
      <c r="A2" s="1741" t="s">
        <v>1349</v>
      </c>
      <c r="B2" s="1741">
        <f>SUM(C14:C23)</f>
        <v>9464.0499999999993</v>
      </c>
      <c r="C2" s="1740"/>
      <c r="D2" s="1740"/>
      <c r="E2" s="1740"/>
      <c r="F2" s="1740"/>
      <c r="G2" s="1738"/>
    </row>
    <row r="3" spans="1:10" ht="16.5">
      <c r="A3" s="1741" t="s">
        <v>1358</v>
      </c>
      <c r="B3" s="1742">
        <f>项目基本情况!D3</f>
        <v>43670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167072</v>
      </c>
      <c r="C5" s="1741">
        <f ca="1">ROUND(B5*10000/$B$1,0)</f>
        <v>67510</v>
      </c>
      <c r="D5" s="1741">
        <f ca="1">ROUND(B5*10000/$B$2,0)</f>
        <v>176533</v>
      </c>
      <c r="E5" s="1740"/>
      <c r="F5" s="1738"/>
      <c r="G5" s="1738"/>
    </row>
    <row r="6" spans="1:10" ht="16.5">
      <c r="A6" s="1741" t="s">
        <v>1352</v>
      </c>
      <c r="B6" s="1741">
        <f ca="1">SUM(G14:G23)</f>
        <v>167072</v>
      </c>
      <c r="C6" s="1741">
        <f ca="1">ROUND(B6*10000/$B$1,0)</f>
        <v>67510</v>
      </c>
      <c r="D6" s="1741">
        <f ca="1">ROUND(B6*10000/$B$2,0)</f>
        <v>176533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20189.89</v>
      </c>
      <c r="C14" s="1739">
        <f>结果表!C118</f>
        <v>7720.98</v>
      </c>
      <c r="D14" s="1739">
        <f ca="1">结果表!H118</f>
        <v>162198</v>
      </c>
      <c r="E14" s="1739">
        <f ca="1">ROUND(D14*10000/B14,0)</f>
        <v>80336</v>
      </c>
      <c r="F14" s="1739">
        <f ca="1">ROUND(D14*10000/C14,0)</f>
        <v>210074</v>
      </c>
      <c r="G14" s="1739">
        <f ca="1">结果表!D122</f>
        <v>162198</v>
      </c>
      <c r="H14" s="1739" t="str">
        <f>结果表!D124</f>
        <v>——</v>
      </c>
      <c r="I14" s="1739" t="str">
        <f>结果表!D126</f>
        <v>——</v>
      </c>
      <c r="J14" s="1738"/>
    </row>
    <row r="15" spans="1:10" ht="16.5">
      <c r="A15" s="1737" t="s">
        <v>1345</v>
      </c>
      <c r="B15" s="1744">
        <f>'数据-汇总表'!G20</f>
        <v>794.62</v>
      </c>
      <c r="C15" s="1744">
        <f>'数据-汇总表'!D20</f>
        <v>303.88</v>
      </c>
      <c r="D15" s="1744">
        <f ca="1">'结果表 (配套)'!G19</f>
        <v>1254</v>
      </c>
      <c r="E15" s="1739">
        <f t="shared" ref="E15:E23" ca="1" si="0">ROUND(D15*10000/B15,0)</f>
        <v>15781</v>
      </c>
      <c r="F15" s="1739">
        <f t="shared" ref="F15:F23" ca="1" si="1">ROUND(D15*10000/C15,0)</f>
        <v>41266</v>
      </c>
      <c r="G15" s="1745">
        <f ca="1">D15</f>
        <v>1254</v>
      </c>
      <c r="H15" s="1745"/>
      <c r="I15" s="1744"/>
      <c r="J15" s="1738"/>
    </row>
    <row r="16" spans="1:10" ht="16.5">
      <c r="A16" s="1737" t="s">
        <v>1344</v>
      </c>
      <c r="B16" s="1744">
        <f>'数据-汇总表'!G21</f>
        <v>3382.29</v>
      </c>
      <c r="C16" s="1744">
        <f>'数据-汇总表'!D21</f>
        <v>1293.45</v>
      </c>
      <c r="D16" s="1744">
        <f ca="1">'结果表 (车库)'!G19</f>
        <v>3620</v>
      </c>
      <c r="E16" s="1739">
        <f t="shared" ca="1" si="0"/>
        <v>10703</v>
      </c>
      <c r="F16" s="1739">
        <f t="shared" ca="1" si="1"/>
        <v>27987</v>
      </c>
      <c r="G16" s="1745">
        <f ca="1">D16</f>
        <v>3620</v>
      </c>
      <c r="H16" s="1745"/>
      <c r="I16" s="1744"/>
    </row>
    <row r="17" spans="1:9" ht="16.5">
      <c r="A17" s="1737" t="s">
        <v>1343</v>
      </c>
      <c r="B17" s="1744">
        <f>'数据-汇总表'!E28</f>
        <v>381.09000000000003</v>
      </c>
      <c r="C17" s="1744">
        <f>'数据-汇总表'!D28</f>
        <v>145.74</v>
      </c>
      <c r="D17" s="1744">
        <v>0</v>
      </c>
      <c r="E17" s="1739">
        <f t="shared" si="0"/>
        <v>0</v>
      </c>
      <c r="F17" s="1739">
        <f t="shared" si="1"/>
        <v>0</v>
      </c>
      <c r="G17" s="1745">
        <f>D17</f>
        <v>0</v>
      </c>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K116" sqref="K116"/>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3046</v>
      </c>
      <c r="D1" s="2405"/>
      <c r="E1" s="2405"/>
      <c r="F1" s="2407" t="s">
        <v>2107</v>
      </c>
      <c r="G1" s="2064" t="s">
        <v>3078</v>
      </c>
      <c r="H1" s="2408" t="str">
        <f>IF(G1="现房","——","估价对象范围")</f>
        <v>——</v>
      </c>
      <c r="I1" s="2409" t="s">
        <v>3100</v>
      </c>
    </row>
    <row r="2" spans="1:12" ht="21.75" customHeight="1" thickBot="1">
      <c r="A2" s="3399" t="str">
        <f>项目基本情况!S2</f>
        <v>北京市朝阳区朝阳公园西里北区5号房地产</v>
      </c>
      <c r="B2" s="3400"/>
      <c r="C2" s="3400"/>
      <c r="D2" s="3400"/>
      <c r="E2" s="3400"/>
      <c r="F2" s="3400"/>
      <c r="G2" s="3400"/>
      <c r="H2" s="3400"/>
      <c r="I2" s="3401"/>
    </row>
    <row r="3" spans="1:12" ht="12.75">
      <c r="A3" s="3403" t="s">
        <v>2108</v>
      </c>
      <c r="B3" s="3404"/>
      <c r="C3" s="3404"/>
      <c r="D3" s="3404"/>
      <c r="E3" s="3404"/>
      <c r="F3" s="3404"/>
      <c r="G3" s="3404"/>
      <c r="H3" s="3404"/>
      <c r="I3" s="3404"/>
    </row>
    <row r="4" spans="1:12" ht="14.25">
      <c r="A4" s="2412" t="s">
        <v>2109</v>
      </c>
      <c r="B4" s="2413" t="s">
        <v>2110</v>
      </c>
      <c r="C4" s="2414" t="s">
        <v>3679</v>
      </c>
      <c r="D4" s="2414" t="s">
        <v>3091</v>
      </c>
      <c r="E4" s="3396" t="s">
        <v>2111</v>
      </c>
      <c r="F4" s="3397"/>
      <c r="G4" s="3397"/>
      <c r="H4" s="3397"/>
      <c r="I4" s="3405"/>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379" t="s">
        <v>2112</v>
      </c>
      <c r="B5" s="3317">
        <v>25</v>
      </c>
      <c r="C5" s="3382"/>
      <c r="D5" s="3402"/>
      <c r="E5" s="140" t="s">
        <v>2113</v>
      </c>
      <c r="F5" s="2416"/>
      <c r="G5" s="2416"/>
      <c r="H5" s="2416"/>
      <c r="I5" s="1829"/>
    </row>
    <row r="6" spans="1:12" ht="12.75">
      <c r="A6" s="3379"/>
      <c r="B6" s="3317"/>
      <c r="C6" s="3383"/>
      <c r="D6" s="3402"/>
      <c r="E6" s="140" t="s">
        <v>2114</v>
      </c>
      <c r="F6" s="2416"/>
      <c r="G6" s="2416"/>
      <c r="H6" s="2416"/>
      <c r="I6" s="1829"/>
    </row>
    <row r="7" spans="1:12" ht="12.75">
      <c r="A7" s="3379"/>
      <c r="B7" s="3317"/>
      <c r="C7" s="3384"/>
      <c r="D7" s="3402"/>
      <c r="E7" s="140" t="s">
        <v>2115</v>
      </c>
      <c r="F7" s="2416"/>
      <c r="G7" s="2416"/>
      <c r="H7" s="2416"/>
      <c r="I7" s="1829"/>
    </row>
    <row r="8" spans="1:12" ht="12.75">
      <c r="A8" s="3379" t="s">
        <v>2116</v>
      </c>
      <c r="B8" s="3317">
        <v>15</v>
      </c>
      <c r="C8" s="3382"/>
      <c r="D8" s="3402"/>
      <c r="E8" s="140" t="s">
        <v>2117</v>
      </c>
      <c r="F8" s="2416"/>
      <c r="G8" s="2416"/>
      <c r="H8" s="2416"/>
      <c r="I8" s="1829"/>
    </row>
    <row r="9" spans="1:12" ht="12.75">
      <c r="A9" s="3379"/>
      <c r="B9" s="3317"/>
      <c r="C9" s="3384"/>
      <c r="D9" s="3402"/>
      <c r="E9" s="140" t="s">
        <v>2118</v>
      </c>
      <c r="F9" s="2416"/>
      <c r="G9" s="2416"/>
      <c r="H9" s="2416"/>
      <c r="I9" s="1829"/>
    </row>
    <row r="10" spans="1:12" ht="12.75">
      <c r="A10" s="3379" t="s">
        <v>2119</v>
      </c>
      <c r="B10" s="3317">
        <v>15</v>
      </c>
      <c r="C10" s="3382"/>
      <c r="D10" s="3402"/>
      <c r="E10" s="140" t="s">
        <v>2120</v>
      </c>
      <c r="F10" s="2416"/>
      <c r="G10" s="2416"/>
      <c r="H10" s="2416"/>
      <c r="I10" s="1829"/>
    </row>
    <row r="11" spans="1:12" ht="12.75">
      <c r="A11" s="3379"/>
      <c r="B11" s="3317"/>
      <c r="C11" s="3384"/>
      <c r="D11" s="3402"/>
      <c r="E11" s="140" t="s">
        <v>2121</v>
      </c>
      <c r="F11" s="2416"/>
      <c r="G11" s="2416"/>
      <c r="H11" s="2416"/>
      <c r="I11" s="1829"/>
    </row>
    <row r="12" spans="1:12" ht="12.75">
      <c r="A12" s="3379" t="s">
        <v>2122</v>
      </c>
      <c r="B12" s="3317">
        <v>15</v>
      </c>
      <c r="C12" s="3382"/>
      <c r="D12" s="3402"/>
      <c r="E12" s="140" t="s">
        <v>2123</v>
      </c>
      <c r="F12" s="2416"/>
      <c r="G12" s="2416"/>
      <c r="H12" s="2416"/>
      <c r="I12" s="1829"/>
    </row>
    <row r="13" spans="1:12" ht="12.75">
      <c r="A13" s="3379"/>
      <c r="B13" s="3317"/>
      <c r="C13" s="3384"/>
      <c r="D13" s="3402"/>
      <c r="E13" s="140" t="s">
        <v>2124</v>
      </c>
      <c r="F13" s="2416"/>
      <c r="G13" s="2416"/>
      <c r="H13" s="2416"/>
      <c r="I13" s="1829"/>
    </row>
    <row r="14" spans="1:12" ht="12.75">
      <c r="A14" s="3379" t="s">
        <v>2125</v>
      </c>
      <c r="B14" s="3317">
        <v>30</v>
      </c>
      <c r="C14" s="3382">
        <v>6</v>
      </c>
      <c r="D14" s="3402">
        <v>4</v>
      </c>
      <c r="E14" s="140" t="s">
        <v>2126</v>
      </c>
      <c r="F14" s="2416"/>
      <c r="G14" s="2416"/>
      <c r="H14" s="2416"/>
      <c r="I14" s="1829"/>
    </row>
    <row r="15" spans="1:12" ht="12.75">
      <c r="A15" s="3379"/>
      <c r="B15" s="3317"/>
      <c r="C15" s="3383"/>
      <c r="D15" s="3402"/>
      <c r="E15" s="140" t="s">
        <v>2127</v>
      </c>
      <c r="F15" s="2416"/>
      <c r="G15" s="2416"/>
      <c r="H15" s="2416"/>
      <c r="I15" s="1829"/>
    </row>
    <row r="16" spans="1:12" ht="12.75">
      <c r="A16" s="3379"/>
      <c r="B16" s="3317"/>
      <c r="C16" s="3384"/>
      <c r="D16" s="3402"/>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20505.649999999998</v>
      </c>
      <c r="M18" s="2415">
        <f>IF(C1="",'数据-汇总表'!E3,SUMIF(项目类型,C1,'数据-汇总表'!E17:E26))</f>
        <v>20189.89</v>
      </c>
    </row>
    <row r="19" spans="1:35" ht="15">
      <c r="A19" s="2421" t="s">
        <v>2134</v>
      </c>
      <c r="B19" s="2422" t="s">
        <v>2135</v>
      </c>
      <c r="C19" s="143">
        <f ca="1">SUMIF(INDIRECT("'"&amp;C4&amp;"'"&amp;"!A:A"),结果表!B19,INDIRECT("'"&amp;C4&amp;"'"&amp;"!B:B"))</f>
        <v>190431</v>
      </c>
      <c r="D19" s="144">
        <f ca="1">SUMIF(INDIRECT("'"&amp;D4&amp;"'"&amp;"!A:A"),结果表!B19,INDIRECT("'"&amp;D4&amp;"'"&amp;"!B:B"))</f>
        <v>119848</v>
      </c>
      <c r="E19" s="2421" t="s">
        <v>2136</v>
      </c>
      <c r="F19" s="2422" t="s">
        <v>2135</v>
      </c>
      <c r="G19" s="145">
        <f ca="1">ROUND(C19*$C$18+D19*$D$18,0)</f>
        <v>162198</v>
      </c>
      <c r="H19" s="2423" t="s">
        <v>2137</v>
      </c>
      <c r="I19" s="138"/>
      <c r="K19" s="2415" t="s">
        <v>2138</v>
      </c>
      <c r="L19" s="2415">
        <f>IF(C1="",'数据-汇总表'!D3,SUMIF(项目类型,C1,'数据-汇总表'!D17:D26)+SUMIF(项目类型,C1,'数据-汇总表'!H17:H27))</f>
        <v>7841.73</v>
      </c>
      <c r="M19" s="2415">
        <f>IF(C1="",'数据-汇总表'!D3,SUMIF(项目类型,C1,'数据-汇总表'!D17:D26))</f>
        <v>7720.98</v>
      </c>
    </row>
    <row r="20" spans="1:35" ht="15">
      <c r="A20" s="2424"/>
      <c r="B20" s="1246" t="s">
        <v>2139</v>
      </c>
      <c r="C20" s="146">
        <f ca="1">SUMIF(INDIRECT("'"&amp;C4&amp;"'"&amp;"!A:A"),结果表!B20,INDIRECT("'"&amp;C4&amp;"'"&amp;"!B:B"))</f>
        <v>94320</v>
      </c>
      <c r="D20" s="147">
        <f ca="1">SUMIF(INDIRECT("'"&amp;D4&amp;"'"&amp;"!A:A"),结果表!B20,INDIRECT("'"&amp;D4&amp;"'"&amp;"!B:B"))</f>
        <v>59360</v>
      </c>
      <c r="E20" s="2424"/>
      <c r="F20" s="1246" t="s">
        <v>2139</v>
      </c>
      <c r="G20" s="148">
        <f ca="1">ROUND(C20*$C$18+D20*$D$18,0)</f>
        <v>80336</v>
      </c>
      <c r="H20" s="980" t="s">
        <v>2140</v>
      </c>
      <c r="I20" s="138"/>
    </row>
    <row r="21" spans="1:35" ht="15" customHeight="1" thickBot="1">
      <c r="A21" s="1000"/>
      <c r="B21" s="2425" t="s">
        <v>2141</v>
      </c>
      <c r="C21" s="789">
        <f ca="1">ROUND(C19*10000/L19,0)</f>
        <v>242843</v>
      </c>
      <c r="D21" s="790">
        <f ca="1">ROUND(D19*10000/L19,0)</f>
        <v>152834</v>
      </c>
      <c r="E21" s="1000"/>
      <c r="F21" s="2425" t="s">
        <v>2141</v>
      </c>
      <c r="G21" s="149">
        <f ca="1">ROUND(G19*10000/L19,0)</f>
        <v>206840</v>
      </c>
      <c r="H21" s="2426" t="s">
        <v>2140</v>
      </c>
      <c r="I21" s="138"/>
    </row>
    <row r="22" spans="1:35" ht="15" thickBot="1">
      <c r="A22" s="2270" t="s">
        <v>2142</v>
      </c>
      <c r="B22" s="2427"/>
      <c r="C22" s="2428"/>
      <c r="D22" s="791">
        <f ca="1">IF(C19&lt;D19,D19/C19-1,C19/D19-1)</f>
        <v>0.58893765436219203</v>
      </c>
      <c r="E22" s="138"/>
      <c r="F22" s="138"/>
      <c r="G22" s="138"/>
      <c r="H22" s="138"/>
      <c r="I22" s="138"/>
    </row>
    <row r="23" spans="1:35" ht="13.5" thickBot="1">
      <c r="A23" s="2405"/>
      <c r="B23" s="2405"/>
      <c r="C23" s="2405"/>
      <c r="D23" s="2405"/>
      <c r="E23" s="138"/>
      <c r="F23" s="138"/>
      <c r="G23" s="138"/>
      <c r="H23" s="138"/>
      <c r="I23" s="138"/>
    </row>
    <row r="24" spans="1:35" ht="14.25">
      <c r="A24" s="3373" t="s">
        <v>2143</v>
      </c>
      <c r="B24" s="2422" t="s">
        <v>2135</v>
      </c>
      <c r="C24" s="145">
        <f>IF(B30=0,0,D30)</f>
        <v>0</v>
      </c>
      <c r="D24" s="2429"/>
      <c r="E24" s="138"/>
      <c r="F24" s="138"/>
      <c r="G24" s="138"/>
      <c r="H24" s="138"/>
      <c r="I24" s="138"/>
    </row>
    <row r="25" spans="1:35" ht="14.25">
      <c r="A25" s="3374"/>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162198</v>
      </c>
      <c r="D32" s="2436" t="s">
        <v>2150</v>
      </c>
      <c r="E32" s="138"/>
      <c r="F32" s="138"/>
      <c r="G32" s="138"/>
      <c r="H32" s="138"/>
      <c r="I32" s="138"/>
    </row>
    <row r="33" spans="1:15" ht="15">
      <c r="A33" s="957" t="s">
        <v>2151</v>
      </c>
      <c r="B33" s="2437"/>
      <c r="C33" s="2438" t="s">
        <v>3101</v>
      </c>
      <c r="D33" s="2439" t="s">
        <v>3091</v>
      </c>
      <c r="E33" s="2440" t="s">
        <v>2152</v>
      </c>
      <c r="F33" s="2441" t="str">
        <f>IF(D32="楼面单价","取值（单价）","取值（总价）")</f>
        <v>取值（总价）</v>
      </c>
      <c r="G33" s="138"/>
      <c r="H33" s="138"/>
      <c r="I33" s="138"/>
    </row>
    <row r="34" spans="1:15" ht="15">
      <c r="A34" s="2442"/>
      <c r="B34" s="2443" t="s">
        <v>2153</v>
      </c>
      <c r="C34" s="157">
        <f ca="1">IF(C33="自定义",F34,C32-C35)</f>
        <v>103482</v>
      </c>
      <c r="D34" s="1054">
        <f ca="1">IF(C33="自定义",ROUND(C34/C32,3),IF(C33="收益比率",SUMIF(INDIRECT("'"&amp;D33&amp;"'"&amp;"!b:b"),"土地收益比率",INDIRECT("'"&amp;D33&amp;"'"&amp;"!c:c")),SUMIF(INDIRECT("'"&amp;D33&amp;"'"&amp;"!b:b"),"土地成本比率",INDIRECT("'"&amp;D33&amp;"'"&amp;"!c:c"))))</f>
        <v>0.63800000000000001</v>
      </c>
      <c r="E34" s="2444" t="s">
        <v>2154</v>
      </c>
      <c r="F34" s="1734"/>
      <c r="G34" s="138"/>
      <c r="H34" s="138"/>
      <c r="I34" s="138"/>
    </row>
    <row r="35" spans="1:15" ht="15.75" thickBot="1">
      <c r="A35" s="2445"/>
      <c r="B35" s="2446" t="s">
        <v>2155</v>
      </c>
      <c r="C35" s="1440">
        <f ca="1">IF(C33="自定义",F35,ROUND(C32*D35,0))</f>
        <v>58716</v>
      </c>
      <c r="D35" s="1441">
        <f ca="1">IF(C33="自定义",ROUND(C35/C32,3),IF(C33="收益比率",SUMIF(INDIRECT("'"&amp;D33&amp;"'"&amp;"!b:b"),"建筑物收益比率",INDIRECT("'"&amp;D33&amp;"'"&amp;"!c:c")),SUMIF(INDIRECT("'"&amp;D33&amp;"'"&amp;"!b:b"),"建筑物成本比率",INDIRECT("'"&amp;D33&amp;"'"&amp;"!c:c"))))</f>
        <v>0.36199999999999999</v>
      </c>
      <c r="E35" s="2447" t="s">
        <v>2156</v>
      </c>
      <c r="F35" s="163"/>
      <c r="G35" s="138"/>
      <c r="H35" s="138"/>
      <c r="I35" s="138"/>
    </row>
    <row r="36" spans="1:15" ht="15.75" thickBot="1">
      <c r="A36" s="3391" t="s">
        <v>2157</v>
      </c>
      <c r="B36" s="2448" t="s">
        <v>2158</v>
      </c>
      <c r="C36" s="154"/>
      <c r="D36" s="2449"/>
      <c r="E36" s="2450"/>
      <c r="F36" s="2451"/>
      <c r="G36" s="138"/>
      <c r="H36" s="138"/>
      <c r="I36" s="138"/>
    </row>
    <row r="37" spans="1:15" ht="15.75" thickBot="1">
      <c r="A37" s="3392"/>
      <c r="B37" s="2256" t="s">
        <v>2159</v>
      </c>
      <c r="C37" s="156"/>
      <c r="D37" s="1391"/>
      <c r="E37" s="1391"/>
      <c r="F37" s="2451"/>
      <c r="G37" s="138"/>
      <c r="H37" s="138"/>
      <c r="I37" s="138"/>
    </row>
    <row r="38" spans="1:15" ht="15.75" thickBot="1">
      <c r="A38" s="3393"/>
      <c r="B38" s="2452" t="s">
        <v>2160</v>
      </c>
      <c r="C38" s="727"/>
      <c r="D38" s="2453" t="s">
        <v>2161</v>
      </c>
      <c r="E38" s="1391"/>
      <c r="F38" s="2451"/>
      <c r="G38" s="138"/>
      <c r="H38" s="138"/>
      <c r="I38" s="138"/>
    </row>
    <row r="39" spans="1:15" ht="15">
      <c r="A39" s="2424" t="s">
        <v>2162</v>
      </c>
      <c r="B39" s="2454" t="s">
        <v>2163</v>
      </c>
      <c r="C39" s="2455" t="s">
        <v>2164</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3.5" thickBot="1">
      <c r="A43" s="2155"/>
      <c r="B43" s="2155"/>
      <c r="C43" s="2155"/>
      <c r="D43" s="2155"/>
      <c r="E43" s="2155"/>
      <c r="F43" s="2459"/>
      <c r="G43" s="2459"/>
      <c r="H43" s="2459"/>
      <c r="I43" s="2460"/>
    </row>
    <row r="44" spans="1:15" ht="18.75" hidden="1">
      <c r="A44" s="2461" t="s">
        <v>2169</v>
      </c>
      <c r="B44" s="2462"/>
      <c r="C44" s="2462"/>
      <c r="D44" s="2463"/>
      <c r="E44" s="2463"/>
      <c r="F44" s="2464"/>
      <c r="G44" s="2464"/>
      <c r="H44" s="2464"/>
      <c r="I44" s="2464"/>
      <c r="J44" s="2465" t="s">
        <v>2170</v>
      </c>
      <c r="K44" s="2466"/>
      <c r="L44" s="2466"/>
      <c r="M44" s="2466"/>
      <c r="N44" s="2466"/>
      <c r="O44" s="2466"/>
    </row>
    <row r="45" spans="1:15" ht="14.25" hidden="1" customHeight="1" thickBot="1">
      <c r="A45" s="3370" t="s">
        <v>2171</v>
      </c>
      <c r="B45" s="3371"/>
      <c r="C45" s="3372"/>
      <c r="D45" s="164">
        <f ca="1">ROUND(H101*F45,0)</f>
        <v>162198</v>
      </c>
      <c r="E45" s="165" t="s">
        <v>2172</v>
      </c>
      <c r="F45" s="166">
        <v>1</v>
      </c>
      <c r="G45" s="167" t="s">
        <v>2173</v>
      </c>
      <c r="H45" s="138"/>
      <c r="I45" s="138"/>
      <c r="J45" s="3430" t="s">
        <v>2174</v>
      </c>
      <c r="K45" s="3430"/>
      <c r="L45" s="3430"/>
      <c r="M45" s="3430"/>
      <c r="N45" s="3430"/>
      <c r="O45" s="3430"/>
    </row>
    <row r="46" spans="1:15" ht="14.25" hidden="1" customHeight="1">
      <c r="A46" s="3367" t="s">
        <v>2175</v>
      </c>
      <c r="B46" s="3368"/>
      <c r="C46" s="3368"/>
      <c r="D46" s="3368"/>
      <c r="E46" s="3368"/>
      <c r="F46" s="3368"/>
      <c r="G46" s="3369"/>
      <c r="H46" s="2467"/>
      <c r="I46" s="168"/>
      <c r="J46" s="1807">
        <v>1</v>
      </c>
      <c r="K46" s="3430" t="s">
        <v>2176</v>
      </c>
      <c r="L46" s="3430"/>
      <c r="M46" s="3450"/>
      <c r="N46" s="3450"/>
      <c r="O46" s="3450"/>
    </row>
    <row r="47" spans="1:15" ht="12" hidden="1" customHeight="1">
      <c r="A47" s="169" t="s">
        <v>2177</v>
      </c>
      <c r="B47" s="170"/>
      <c r="C47" s="171"/>
      <c r="D47" s="172" t="s">
        <v>2178</v>
      </c>
      <c r="E47" s="24" t="s">
        <v>2179</v>
      </c>
      <c r="F47" s="173" t="s">
        <v>2180</v>
      </c>
      <c r="G47" s="174" t="s">
        <v>2181</v>
      </c>
      <c r="H47" s="2467"/>
      <c r="I47" s="168"/>
      <c r="J47" s="1807">
        <v>2</v>
      </c>
      <c r="K47" s="3430" t="s">
        <v>2182</v>
      </c>
      <c r="L47" s="3430"/>
      <c r="M47" s="3451">
        <f>'数据-取费表'!B2</f>
        <v>43670</v>
      </c>
      <c r="N47" s="3451"/>
      <c r="O47" s="3451"/>
    </row>
    <row r="48" spans="1:15" ht="25.5" hidden="1">
      <c r="A48" s="3398" t="s">
        <v>2183</v>
      </c>
      <c r="B48" s="3381"/>
      <c r="C48" s="3381"/>
      <c r="D48" s="140">
        <f>IF(H48="情况1",0,IF(H48="情况2",D52,IF(H48="情况3",D53,IF(H48="情况4",D54))))</f>
        <v>0</v>
      </c>
      <c r="E48" s="1796" t="str">
        <f>IF(H48="情况4","(销售额-原购置价)×税（费）率","销售额×税（费）率")</f>
        <v>销售额×税（费）率</v>
      </c>
      <c r="F48" s="175" t="str">
        <f>IF(H48="情况1","免征",'数据-取费表'!B41)</f>
        <v>免征</v>
      </c>
      <c r="G48" s="2468" t="s">
        <v>2184</v>
      </c>
      <c r="H48" s="2469" t="s">
        <v>2185</v>
      </c>
      <c r="I48" s="2467"/>
      <c r="J48" s="1807">
        <v>3</v>
      </c>
      <c r="K48" s="3430" t="s">
        <v>2186</v>
      </c>
      <c r="L48" s="3430"/>
      <c r="M48" s="3452">
        <f ca="1">H101</f>
        <v>162198</v>
      </c>
      <c r="N48" s="3452"/>
      <c r="O48" s="3452"/>
    </row>
    <row r="49" spans="1:35" ht="25.5" hidden="1" customHeight="1">
      <c r="A49" s="176" t="s">
        <v>2187</v>
      </c>
      <c r="B49" s="3366" t="s">
        <v>2188</v>
      </c>
      <c r="C49" s="3366"/>
      <c r="D49" s="177">
        <v>0</v>
      </c>
      <c r="E49" s="23" t="s">
        <v>2189</v>
      </c>
      <c r="F49" s="28" t="s">
        <v>34</v>
      </c>
      <c r="G49" s="3436"/>
      <c r="H49" s="138"/>
      <c r="I49" s="2470"/>
      <c r="J49" s="1807">
        <v>4</v>
      </c>
      <c r="K49" s="3430" t="str">
        <f>IF(项目基本情况!E8="房地产抵押价值","房地产抵押价值","抵押担保权已注销时的房地产抵押价值")</f>
        <v>房地产抵押价值</v>
      </c>
      <c r="L49" s="3430"/>
      <c r="M49" s="3452">
        <f ca="1">IF(项目基本情况!E8="房地产抵押价值",H107,H109)</f>
        <v>162198</v>
      </c>
      <c r="N49" s="3452"/>
      <c r="O49" s="3452"/>
    </row>
    <row r="50" spans="1:35" ht="25.5" hidden="1" customHeight="1">
      <c r="A50" s="178"/>
      <c r="B50" s="3366" t="s">
        <v>2190</v>
      </c>
      <c r="C50" s="3366"/>
      <c r="D50" s="179"/>
      <c r="E50" s="31"/>
      <c r="F50" s="180"/>
      <c r="G50" s="3437"/>
      <c r="H50" s="138"/>
      <c r="I50" s="2470"/>
      <c r="J50" s="3430" t="s">
        <v>2191</v>
      </c>
      <c r="K50" s="3430"/>
      <c r="L50" s="3430"/>
      <c r="M50" s="3430"/>
      <c r="N50" s="3430"/>
      <c r="O50" s="3430"/>
    </row>
    <row r="51" spans="1:35" ht="12" hidden="1" customHeight="1">
      <c r="A51" s="181"/>
      <c r="B51" s="3366" t="s">
        <v>2192</v>
      </c>
      <c r="C51" s="3366"/>
      <c r="D51" s="182"/>
      <c r="E51" s="30"/>
      <c r="F51" s="180"/>
      <c r="G51" s="3438"/>
      <c r="H51" s="138"/>
      <c r="I51" s="2470"/>
      <c r="J51" s="2471" t="s">
        <v>2193</v>
      </c>
      <c r="K51" s="3430" t="s">
        <v>2194</v>
      </c>
      <c r="L51" s="3430"/>
      <c r="M51" s="2471" t="s">
        <v>2195</v>
      </c>
      <c r="N51" s="2471" t="s">
        <v>2196</v>
      </c>
      <c r="O51" s="2471" t="s">
        <v>2197</v>
      </c>
    </row>
    <row r="52" spans="1:35" ht="24" hidden="1" customHeight="1">
      <c r="A52" s="183" t="s">
        <v>2198</v>
      </c>
      <c r="B52" s="3366" t="s">
        <v>2199</v>
      </c>
      <c r="C52" s="3366"/>
      <c r="D52" s="182">
        <f ca="1">ROUND(D45*'数据-取费表'!B41/(1+'数据-取费表'!C42),0)</f>
        <v>8651</v>
      </c>
      <c r="E52" s="11" t="s">
        <v>2200</v>
      </c>
      <c r="F52" s="184">
        <f>'数据-取费表'!B41</f>
        <v>5.6000000000000001E-2</v>
      </c>
      <c r="G52" s="2472"/>
      <c r="H52" s="138"/>
      <c r="I52" s="2470"/>
      <c r="J52" s="1807">
        <v>1</v>
      </c>
      <c r="K52" s="3431" t="s">
        <v>2201</v>
      </c>
      <c r="L52" s="3431"/>
      <c r="M52" s="1749">
        <f>D48</f>
        <v>0</v>
      </c>
      <c r="N52" s="1807" t="str">
        <f>E48</f>
        <v>销售额×税（费）率</v>
      </c>
      <c r="O52" s="1750" t="str">
        <f>F48</f>
        <v>免征</v>
      </c>
    </row>
    <row r="53" spans="1:35" ht="12" hidden="1" customHeight="1">
      <c r="A53" s="183" t="s">
        <v>2202</v>
      </c>
      <c r="B53" s="3389" t="s">
        <v>2203</v>
      </c>
      <c r="C53" s="3390"/>
      <c r="D53" s="182">
        <f ca="1">ROUND(D45*'数据-取费表'!B41/(1+'数据-取费表'!C42),0)</f>
        <v>8651</v>
      </c>
      <c r="E53" s="11" t="s">
        <v>2200</v>
      </c>
      <c r="F53" s="184">
        <f>'数据-取费表'!B41</f>
        <v>5.6000000000000001E-2</v>
      </c>
      <c r="G53" s="2472"/>
      <c r="H53" s="138"/>
      <c r="I53" s="2470"/>
      <c r="J53" s="1807">
        <v>2</v>
      </c>
      <c r="K53" s="3431" t="s">
        <v>2204</v>
      </c>
      <c r="L53" s="3431"/>
      <c r="M53" s="1749">
        <f t="shared" ref="M53:O54" ca="1" si="0">D55</f>
        <v>81</v>
      </c>
      <c r="N53" s="1807" t="str">
        <f t="shared" si="0"/>
        <v>销售额×税（费）率</v>
      </c>
      <c r="O53" s="1750">
        <f t="shared" si="0"/>
        <v>5.0000000000000001E-4</v>
      </c>
    </row>
    <row r="54" spans="1:35" ht="12" hidden="1" customHeight="1">
      <c r="A54" s="183" t="s">
        <v>2205</v>
      </c>
      <c r="B54" s="3389" t="s">
        <v>2206</v>
      </c>
      <c r="C54" s="3390"/>
      <c r="D54" s="182">
        <f ca="1">C68</f>
        <v>8651</v>
      </c>
      <c r="E54" s="30" t="s">
        <v>2207</v>
      </c>
      <c r="F54" s="184">
        <f>'数据-取费表'!B41</f>
        <v>5.6000000000000001E-2</v>
      </c>
      <c r="G54" s="2472"/>
      <c r="H54" s="2473"/>
      <c r="I54" s="2470"/>
      <c r="J54" s="1807">
        <v>3</v>
      </c>
      <c r="K54" s="3431" t="s">
        <v>2208</v>
      </c>
      <c r="L54" s="3431"/>
      <c r="M54" s="1749">
        <f t="shared" ca="1" si="0"/>
        <v>91804</v>
      </c>
      <c r="N54" s="1807" t="str">
        <f t="shared" si="0"/>
        <v>增值额×税（费）率</v>
      </c>
      <c r="O54" s="1751" t="str">
        <f t="shared" si="0"/>
        <v>——</v>
      </c>
    </row>
    <row r="55" spans="1:35" ht="24" hidden="1" customHeight="1">
      <c r="A55" s="3380" t="s">
        <v>2209</v>
      </c>
      <c r="B55" s="3381"/>
      <c r="C55" s="3381"/>
      <c r="D55" s="185">
        <f ca="1">IF(H55="个人住宅",0,ROUND(D45*I55,0))</f>
        <v>81</v>
      </c>
      <c r="E55" s="11" t="s">
        <v>2210</v>
      </c>
      <c r="F55" s="184">
        <f>IF(H55="正常",I55,"免征")</f>
        <v>5.0000000000000001E-4</v>
      </c>
      <c r="G55" s="2472"/>
      <c r="H55" s="2469" t="s">
        <v>2211</v>
      </c>
      <c r="I55" s="186">
        <f>'数据-取费表'!B49</f>
        <v>5.0000000000000001E-4</v>
      </c>
      <c r="J55" s="1807" t="str">
        <f>IF(H59="非个人房产","",4)</f>
        <v/>
      </c>
      <c r="K55" s="3431" t="str">
        <f>IF(H59="非个人房产","——","个人所得税")</f>
        <v>——</v>
      </c>
      <c r="L55" s="3431"/>
      <c r="M55" s="1752" t="str">
        <f>D59</f>
        <v>——</v>
      </c>
      <c r="N55" s="1805" t="str">
        <f>E59</f>
        <v>——</v>
      </c>
      <c r="O55" s="1753" t="str">
        <f>F59</f>
        <v>——</v>
      </c>
    </row>
    <row r="56" spans="1:35" ht="24.75" hidden="1">
      <c r="A56" s="3380" t="s">
        <v>2212</v>
      </c>
      <c r="B56" s="3381"/>
      <c r="C56" s="3381"/>
      <c r="D56" s="185">
        <f ca="1">IF(H56="个人住宅",D57,D58)</f>
        <v>91804</v>
      </c>
      <c r="E56" s="11" t="s">
        <v>2213</v>
      </c>
      <c r="F56" s="184" t="str">
        <f>IF(H56="正常",F58,"免征")</f>
        <v>——</v>
      </c>
      <c r="G56" s="2474" t="s">
        <v>2214</v>
      </c>
      <c r="H56" s="2475" t="s">
        <v>2211</v>
      </c>
      <c r="I56" s="2476"/>
      <c r="J56" s="1807" t="str">
        <f>IF(项目基本情况!K6="上海银行",IF(J55="",4,J55+1),"")</f>
        <v/>
      </c>
      <c r="K56" s="3454" t="str">
        <f>IF(项目基本情况!K6="上海银行","其他处置费用","")</f>
        <v/>
      </c>
      <c r="L56" s="3455"/>
      <c r="M56" s="1749" t="str">
        <f>IF(项目基本情况!K6="上海银行",M69,"")</f>
        <v/>
      </c>
      <c r="N56" s="3457" t="str">
        <f>IF(项目基本情况!K6="上海银行","包含处置中涉及的律师、诉讼、拍卖、评估等费用","")</f>
        <v/>
      </c>
      <c r="O56" s="3458"/>
    </row>
    <row r="57" spans="1:35" ht="12.75" hidden="1">
      <c r="A57" s="183" t="s">
        <v>2187</v>
      </c>
      <c r="B57" s="3396" t="s">
        <v>2215</v>
      </c>
      <c r="C57" s="3405"/>
      <c r="D57" s="187">
        <v>0</v>
      </c>
      <c r="E57" s="23" t="s">
        <v>2189</v>
      </c>
      <c r="F57" s="155"/>
      <c r="G57" s="2472"/>
      <c r="H57" s="2476"/>
      <c r="I57" s="2476"/>
      <c r="J57" s="3431">
        <f>IF(AND(J55="",J56=""),4,IF(项目基本情况!K6="上海银行",结果表!J56+1,结果表!J55+1))</f>
        <v>4</v>
      </c>
      <c r="K57" s="3431" t="s">
        <v>2216</v>
      </c>
      <c r="L57" s="2477" t="s">
        <v>2217</v>
      </c>
      <c r="M57" s="1754"/>
      <c r="N57" s="1755">
        <f ca="1">SUMIF(M52:M56,"&lt;9e307")</f>
        <v>91885</v>
      </c>
      <c r="O57" s="2478"/>
      <c r="P57" s="1748">
        <f ca="1">N57/M49</f>
        <v>0.5664989703942096</v>
      </c>
    </row>
    <row r="58" spans="1:35" ht="24.75" hidden="1">
      <c r="A58" s="183" t="s">
        <v>2198</v>
      </c>
      <c r="B58" s="3396" t="s">
        <v>2218</v>
      </c>
      <c r="C58" s="3397"/>
      <c r="D58" s="185">
        <f ca="1">IF(H58="转让取得",C81,C97)</f>
        <v>91804</v>
      </c>
      <c r="E58" s="11" t="s">
        <v>2213</v>
      </c>
      <c r="F58" s="24" t="s">
        <v>34</v>
      </c>
      <c r="G58" s="2472"/>
      <c r="H58" s="2475" t="s">
        <v>2219</v>
      </c>
      <c r="I58" s="2476"/>
      <c r="J58" s="3431"/>
      <c r="K58" s="3431"/>
      <c r="L58" s="2477" t="s">
        <v>2220</v>
      </c>
      <c r="M58" s="1756"/>
      <c r="N58" s="2479" t="str">
        <f ca="1">NUMBERSTRING(INT(N57*10000),2)&amp;"元整"</f>
        <v>玖亿壹仟捌佰捌拾伍万元整</v>
      </c>
      <c r="O58" s="2480"/>
    </row>
    <row r="59" spans="1:35" ht="24.75" hidden="1" thickBot="1">
      <c r="A59" s="3434" t="s">
        <v>2221</v>
      </c>
      <c r="B59" s="3435"/>
      <c r="C59" s="3435"/>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32">
        <f>J57+1</f>
        <v>5</v>
      </c>
      <c r="K59" s="3431" t="s">
        <v>2223</v>
      </c>
      <c r="L59" s="1807" t="s">
        <v>2217</v>
      </c>
      <c r="M59" s="1757"/>
      <c r="N59" s="1758">
        <f ca="1">M49-N57</f>
        <v>70313</v>
      </c>
      <c r="O59" s="2482"/>
    </row>
    <row r="60" spans="1:35" ht="12" hidden="1" customHeight="1">
      <c r="A60" s="2483"/>
      <c r="B60" s="2405"/>
      <c r="C60" s="2405"/>
      <c r="D60" s="2405"/>
      <c r="E60" s="2156"/>
      <c r="F60" s="2476"/>
      <c r="G60" s="2476"/>
      <c r="H60" s="2484"/>
      <c r="I60" s="138"/>
      <c r="J60" s="3433"/>
      <c r="K60" s="3431"/>
      <c r="L60" s="2477" t="s">
        <v>2220</v>
      </c>
      <c r="M60" s="1756"/>
      <c r="N60" s="2479" t="str">
        <f ca="1">NUMBERSTRING(INT(N59*10000),2)&amp;"元整"</f>
        <v>柒亿零叁佰壹拾叁万元整</v>
      </c>
      <c r="O60" s="2480"/>
    </row>
    <row r="61" spans="1:35" ht="13.5" hidden="1" thickBot="1">
      <c r="A61" s="3378" t="s">
        <v>2224</v>
      </c>
      <c r="B61" s="3378"/>
      <c r="C61" s="3378"/>
      <c r="D61" s="3378"/>
      <c r="E61" s="3378"/>
      <c r="F61" s="2476"/>
      <c r="G61" s="2476"/>
      <c r="H61" s="2484"/>
      <c r="I61" s="138"/>
      <c r="J61" s="1807">
        <f>J59+1</f>
        <v>6</v>
      </c>
      <c r="K61" s="3431" t="s">
        <v>2225</v>
      </c>
      <c r="L61" s="3431"/>
      <c r="M61" s="1759"/>
      <c r="N61" s="1760">
        <f ca="1">ROUND(N59*10000/'数据-汇总表'!E3,0)</f>
        <v>28412</v>
      </c>
      <c r="O61" s="2485"/>
    </row>
    <row r="62" spans="1:35" ht="12.75" hidden="1">
      <c r="A62" s="3394" t="s">
        <v>2226</v>
      </c>
      <c r="B62" s="3395"/>
      <c r="C62" s="1799"/>
      <c r="D62" s="1799" t="s">
        <v>2227</v>
      </c>
      <c r="E62" s="192" t="s">
        <v>2228</v>
      </c>
      <c r="F62" s="2476"/>
      <c r="G62" s="2476"/>
      <c r="H62" s="2484"/>
      <c r="I62" s="138"/>
    </row>
    <row r="63" spans="1:35" ht="12.75" hidden="1">
      <c r="A63" s="203" t="s">
        <v>775</v>
      </c>
      <c r="B63" s="193" t="s">
        <v>2229</v>
      </c>
      <c r="C63" s="194">
        <f ca="1">ROUND((C64+C65)/(1+'数据-取费表'!C42),0)</f>
        <v>154474</v>
      </c>
      <c r="D63" s="195"/>
      <c r="E63" s="196"/>
      <c r="F63" s="2476"/>
      <c r="G63" s="2476"/>
      <c r="H63" s="2484"/>
      <c r="I63" s="138"/>
      <c r="J63" s="3456" t="s">
        <v>2230</v>
      </c>
      <c r="K63" s="2486" t="s">
        <v>2231</v>
      </c>
      <c r="L63" s="1747">
        <f ca="1">IF(M49&gt;10000,M49*0.5%,IF(AND(M49&gt;1000,M49&lt;=10000),M49*1%,IF(AND(M49&gt;100,M49&lt;=1000),M49*3%,IF(AND(M49&gt;10,M49&lt;=100),M49*5%,M49*8%))))</f>
        <v>810.99</v>
      </c>
      <c r="M63" s="24">
        <f ca="1">ROUND(L63,1)</f>
        <v>811</v>
      </c>
      <c r="Z63" s="2410"/>
      <c r="AI63" s="2411"/>
    </row>
    <row r="64" spans="1:35" ht="14.25" hidden="1" customHeight="1">
      <c r="A64" s="197" t="s">
        <v>770</v>
      </c>
      <c r="B64" s="198" t="s">
        <v>2232</v>
      </c>
      <c r="C64" s="199">
        <f ca="1">D45</f>
        <v>162198</v>
      </c>
      <c r="D64" s="200" t="s">
        <v>32</v>
      </c>
      <c r="E64" s="201"/>
      <c r="F64" s="2476"/>
      <c r="G64" s="2476"/>
      <c r="H64" s="2484"/>
      <c r="I64" s="138"/>
      <c r="J64" s="3456"/>
      <c r="K64" s="2486" t="s">
        <v>2233</v>
      </c>
      <c r="L64" s="1747">
        <f ca="1">IF(M49&gt;2000,M49*0.5%,IF(AND(M49&gt;1000,M49&lt;=2000),M49*0.6%,IF(AND(M49&gt;500,M49&lt;=1000),M49*0.7%,IF(AND(M49&gt;200,M49&lt;=500),M49*0.8%,IF(AND(M49&gt;100,M49&lt;=200),M49*0.9%,IF(AND(M49&gt;50,M49&lt;=100),M49*1%,IF(AND(M49&gt;20,M49&lt;=50),M49*1.5%,IF(AND(M49&gt;10,M49&lt;=20),M49*2%,IF(AND(M49&gt;1,M49&lt;=10),M49*2.5%)))))))))</f>
        <v>810.99</v>
      </c>
      <c r="M64" s="24">
        <f t="shared" ref="M64:M65" ca="1" si="1">ROUND(L64,1)</f>
        <v>811</v>
      </c>
      <c r="N64" s="138" t="s">
        <v>2234</v>
      </c>
      <c r="Z64" s="2410"/>
      <c r="AI64" s="2411"/>
    </row>
    <row r="65" spans="1:35" ht="14.25" hidden="1" customHeight="1">
      <c r="A65" s="197" t="s">
        <v>771</v>
      </c>
      <c r="B65" s="198" t="s">
        <v>2235</v>
      </c>
      <c r="C65" s="202"/>
      <c r="D65" s="200"/>
      <c r="E65" s="201"/>
      <c r="F65" s="2476"/>
      <c r="G65" s="2476"/>
      <c r="H65" s="2484"/>
      <c r="I65" s="138"/>
      <c r="J65" s="3456"/>
      <c r="K65" s="2486" t="s">
        <v>2236</v>
      </c>
      <c r="L65" s="1747">
        <f ca="1">IF(M49&gt;1000,M49*0.1%,IF(AND(M49&gt;500,M49&lt;=1000),M49*0.5%,IF(AND(M49&gt;50,M49&lt;=500),M49*1%,IF(AND(M49&gt;1,M49&lt;=50),M49*1.5%))))</f>
        <v>162.19800000000001</v>
      </c>
      <c r="M65" s="24">
        <f t="shared" ca="1" si="1"/>
        <v>162.19999999999999</v>
      </c>
      <c r="N65" s="138" t="s">
        <v>2234</v>
      </c>
      <c r="Z65" s="2410"/>
      <c r="AI65" s="2411"/>
    </row>
    <row r="66" spans="1:35" ht="14.25" hidden="1" customHeight="1">
      <c r="A66" s="203" t="s">
        <v>772</v>
      </c>
      <c r="B66" s="204" t="s">
        <v>2237</v>
      </c>
      <c r="C66" s="205"/>
      <c r="D66" s="206" t="s">
        <v>32</v>
      </c>
      <c r="E66" s="1771" t="s">
        <v>1367</v>
      </c>
      <c r="F66" s="2476"/>
      <c r="G66" s="2476"/>
      <c r="H66" s="2484"/>
      <c r="I66" s="138"/>
      <c r="J66" s="3456"/>
      <c r="K66" s="2486" t="s">
        <v>2238</v>
      </c>
      <c r="L66" s="1747">
        <f ca="1">M49*0.5%</f>
        <v>810.99</v>
      </c>
      <c r="M66" s="24">
        <f ca="1">IF(L66&gt;0.5,0.5,ROUND(L66,0))</f>
        <v>0.5</v>
      </c>
      <c r="N66" s="138" t="s">
        <v>2239</v>
      </c>
      <c r="Z66" s="2410"/>
      <c r="AI66" s="2411"/>
    </row>
    <row r="67" spans="1:35" ht="14.25" hidden="1" customHeight="1">
      <c r="A67" s="203" t="s">
        <v>773</v>
      </c>
      <c r="B67" s="204" t="s">
        <v>2240</v>
      </c>
      <c r="C67" s="207">
        <f ca="1">C63-C66</f>
        <v>154474</v>
      </c>
      <c r="D67" s="200" t="s">
        <v>32</v>
      </c>
      <c r="E67" s="201"/>
      <c r="F67" s="2476"/>
      <c r="G67" s="2476"/>
      <c r="H67" s="2484"/>
      <c r="I67" s="138"/>
      <c r="J67" s="3456"/>
      <c r="K67" s="2486" t="s">
        <v>2241</v>
      </c>
      <c r="L67" s="1747">
        <f ca="1">IF(M49&gt;=10000,(8.25+(M49-10000)*0.01%),IF(AND(M49&gt;=8000,M49&lt;10000),(7.85+(M49-8000)*0.02%),IF(AND(M49&gt;=5000,M49&lt;8000),(6.65+(M49-5000)*0.04%),IF(AND(M49&gt;=2000,M49&lt;5000),(4.25+(PM49-2000)*0.08%),IF(AND(M49&gt;=1000,M49&lt;2000),(2.75+(M49-1000)*0.15%),IF(AND(M49&gt;=100,M49&lt;1000),(0.5+(M49-100)*0.25%),IF(AND(M49&gt;0,M49&lt;100),M49*0.5%)))))))</f>
        <v>23.469799999999999</v>
      </c>
      <c r="M67" s="24">
        <f ca="1">ROUND(L67*0.9,1)</f>
        <v>21.1</v>
      </c>
      <c r="Z67" s="2410"/>
      <c r="AI67" s="2411"/>
    </row>
    <row r="68" spans="1:35" ht="14.25" hidden="1" customHeight="1" thickBot="1">
      <c r="A68" s="208" t="s">
        <v>774</v>
      </c>
      <c r="B68" s="209" t="s">
        <v>2242</v>
      </c>
      <c r="C68" s="210">
        <f ca="1">IF(C67&lt;=0,0,ROUND(C67*D68,0))</f>
        <v>8651</v>
      </c>
      <c r="D68" s="211">
        <f>'数据-取费表'!B41</f>
        <v>5.6000000000000001E-2</v>
      </c>
      <c r="E68" s="212"/>
      <c r="F68" s="2476"/>
      <c r="G68" s="2476"/>
      <c r="H68" s="2484"/>
      <c r="I68" s="138"/>
      <c r="J68" s="3456"/>
      <c r="K68" s="2486" t="s">
        <v>2243</v>
      </c>
      <c r="L68" s="1747">
        <f ca="1">IF(M49&gt;10000,M49*0.5%,IF(AND(M49&gt;5000,M49&lt;=10000),M49*1%,IF(AND(M49&gt;1000,M49&lt;=5000),M49*2%,IF(AND(M49&gt;200,M49&lt;=1000),M49*3%,M49*5%))))</f>
        <v>810.99</v>
      </c>
      <c r="M68" s="24">
        <f ca="1">ROUND(L68,1)</f>
        <v>811</v>
      </c>
      <c r="Z68" s="2410"/>
      <c r="AI68" s="2411"/>
    </row>
    <row r="69" spans="1:35" s="2433" customFormat="1" ht="16.5" hidden="1" customHeight="1">
      <c r="A69" s="2487"/>
      <c r="B69" s="2488"/>
      <c r="C69" s="2489"/>
      <c r="D69" s="2490"/>
      <c r="E69" s="2491"/>
      <c r="F69" s="2156"/>
      <c r="G69" s="2156"/>
      <c r="H69" s="2155"/>
      <c r="I69" s="2405"/>
      <c r="J69" s="3456"/>
      <c r="K69" s="2486" t="s">
        <v>2244</v>
      </c>
      <c r="L69" s="2492"/>
      <c r="M69" s="24">
        <f ca="1">ROUND(SUM(M63:M68),0)</f>
        <v>2617</v>
      </c>
      <c r="N69" s="1748">
        <f ca="1">M69/M49</f>
        <v>1.6134600919863375E-2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hidden="1" thickBot="1">
      <c r="A70" s="3415" t="s">
        <v>2245</v>
      </c>
      <c r="B70" s="3416"/>
      <c r="C70" s="3416"/>
      <c r="D70" s="3416"/>
      <c r="E70" s="3416"/>
      <c r="F70" s="3416"/>
      <c r="G70" s="3416"/>
      <c r="H70" s="3416"/>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394" t="s">
        <v>2226</v>
      </c>
      <c r="B71" s="3395"/>
      <c r="C71" s="1799"/>
      <c r="D71" s="1799"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3" t="s">
        <v>775</v>
      </c>
      <c r="B72" s="204" t="s">
        <v>2246</v>
      </c>
      <c r="C72" s="207">
        <f ca="1">ROUND(D45/(1+'数据-取费表'!C42),0)</f>
        <v>154474</v>
      </c>
      <c r="D72" s="200" t="s">
        <v>32</v>
      </c>
      <c r="E72" s="1798"/>
      <c r="F72" s="1792"/>
      <c r="G72" s="1792"/>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3" t="s">
        <v>772</v>
      </c>
      <c r="B73" s="173" t="s">
        <v>2247</v>
      </c>
      <c r="C73" s="207">
        <f ca="1">C74+C78</f>
        <v>927</v>
      </c>
      <c r="D73" s="200" t="s">
        <v>32</v>
      </c>
      <c r="E73" s="1798"/>
      <c r="F73" s="1792"/>
      <c r="G73" s="1792"/>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7" t="s">
        <v>770</v>
      </c>
      <c r="B74" s="198" t="s">
        <v>2248</v>
      </c>
      <c r="C74" s="200">
        <f>ROUND(IF(G77="2016年5月1日后购买",C75/(1+'数据-取费表'!C42)+C76+C77,C75+C76+C77),0)</f>
        <v>0</v>
      </c>
      <c r="D74" s="200" t="s">
        <v>32</v>
      </c>
      <c r="E74" s="1798"/>
      <c r="F74" s="1792"/>
      <c r="G74" s="1792"/>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7" t="s">
        <v>777</v>
      </c>
      <c r="B76" s="221" t="s">
        <v>2253</v>
      </c>
      <c r="C76" s="200">
        <f>IF(F75="购房发票",ROUND(C75*H75*D76,0),0)</f>
        <v>0</v>
      </c>
      <c r="D76" s="222">
        <v>0.05</v>
      </c>
      <c r="E76" s="3389" t="s">
        <v>2254</v>
      </c>
      <c r="F76" s="3366"/>
      <c r="G76" s="3366"/>
      <c r="H76" s="3414"/>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0" t="s">
        <v>2257</v>
      </c>
      <c r="H77" s="1803"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7" t="s">
        <v>771</v>
      </c>
      <c r="B78" s="198" t="s">
        <v>2258</v>
      </c>
      <c r="C78" s="225">
        <f ca="1">ROUND(D45*D78/(1+'数据-取费表'!C42),0)</f>
        <v>927</v>
      </c>
      <c r="D78" s="226">
        <f>'数据-取费表'!B43</f>
        <v>6.000000000000001E-3</v>
      </c>
      <c r="E78" s="3375" t="s">
        <v>2259</v>
      </c>
      <c r="F78" s="3376"/>
      <c r="G78" s="3376"/>
      <c r="H78" s="3385"/>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779</v>
      </c>
      <c r="B79" s="204" t="s">
        <v>2260</v>
      </c>
      <c r="C79" s="207">
        <f ca="1">C72-C73</f>
        <v>153547</v>
      </c>
      <c r="D79" s="200" t="s">
        <v>32</v>
      </c>
      <c r="E79" s="1798"/>
      <c r="F79" s="1792"/>
      <c r="G79" s="1792"/>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4" t="s">
        <v>2261</v>
      </c>
      <c r="C80" s="227">
        <f ca="1">IF(C79&lt;=0,0,C79/C73)</f>
        <v>165.63861920172599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9" t="s">
        <v>2262</v>
      </c>
      <c r="C81" s="228">
        <f ca="1">ROUND(IF(C79&lt;=0,0,IF(C80&gt;=200%,C79*60%-C73*35%,IF(C80&gt;=100%,C79*50%-C73*15%,IF(C80&gt;=50%,C79*40%-C73*5%,IF(C80&lt;50%,C79*30%,0))))),0)</f>
        <v>91804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415" t="s">
        <v>2263</v>
      </c>
      <c r="B83" s="3416"/>
      <c r="C83" s="3416"/>
      <c r="D83" s="3416"/>
      <c r="E83" s="3416"/>
      <c r="F83" s="3416"/>
      <c r="G83" s="3416"/>
      <c r="H83" s="3416"/>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394" t="s">
        <v>2226</v>
      </c>
      <c r="B84" s="3395"/>
      <c r="C84" s="1799"/>
      <c r="D84" s="1799"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3" t="s">
        <v>775</v>
      </c>
      <c r="B85" s="204" t="s">
        <v>2246</v>
      </c>
      <c r="C85" s="207">
        <f ca="1">ROUND(D45/(1+'数据-取费表'!C42),0)</f>
        <v>154474</v>
      </c>
      <c r="D85" s="200" t="s">
        <v>32</v>
      </c>
      <c r="E85" s="1798"/>
      <c r="F85" s="1792"/>
      <c r="G85" s="1792"/>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3" t="s">
        <v>772</v>
      </c>
      <c r="B86" s="173" t="s">
        <v>2247</v>
      </c>
      <c r="C86" s="207">
        <f ca="1">IF(H88="仅含出让金",C87+C90+C91+C92+C93+C94,C87+C91+C92+C93+C94)</f>
        <v>927</v>
      </c>
      <c r="D86" s="235"/>
      <c r="E86" s="1798"/>
      <c r="F86" s="1792"/>
      <c r="G86" s="1792"/>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7" t="s">
        <v>770</v>
      </c>
      <c r="B87" s="198" t="s">
        <v>2264</v>
      </c>
      <c r="C87" s="225">
        <f>C88+C89</f>
        <v>0</v>
      </c>
      <c r="D87" s="226"/>
      <c r="E87" s="1794"/>
      <c r="F87" s="1795"/>
      <c r="G87" s="1795"/>
      <c r="H87" s="1797"/>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7" t="s">
        <v>776</v>
      </c>
      <c r="B88" s="198" t="s">
        <v>2265</v>
      </c>
      <c r="C88" s="236"/>
      <c r="D88" s="226"/>
      <c r="E88" s="237" t="s">
        <v>2266</v>
      </c>
      <c r="F88" s="1795"/>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7" t="s">
        <v>777</v>
      </c>
      <c r="B89" s="198" t="s">
        <v>2255</v>
      </c>
      <c r="C89" s="225">
        <f>ROUND(C88*D89,0)</f>
        <v>0</v>
      </c>
      <c r="D89" s="226">
        <f>'数据-取费表'!B48+'数据-取费表'!B49</f>
        <v>3.0499999999999999E-2</v>
      </c>
      <c r="E89" s="237" t="s">
        <v>2268</v>
      </c>
      <c r="F89" s="1795"/>
      <c r="G89" s="1795"/>
      <c r="H89" s="1797"/>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7" t="s">
        <v>771</v>
      </c>
      <c r="B90" s="198" t="s">
        <v>2269</v>
      </c>
      <c r="C90" s="236"/>
      <c r="D90" s="226"/>
      <c r="E90" s="237" t="str">
        <f>IF(H88="-","土地取得成本中已包含该笔费用"," ")</f>
        <v xml:space="preserve"> </v>
      </c>
      <c r="F90" s="1795"/>
      <c r="G90" s="1795"/>
      <c r="H90" s="1797"/>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7" t="s">
        <v>2270</v>
      </c>
      <c r="B91" s="198" t="s">
        <v>2271</v>
      </c>
      <c r="C91" s="225">
        <f>IF(H91="——",'成本法（配套）'!C33,I91)</f>
        <v>0</v>
      </c>
      <c r="D91" s="226"/>
      <c r="E91" s="3375" t="s">
        <v>2272</v>
      </c>
      <c r="F91" s="3376"/>
      <c r="G91" s="3376"/>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7" t="s">
        <v>2274</v>
      </c>
      <c r="B92" s="198" t="s">
        <v>2275</v>
      </c>
      <c r="C92" s="225">
        <f>ROUND((C87+C90+C91)*D92,0)</f>
        <v>0</v>
      </c>
      <c r="D92" s="226">
        <v>0.1</v>
      </c>
      <c r="E92" s="3375" t="s">
        <v>2276</v>
      </c>
      <c r="F92" s="3376"/>
      <c r="G92" s="3376"/>
      <c r="H92" s="3385"/>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7" t="s">
        <v>2277</v>
      </c>
      <c r="B93" s="198" t="s">
        <v>2258</v>
      </c>
      <c r="C93" s="225">
        <f ca="1">ROUND(D45*D93/(1+'数据-取费表'!C42),0)</f>
        <v>927</v>
      </c>
      <c r="D93" s="226">
        <f>'数据-取费表'!B43</f>
        <v>6.000000000000001E-3</v>
      </c>
      <c r="E93" s="3375" t="s">
        <v>2259</v>
      </c>
      <c r="F93" s="3376"/>
      <c r="G93" s="3376"/>
      <c r="H93" s="3385"/>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7" t="s">
        <v>2278</v>
      </c>
      <c r="B94" s="198" t="s">
        <v>2279</v>
      </c>
      <c r="C94" s="236">
        <f>ROUND((C87+C90+C91)*D94,0)</f>
        <v>0</v>
      </c>
      <c r="D94" s="226">
        <v>0.2</v>
      </c>
      <c r="E94" s="3386" t="s">
        <v>2280</v>
      </c>
      <c r="F94" s="3387"/>
      <c r="G94" s="3387"/>
      <c r="H94" s="3388"/>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779</v>
      </c>
      <c r="B95" s="204" t="s">
        <v>2260</v>
      </c>
      <c r="C95" s="207">
        <f ca="1">ROUND(C85-C86,0)</f>
        <v>153547</v>
      </c>
      <c r="D95" s="200" t="s">
        <v>32</v>
      </c>
      <c r="E95" s="1798"/>
      <c r="F95" s="1792"/>
      <c r="G95" s="1792"/>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4" t="s">
        <v>2261</v>
      </c>
      <c r="C96" s="227">
        <f ca="1">IF(C95&lt;=0,0,C95/C86)</f>
        <v>165.63861920172599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9" t="s">
        <v>2262</v>
      </c>
      <c r="C97" s="228">
        <f ca="1">ROUND(IF(C95&lt;=0,0,IF(C96&gt;=200%,C95*60%-C86*35%,IF(C96&gt;=100%,C95*50%-C86*15%,IF(C96&gt;=50%,C95*40%-C86*5%,IF(C96&lt;50%,C95*30%,0))))),0)</f>
        <v>91804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hidden="1" customHeight="1">
      <c r="A98" s="2483"/>
      <c r="B98" s="2405"/>
      <c r="C98" s="2405"/>
      <c r="D98" s="2405"/>
      <c r="E98" s="2156"/>
      <c r="F98" s="2156"/>
      <c r="G98" s="2156"/>
      <c r="H98" s="2155"/>
      <c r="I98" s="138"/>
    </row>
    <row r="99" spans="1:35" ht="21.75" hidden="1" customHeight="1" thickBot="1">
      <c r="A99" s="2461" t="s">
        <v>2281</v>
      </c>
      <c r="B99" s="2405"/>
      <c r="C99" s="2405"/>
      <c r="D99" s="2405"/>
      <c r="E99" s="2156"/>
      <c r="F99" s="2156"/>
      <c r="G99" s="2156"/>
      <c r="H99" s="2155"/>
      <c r="I99" s="138"/>
    </row>
    <row r="100" spans="1:35" ht="18.75" customHeight="1">
      <c r="A100" s="3360" t="s">
        <v>2282</v>
      </c>
      <c r="B100" s="3361"/>
      <c r="C100" s="3361"/>
      <c r="D100" s="3377"/>
      <c r="E100" s="3361" t="s">
        <v>2283</v>
      </c>
      <c r="F100" s="3361"/>
      <c r="G100" s="3361"/>
      <c r="H100" s="3377"/>
      <c r="I100" s="138"/>
    </row>
    <row r="101" spans="1:35" ht="18.75" customHeight="1">
      <c r="A101" s="3439" t="s">
        <v>2284</v>
      </c>
      <c r="B101" s="3440"/>
      <c r="C101" s="736" t="str">
        <f>C4</f>
        <v>比较法-住宅</v>
      </c>
      <c r="D101" s="737" t="str">
        <f>D4</f>
        <v>收益法</v>
      </c>
      <c r="E101" s="3453" t="s">
        <v>2285</v>
      </c>
      <c r="F101" s="3407"/>
      <c r="G101" s="2507" t="s">
        <v>2286</v>
      </c>
      <c r="H101" s="1045">
        <f ca="1">H118</f>
        <v>162198</v>
      </c>
      <c r="I101" s="138"/>
    </row>
    <row r="102" spans="1:35" ht="18.75" customHeight="1">
      <c r="A102" s="3409" t="s">
        <v>2287</v>
      </c>
      <c r="B102" s="2507" t="s">
        <v>2286</v>
      </c>
      <c r="C102" s="736">
        <f ca="1">C19</f>
        <v>190431</v>
      </c>
      <c r="D102" s="737">
        <f ca="1">D19</f>
        <v>119848</v>
      </c>
      <c r="E102" s="3453"/>
      <c r="F102" s="3407"/>
      <c r="G102" s="2507" t="s">
        <v>2288</v>
      </c>
      <c r="H102" s="371">
        <f ca="1">I118</f>
        <v>80336</v>
      </c>
      <c r="I102" s="138"/>
    </row>
    <row r="103" spans="1:35" ht="42.75" customHeight="1">
      <c r="A103" s="3409"/>
      <c r="B103" s="2507" t="s">
        <v>2288</v>
      </c>
      <c r="C103" s="738">
        <f ca="1">C20</f>
        <v>94320</v>
      </c>
      <c r="D103" s="739">
        <f ca="1">D20</f>
        <v>59360</v>
      </c>
      <c r="E103" s="3448" t="s">
        <v>2289</v>
      </c>
      <c r="F103" s="3449"/>
      <c r="G103" s="2508" t="s">
        <v>2290</v>
      </c>
      <c r="H103" s="1045">
        <f>IF(D36="正常操作",H104+H105+H106,H105+H106)</f>
        <v>0</v>
      </c>
      <c r="I103" s="138"/>
    </row>
    <row r="104" spans="1:35" ht="18.75" customHeight="1">
      <c r="A104" s="3409" t="s">
        <v>2291</v>
      </c>
      <c r="B104" s="2509" t="s">
        <v>2286</v>
      </c>
      <c r="C104" s="740">
        <f ca="1">H118</f>
        <v>162198</v>
      </c>
      <c r="D104" s="741"/>
      <c r="E104" s="2256" t="s">
        <v>2292</v>
      </c>
      <c r="F104" s="2248"/>
      <c r="G104" s="2508" t="s">
        <v>2290</v>
      </c>
      <c r="H104" s="1046">
        <f>IF(D36="同一抵押权人同一抵押物续贷",C36&amp;"（未扣减，详见特别提示）",C36)</f>
        <v>0</v>
      </c>
      <c r="I104" s="138"/>
    </row>
    <row r="105" spans="1:35" ht="18.75" customHeight="1" thickBot="1">
      <c r="A105" s="3410"/>
      <c r="B105" s="2510" t="s">
        <v>2288</v>
      </c>
      <c r="C105" s="742">
        <f ca="1">I118</f>
        <v>80336</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06" t="str">
        <f>IF(项目基本情况!E8="已注销","——","3.房地产抵押价值")</f>
        <v>3.房地产抵押价值</v>
      </c>
      <c r="F107" s="3407"/>
      <c r="G107" s="2507" t="s">
        <v>2286</v>
      </c>
      <c r="H107" s="1045">
        <f ca="1">IF(E107="——","——",H101-H103)</f>
        <v>162198</v>
      </c>
      <c r="I107" s="138"/>
    </row>
    <row r="108" spans="1:35" ht="18.75" customHeight="1">
      <c r="A108" s="138"/>
      <c r="B108" s="138"/>
      <c r="C108" s="138"/>
      <c r="D108" s="138"/>
      <c r="E108" s="3406"/>
      <c r="F108" s="3407"/>
      <c r="G108" s="2507" t="s">
        <v>2288</v>
      </c>
      <c r="H108" s="371">
        <f ca="1">ROUND(H107*10000/'数据-汇总表'!E3,0)</f>
        <v>65540</v>
      </c>
      <c r="I108" s="138"/>
    </row>
    <row r="109" spans="1:35" ht="18.75" customHeight="1">
      <c r="A109" s="138"/>
      <c r="B109" s="138"/>
      <c r="C109" s="138"/>
      <c r="D109" s="138"/>
      <c r="E109" s="3406" t="str">
        <f>IF(项目基本情况!E8="已注销及未注销","4.抵押担保权已注销时的房地产抵押价值",IF(项目基本情况!E8="已注销","3.抵押担保权已注销时的房地产抵押价值","——"))</f>
        <v>——</v>
      </c>
      <c r="F109" s="3407"/>
      <c r="G109" s="2507" t="s">
        <v>2286</v>
      </c>
      <c r="H109" s="348" t="str">
        <f>IF(E109="——","——",H101-H105-H106)</f>
        <v>——</v>
      </c>
      <c r="I109" s="138"/>
    </row>
    <row r="110" spans="1:35" ht="18.75" customHeight="1">
      <c r="A110" s="138"/>
      <c r="B110" s="138"/>
      <c r="C110" s="138"/>
      <c r="D110" s="138"/>
      <c r="E110" s="3406"/>
      <c r="F110" s="3407"/>
      <c r="G110" s="2507" t="s">
        <v>2288</v>
      </c>
      <c r="H110" s="371" t="str">
        <f>IF(H109="——","——",ROUND(H109*10000/'数据-汇总表'!E3,0))</f>
        <v>——</v>
      </c>
      <c r="I110" s="138"/>
    </row>
    <row r="111" spans="1:35" ht="18.75" customHeight="1">
      <c r="A111" s="138"/>
      <c r="B111" s="138"/>
      <c r="C111" s="138"/>
      <c r="D111" s="138"/>
      <c r="E111" s="3441" t="str">
        <f>IF(项目基本情况!E9="抵押净值",IF(OR(项目基本情况!E8="已注销",项目基本情况!E8="房地产抵押价值"),"4.抵押净值","5.抵押净值"),"——")</f>
        <v>——</v>
      </c>
      <c r="F111" s="3442"/>
      <c r="G111" s="2507" t="s">
        <v>2286</v>
      </c>
      <c r="H111" s="1045" t="str">
        <f>IF(E111="——","——",N59)</f>
        <v>——</v>
      </c>
      <c r="I111" s="138"/>
    </row>
    <row r="112" spans="1:35" ht="18.75" customHeight="1" thickBot="1">
      <c r="A112" s="138"/>
      <c r="B112" s="138"/>
      <c r="C112" s="138"/>
      <c r="D112" s="138"/>
      <c r="E112" s="3443"/>
      <c r="F112" s="3444"/>
      <c r="G112" s="2512" t="s">
        <v>2288</v>
      </c>
      <c r="H112" s="790" t="str">
        <f>IF(E111="——","——",N61)</f>
        <v>——</v>
      </c>
      <c r="I112" s="138"/>
    </row>
    <row r="113" spans="1:11" ht="18.75" customHeight="1">
      <c r="A113" s="138"/>
      <c r="B113" s="138"/>
      <c r="C113" s="138"/>
      <c r="D113" s="138"/>
      <c r="E113" s="3411" t="s">
        <v>2294</v>
      </c>
      <c r="F113" s="3411"/>
      <c r="G113" s="3411"/>
      <c r="H113" s="3411"/>
      <c r="I113" s="138"/>
    </row>
    <row r="114" spans="1:11" ht="3.75" customHeight="1">
      <c r="A114" s="2405"/>
      <c r="B114" s="2405"/>
      <c r="C114" s="2405"/>
      <c r="D114" s="2405"/>
      <c r="E114" s="2483"/>
      <c r="F114" s="2483"/>
      <c r="G114" s="2483"/>
      <c r="H114" s="2483"/>
      <c r="I114" s="2405"/>
    </row>
    <row r="115" spans="1:11" ht="18.75" customHeight="1">
      <c r="A115" s="3424" t="s">
        <v>2296</v>
      </c>
      <c r="B115" s="3425"/>
      <c r="C115" s="3425"/>
      <c r="D115" s="3425"/>
      <c r="E115" s="3425"/>
      <c r="F115" s="3425"/>
      <c r="G115" s="3425"/>
      <c r="H115" s="3425"/>
      <c r="I115" s="3426"/>
    </row>
    <row r="116" spans="1:11" ht="27" customHeight="1">
      <c r="A116" s="3317" t="s">
        <v>2297</v>
      </c>
      <c r="B116" s="3412" t="s">
        <v>2298</v>
      </c>
      <c r="C116" s="3412" t="s">
        <v>2299</v>
      </c>
      <c r="D116" s="3428" t="s">
        <v>2300</v>
      </c>
      <c r="E116" s="3429"/>
      <c r="F116" s="3420" t="s">
        <v>2301</v>
      </c>
      <c r="G116" s="3420"/>
      <c r="H116" s="3317" t="s">
        <v>2302</v>
      </c>
      <c r="I116" s="3317"/>
    </row>
    <row r="117" spans="1:11" ht="18.75" customHeight="1">
      <c r="A117" s="3317"/>
      <c r="B117" s="3413"/>
      <c r="C117" s="3413"/>
      <c r="D117" s="1793" t="s">
        <v>2303</v>
      </c>
      <c r="E117" s="1793" t="s">
        <v>2304</v>
      </c>
      <c r="F117" s="1793" t="s">
        <v>2303</v>
      </c>
      <c r="G117" s="1793" t="s">
        <v>2305</v>
      </c>
      <c r="H117" s="1793" t="s">
        <v>2303</v>
      </c>
      <c r="I117" s="1793" t="s">
        <v>2305</v>
      </c>
    </row>
    <row r="118" spans="1:11" ht="24.75" customHeight="1">
      <c r="A118" s="2513" t="str">
        <f>项目基本情况!S2</f>
        <v>北京市朝阳区朝阳公园西里北区5号房地产</v>
      </c>
      <c r="B118" s="1793">
        <f>M18</f>
        <v>20189.89</v>
      </c>
      <c r="C118" s="1793">
        <f>M19</f>
        <v>7720.98</v>
      </c>
      <c r="D118" s="1793">
        <f ca="1">ROUND(IF(D32="总价",C34,E118*B118/10000),0)</f>
        <v>103482</v>
      </c>
      <c r="E118" s="1793">
        <f ca="1">ROUND(IF(C33="自定义",IF(D32="楼面单价",C34,D118*10000/B118),I118-G118),0)</f>
        <v>51254</v>
      </c>
      <c r="F118" s="1793">
        <f ca="1">ROUND(IF(D32="总价",C35,G118*B118/10000),0)</f>
        <v>58716</v>
      </c>
      <c r="G118" s="1793">
        <f ca="1">ROUND(IF(D32="楼面单价",C35,F118*10000/B118),0)</f>
        <v>29082</v>
      </c>
      <c r="H118" s="1793">
        <f ca="1">ROUND(IF(D32="总价",C32,I118*B118/10000),0)</f>
        <v>162198</v>
      </c>
      <c r="I118" s="1793">
        <f ca="1">ROUND(IF(D32="楼面单价",C32,H118*10000/B118),0)</f>
        <v>80336</v>
      </c>
    </row>
    <row r="119" spans="1:11" ht="18.75" customHeight="1">
      <c r="A119" s="3317" t="s">
        <v>2306</v>
      </c>
      <c r="B119" s="3317"/>
      <c r="C119" s="3317"/>
      <c r="D119" s="3417" t="str">
        <f ca="1">NUMBERSTRING(INT(D118*10000),2)&amp;"元整"</f>
        <v>壹拾亿叁仟肆佰捌拾贰万元整</v>
      </c>
      <c r="E119" s="3419"/>
      <c r="F119" s="3417" t="str">
        <f ca="1">NUMBERSTRING(INT(F118*10000),2)&amp;"元整"</f>
        <v>伍亿捌仟柒佰壹拾陆万元整</v>
      </c>
      <c r="G119" s="3419"/>
      <c r="H119" s="3417" t="str">
        <f ca="1">NUMBERSTRING(INT(H118*10000),2)&amp;"元整"</f>
        <v>壹拾陆亿贰仟壹佰玖拾捌万元整</v>
      </c>
      <c r="I119" s="3419"/>
    </row>
    <row r="120" spans="1:11" ht="18.75" customHeight="1">
      <c r="A120" s="3445" t="str">
        <f>IF(项目基本情况!B9="房地产市场价值","",MID(E103,3,LEN(E103)-2))</f>
        <v>估价师知悉的法定优先受偿款</v>
      </c>
      <c r="B120" s="3446"/>
      <c r="C120" s="3447"/>
      <c r="D120" s="3445">
        <f>H103</f>
        <v>0</v>
      </c>
      <c r="E120" s="3446"/>
      <c r="F120" s="3446"/>
      <c r="G120" s="3446"/>
      <c r="H120" s="3446"/>
      <c r="I120" s="3447"/>
      <c r="K120" s="2410" t="str">
        <f>IF(D120=0,"故，本次评估不存在"&amp;A120,"故，本次评估"&amp;A120&amp;"为人民币"&amp;D120&amp;"万元整。")</f>
        <v>故，本次评估不存在估价师知悉的法定优先受偿款</v>
      </c>
    </row>
    <row r="121" spans="1:11" ht="18.75" customHeight="1">
      <c r="A121" s="3421" t="s">
        <v>2306</v>
      </c>
      <c r="B121" s="3422"/>
      <c r="C121" s="3423"/>
      <c r="D121" s="3417" t="str">
        <f>IF(D120=0,"零元整",NUMBERSTRING(INT(D120*10000),2)&amp;"元整")</f>
        <v>零元整</v>
      </c>
      <c r="E121" s="3418"/>
      <c r="F121" s="3418"/>
      <c r="G121" s="3418"/>
      <c r="H121" s="3418"/>
      <c r="I121" s="3419"/>
    </row>
    <row r="122" spans="1:11" ht="18.75" customHeight="1">
      <c r="A122" s="3408" t="str">
        <f>IF(项目基本情况!B9="房地产市场价值","",MID(E107,3,LEN(E107)-2))</f>
        <v>房地产抵押价值</v>
      </c>
      <c r="B122" s="3408"/>
      <c r="C122" s="3408"/>
      <c r="D122" s="3445">
        <f ca="1">H107</f>
        <v>162198</v>
      </c>
      <c r="E122" s="3446"/>
      <c r="F122" s="3446"/>
      <c r="G122" s="3446"/>
      <c r="H122" s="3446"/>
      <c r="I122" s="3447"/>
    </row>
    <row r="123" spans="1:11" ht="18.75" customHeight="1">
      <c r="A123" s="3317" t="s">
        <v>2306</v>
      </c>
      <c r="B123" s="3317"/>
      <c r="C123" s="3317"/>
      <c r="D123" s="3417" t="str">
        <f ca="1">NUMBERSTRING(INT(D122*10000),2)&amp;"元整"</f>
        <v>壹拾陆亿贰仟壹佰玖拾捌万元整</v>
      </c>
      <c r="E123" s="3418"/>
      <c r="F123" s="3418"/>
      <c r="G123" s="3418"/>
      <c r="H123" s="3418"/>
      <c r="I123" s="3419"/>
    </row>
    <row r="124" spans="1:11" ht="18.75" customHeight="1">
      <c r="A124" s="3408" t="str">
        <f>IF(项目基本情况!B9="房地产市场价值","",MID(E109,3,LEN(E109)-2))</f>
        <v/>
      </c>
      <c r="B124" s="3408"/>
      <c r="C124" s="3408"/>
      <c r="D124" s="3445" t="str">
        <f>H109</f>
        <v>——</v>
      </c>
      <c r="E124" s="3446"/>
      <c r="F124" s="3446"/>
      <c r="G124" s="3446"/>
      <c r="H124" s="3446"/>
      <c r="I124" s="3447"/>
    </row>
    <row r="125" spans="1:11" ht="18.75" customHeight="1">
      <c r="A125" s="3317" t="s">
        <v>2306</v>
      </c>
      <c r="B125" s="3317"/>
      <c r="C125" s="3317"/>
      <c r="D125" s="3417" t="e">
        <f>NUMBERSTRING(INT(D124*10000),2)&amp;"元整"</f>
        <v>#VALUE!</v>
      </c>
      <c r="E125" s="3418"/>
      <c r="F125" s="3418"/>
      <c r="G125" s="3418"/>
      <c r="H125" s="3418"/>
      <c r="I125" s="3419"/>
    </row>
    <row r="126" spans="1:11" ht="18.75" customHeight="1">
      <c r="A126" s="3408" t="str">
        <f>IF(项目基本情况!B9="房地产市场价值","",MID(E111,3,LEN(E111)-2))</f>
        <v/>
      </c>
      <c r="B126" s="3408"/>
      <c r="C126" s="3408"/>
      <c r="D126" s="3445" t="str">
        <f>H111</f>
        <v>——</v>
      </c>
      <c r="E126" s="3446"/>
      <c r="F126" s="3446"/>
      <c r="G126" s="3446"/>
      <c r="H126" s="3446"/>
      <c r="I126" s="3447"/>
    </row>
    <row r="127" spans="1:11" ht="18.75" customHeight="1">
      <c r="A127" s="3317" t="s">
        <v>2306</v>
      </c>
      <c r="B127" s="3317"/>
      <c r="C127" s="3317"/>
      <c r="D127" s="3417" t="e">
        <f>NUMBERSTRING(INT(D126*10000),2)&amp;"元整"</f>
        <v>#VALUE!</v>
      </c>
      <c r="E127" s="3418"/>
      <c r="F127" s="3418"/>
      <c r="G127" s="3418"/>
      <c r="H127" s="3418"/>
      <c r="I127" s="3419"/>
    </row>
    <row r="128" spans="1:11" ht="21.75" customHeight="1">
      <c r="A128" s="3427" t="s">
        <v>2307</v>
      </c>
      <c r="B128" s="3427"/>
      <c r="C128" s="3427"/>
      <c r="D128" s="3427"/>
      <c r="E128" s="3427"/>
      <c r="F128" s="3427"/>
      <c r="G128" s="3427"/>
      <c r="H128" s="3427"/>
      <c r="I128" s="3427"/>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E36">
    <cfRule type="expression" dxfId="21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abSelected="1" workbookViewId="0">
      <selection activeCell="D8" sqref="D8:I8"/>
    </sheetView>
  </sheetViews>
  <sheetFormatPr defaultRowHeight="13.5"/>
  <cols>
    <col min="7" max="7" width="9.625" customWidth="1"/>
    <col min="9" max="9" width="9.125" customWidth="1"/>
  </cols>
  <sheetData>
    <row r="1" spans="1:9" ht="15">
      <c r="A1" s="3424" t="s">
        <v>2296</v>
      </c>
      <c r="B1" s="3425"/>
      <c r="C1" s="3425"/>
      <c r="D1" s="3425"/>
      <c r="E1" s="3425"/>
      <c r="F1" s="3425"/>
      <c r="G1" s="3425"/>
      <c r="H1" s="3425"/>
      <c r="I1" s="3426"/>
    </row>
    <row r="2" spans="1:9" ht="14.25">
      <c r="A2" s="3317" t="s">
        <v>2297</v>
      </c>
      <c r="B2" s="3412" t="s">
        <v>2298</v>
      </c>
      <c r="C2" s="3412" t="s">
        <v>2299</v>
      </c>
      <c r="D2" s="3428" t="s">
        <v>2300</v>
      </c>
      <c r="E2" s="3429"/>
      <c r="F2" s="3420" t="s">
        <v>2301</v>
      </c>
      <c r="G2" s="3420"/>
      <c r="H2" s="3317" t="s">
        <v>2302</v>
      </c>
      <c r="I2" s="3317"/>
    </row>
    <row r="3" spans="1:9" ht="14.25">
      <c r="A3" s="3317"/>
      <c r="B3" s="3413"/>
      <c r="C3" s="3413"/>
      <c r="D3" s="2993" t="s">
        <v>2303</v>
      </c>
      <c r="E3" s="2993" t="s">
        <v>2304</v>
      </c>
      <c r="F3" s="2993" t="s">
        <v>2303</v>
      </c>
      <c r="G3" s="2993" t="s">
        <v>2305</v>
      </c>
      <c r="H3" s="2993" t="s">
        <v>2303</v>
      </c>
      <c r="I3" s="2993" t="s">
        <v>2305</v>
      </c>
    </row>
    <row r="4" spans="1:9" ht="14.25">
      <c r="A4" s="2513"/>
      <c r="B4" s="2993"/>
      <c r="C4" s="2993"/>
      <c r="D4" s="2993">
        <f ca="1">结果表!D118</f>
        <v>103482</v>
      </c>
      <c r="E4" s="2993">
        <f ca="1">结果表!E118</f>
        <v>51254</v>
      </c>
      <c r="F4" s="2993">
        <f ca="1">结果表!F118</f>
        <v>58716</v>
      </c>
      <c r="G4" s="2993">
        <f ca="1">结果表!G118</f>
        <v>29082</v>
      </c>
      <c r="H4" s="2993">
        <f ca="1">结果表!H118</f>
        <v>162198</v>
      </c>
      <c r="I4" s="2993">
        <f ca="1">结果表!I118</f>
        <v>80336</v>
      </c>
    </row>
    <row r="5" spans="1:9" ht="14.25">
      <c r="A5" s="2513"/>
      <c r="B5" s="2993"/>
      <c r="C5" s="2993"/>
      <c r="D5" s="2993">
        <f ca="1">'结果表 (配套)'!D118</f>
        <v>953</v>
      </c>
      <c r="E5" s="2993">
        <f ca="1">'结果表 (配套)'!E118</f>
        <v>11993</v>
      </c>
      <c r="F5" s="2993">
        <f ca="1">'结果表 (配套)'!F118</f>
        <v>301</v>
      </c>
      <c r="G5" s="2993">
        <f ca="1">'结果表 (配套)'!G118</f>
        <v>3788</v>
      </c>
      <c r="H5" s="2993">
        <f ca="1">'结果表 (配套)'!H118</f>
        <v>1254</v>
      </c>
      <c r="I5" s="2993">
        <f ca="1">'结果表 (配套)'!I118</f>
        <v>15781</v>
      </c>
    </row>
    <row r="6" spans="1:9" ht="14.25">
      <c r="A6" s="2513"/>
      <c r="B6" s="2993"/>
      <c r="C6" s="2993"/>
      <c r="D6" s="2993">
        <f ca="1">'结果表 (车库)'!D118</f>
        <v>2918</v>
      </c>
      <c r="E6" s="2993">
        <f ca="1">'结果表 (车库)'!E118</f>
        <v>8627</v>
      </c>
      <c r="F6" s="2993">
        <f ca="1">'结果表 (车库)'!F118</f>
        <v>702</v>
      </c>
      <c r="G6" s="2993">
        <f ca="1">'结果表 (车库)'!G118</f>
        <v>2076</v>
      </c>
      <c r="H6" s="2993">
        <f ca="1">'结果表 (车库)'!H118</f>
        <v>3620</v>
      </c>
      <c r="I6" s="2993">
        <f ca="1">'结果表 (车库)'!I118</f>
        <v>10703</v>
      </c>
    </row>
    <row r="7" spans="1:9" ht="14.25">
      <c r="A7" s="2513"/>
      <c r="B7" s="2993">
        <f>系统读取表!B1</f>
        <v>24747.89</v>
      </c>
      <c r="C7" s="2993">
        <f>系统读取表!B2</f>
        <v>9464.0499999999993</v>
      </c>
      <c r="D7" s="3266">
        <f ca="1">D4+D5+D6</f>
        <v>107353</v>
      </c>
      <c r="E7" s="2141">
        <f ca="1">I7-G7</f>
        <v>43379</v>
      </c>
      <c r="F7" s="2995">
        <f ca="1">F4+F5+F6</f>
        <v>59719</v>
      </c>
      <c r="G7" s="2996">
        <f ca="1">ROUND(F7/B7*10000,0)</f>
        <v>24131</v>
      </c>
      <c r="H7" s="2995">
        <f ca="1">H4+H5+H6</f>
        <v>167072</v>
      </c>
      <c r="I7" s="2996">
        <f ca="1">ROUND(H7/B7*10000,0)</f>
        <v>67510</v>
      </c>
    </row>
    <row r="8" spans="1:9" ht="14.25" customHeight="1">
      <c r="A8" s="3317" t="s">
        <v>2306</v>
      </c>
      <c r="B8" s="3317"/>
      <c r="C8" s="3317"/>
      <c r="D8" s="3417" t="str">
        <f ca="1">NUMBERSTRING(INT(D7*10000),2)&amp;"元整"</f>
        <v>壹拾亿柒仟叁佰伍拾叁万元整</v>
      </c>
      <c r="E8" s="3419"/>
      <c r="F8" s="3417" t="str">
        <f ca="1">NUMBERSTRING(INT(F7*10000),2)&amp;"元整"</f>
        <v>伍亿玖仟柒佰壹拾玖万元整</v>
      </c>
      <c r="G8" s="3419"/>
      <c r="H8" s="3417" t="str">
        <f t="shared" ref="H8" ca="1" si="0">NUMBERSTRING(INT(H7*10000),2)&amp;"元整"</f>
        <v>壹拾陆亿柒仟零柒拾贰万元整</v>
      </c>
      <c r="I8" s="3419"/>
    </row>
  </sheetData>
  <mergeCells count="11">
    <mergeCell ref="A8:C8"/>
    <mergeCell ref="D8:E8"/>
    <mergeCell ref="F8:G8"/>
    <mergeCell ref="H8:I8"/>
    <mergeCell ref="A1:I1"/>
    <mergeCell ref="A2:A3"/>
    <mergeCell ref="B2:B3"/>
    <mergeCell ref="C2:C3"/>
    <mergeCell ref="D2:E2"/>
    <mergeCell ref="F2:G2"/>
    <mergeCell ref="H2:I2"/>
  </mergeCells>
  <phoneticPr fontId="143"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73" t="str">
        <f>项目基本情况!B1</f>
        <v>北京市朝阳区朝阳公园西里北区5号房地产抵押价值预评估</v>
      </c>
      <c r="C37" s="3273"/>
      <c r="D37" s="3273"/>
      <c r="E37" s="3273"/>
      <c r="F37" s="3273"/>
      <c r="G37" s="3273"/>
      <c r="H37" s="3273"/>
      <c r="I37" s="3273"/>
    </row>
    <row r="38" spans="1:9">
      <c r="A38" s="1016"/>
      <c r="B38" s="1016"/>
    </row>
    <row r="39" spans="1:9">
      <c r="A39" s="1014" t="s">
        <v>818</v>
      </c>
      <c r="B39" s="1014" t="s">
        <v>820</v>
      </c>
    </row>
    <row r="40" spans="1:9">
      <c r="A40" s="1014"/>
      <c r="B40" s="1939" t="str">
        <f>项目基本情况!B5</f>
        <v>昆仑信托</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郑燚（注册号：1120070131)、王鹏（注册号：1120050019)</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I27" sqref="I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t="s">
        <v>3046</v>
      </c>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190431</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94320</v>
      </c>
      <c r="C3" s="400" t="s">
        <v>2523</v>
      </c>
      <c r="D3" s="399">
        <f>IF(D1="",'数据-汇总表'!E3,SUMIF('数据-汇总表'!$C19:$C33,D1,'数据-汇总表'!$E19:$E33))</f>
        <v>20189.89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1" t="s">
        <v>2525</v>
      </c>
      <c r="D4" s="3492"/>
      <c r="E4" s="3493" t="s">
        <v>2526</v>
      </c>
      <c r="F4" s="3494"/>
      <c r="G4" s="3491" t="s">
        <v>2527</v>
      </c>
      <c r="H4" s="3492"/>
      <c r="I4" s="3491" t="s">
        <v>2528</v>
      </c>
      <c r="J4" s="3492"/>
      <c r="K4" s="2585" t="s">
        <v>2529</v>
      </c>
      <c r="L4" s="1129"/>
      <c r="M4" s="1130"/>
      <c r="N4" s="1130"/>
      <c r="O4" s="1130"/>
      <c r="P4" s="3495" t="s">
        <v>2530</v>
      </c>
      <c r="Q4" s="3496"/>
      <c r="R4" s="3481" t="s">
        <v>2526</v>
      </c>
      <c r="S4" s="3482"/>
      <c r="T4" s="3481" t="s">
        <v>2527</v>
      </c>
      <c r="U4" s="3482"/>
      <c r="V4" s="3487" t="s">
        <v>2528</v>
      </c>
      <c r="W4" s="3487"/>
      <c r="X4" s="2999"/>
      <c r="Y4" s="3481" t="s">
        <v>2530</v>
      </c>
      <c r="Z4" s="3482"/>
      <c r="AA4" s="3488" t="s">
        <v>2526</v>
      </c>
      <c r="AB4" s="3488" t="s">
        <v>2527</v>
      </c>
      <c r="AC4" s="3488" t="s">
        <v>2528</v>
      </c>
    </row>
    <row r="5" spans="1:29" ht="15">
      <c r="A5" s="404"/>
      <c r="B5" s="405"/>
      <c r="C5" s="3501" t="s">
        <v>3671</v>
      </c>
      <c r="D5" s="3502"/>
      <c r="E5" s="3503" t="s">
        <v>3672</v>
      </c>
      <c r="F5" s="3504"/>
      <c r="G5" s="3501" t="s">
        <v>3578</v>
      </c>
      <c r="H5" s="3502"/>
      <c r="I5" s="3501" t="s">
        <v>3667</v>
      </c>
      <c r="J5" s="3502"/>
      <c r="K5" s="2586"/>
      <c r="L5" s="1129"/>
      <c r="M5" s="1130"/>
      <c r="N5" s="1130"/>
      <c r="O5" s="1130"/>
      <c r="P5" s="3497"/>
      <c r="Q5" s="3498"/>
      <c r="R5" s="3483"/>
      <c r="S5" s="3484"/>
      <c r="T5" s="3483"/>
      <c r="U5" s="3484"/>
      <c r="V5" s="3487"/>
      <c r="W5" s="3487"/>
      <c r="X5" s="2999"/>
      <c r="Y5" s="3483"/>
      <c r="Z5" s="3484"/>
      <c r="AA5" s="3489"/>
      <c r="AB5" s="3489"/>
      <c r="AC5" s="3489"/>
    </row>
    <row r="6" spans="1:29" ht="15.75" thickBot="1">
      <c r="A6" s="406"/>
      <c r="B6" s="407"/>
      <c r="C6" s="3476" t="s">
        <v>2535</v>
      </c>
      <c r="D6" s="3477"/>
      <c r="E6" s="3478" t="s">
        <v>2535</v>
      </c>
      <c r="F6" s="3479"/>
      <c r="G6" s="3476" t="s">
        <v>2535</v>
      </c>
      <c r="H6" s="3477"/>
      <c r="I6" s="3476" t="s">
        <v>2535</v>
      </c>
      <c r="J6" s="3477"/>
      <c r="K6" s="2586" t="s">
        <v>2536</v>
      </c>
      <c r="L6" s="1129"/>
      <c r="M6" s="1130"/>
      <c r="N6" s="1130"/>
      <c r="O6" s="1130"/>
      <c r="P6" s="3499"/>
      <c r="Q6" s="3500"/>
      <c r="R6" s="3483"/>
      <c r="S6" s="3484"/>
      <c r="T6" s="3485"/>
      <c r="U6" s="3486"/>
      <c r="V6" s="3487"/>
      <c r="W6" s="3487"/>
      <c r="X6" s="2999"/>
      <c r="Y6" s="3485"/>
      <c r="Z6" s="3486"/>
      <c r="AA6" s="3490"/>
      <c r="AB6" s="3490"/>
      <c r="AC6" s="3490"/>
    </row>
    <row r="7" spans="1:29" s="117" customFormat="1" ht="15.75" thickBot="1">
      <c r="A7" s="408" t="s">
        <v>2537</v>
      </c>
      <c r="B7" s="409"/>
      <c r="C7" s="410">
        <f>'数据-取费表'!B2</f>
        <v>43670</v>
      </c>
      <c r="D7" s="411">
        <v>100</v>
      </c>
      <c r="E7" s="412">
        <f>C7</f>
        <v>43670</v>
      </c>
      <c r="F7" s="413">
        <f>SUMIF(58:58,YEAR(E7)&amp;"-"&amp;MONTH(E7),59:59)</f>
        <v>100</v>
      </c>
      <c r="G7" s="412">
        <f>E7</f>
        <v>43670</v>
      </c>
      <c r="H7" s="411">
        <f>SUMIF(58:58,YEAR(G7)&amp;"-"&amp;MONTH(G7),59:59)</f>
        <v>100</v>
      </c>
      <c r="I7" s="412">
        <f>E7</f>
        <v>43670</v>
      </c>
      <c r="J7" s="411">
        <f>SUMIF(58:58,YEAR(I7)&amp;"-"&amp;MONTH(I7),59:59)</f>
        <v>100</v>
      </c>
      <c r="K7" s="2587"/>
      <c r="L7" s="1131"/>
      <c r="M7" s="1132"/>
      <c r="N7" s="1132"/>
      <c r="O7" s="1132"/>
      <c r="P7" s="3469" t="s">
        <v>2538</v>
      </c>
      <c r="Q7" s="3480"/>
      <c r="R7" s="770" t="s">
        <v>23</v>
      </c>
      <c r="S7" s="771">
        <f t="shared" ref="S7:S15" si="0">F7</f>
        <v>100</v>
      </c>
      <c r="T7" s="770" t="s">
        <v>23</v>
      </c>
      <c r="U7" s="771">
        <f t="shared" ref="U7:U15" si="1">H7</f>
        <v>100</v>
      </c>
      <c r="V7" s="770" t="s">
        <v>23</v>
      </c>
      <c r="W7" s="771">
        <f t="shared" ref="W7:W15" si="2">J7</f>
        <v>100</v>
      </c>
      <c r="X7" s="772"/>
      <c r="Y7" s="3469" t="s">
        <v>2538</v>
      </c>
      <c r="Z7" s="3470"/>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69" t="s">
        <v>2541</v>
      </c>
      <c r="Q8" s="3470"/>
      <c r="R8" s="770" t="s">
        <v>23</v>
      </c>
      <c r="S8" s="771">
        <f t="shared" si="0"/>
        <v>100</v>
      </c>
      <c r="T8" s="770" t="s">
        <v>23</v>
      </c>
      <c r="U8" s="771">
        <f t="shared" si="1"/>
        <v>100</v>
      </c>
      <c r="V8" s="770" t="s">
        <v>23</v>
      </c>
      <c r="W8" s="771">
        <f t="shared" si="2"/>
        <v>100</v>
      </c>
      <c r="X8" s="772"/>
      <c r="Y8" s="3469" t="s">
        <v>2541</v>
      </c>
      <c r="Z8" s="3470"/>
      <c r="AA8" s="773">
        <f t="shared" ref="AA8:AA19" si="3">D8/F8</f>
        <v>1</v>
      </c>
      <c r="AB8" s="773">
        <f t="shared" ref="AB8:AB19" si="4">D8/H8</f>
        <v>1</v>
      </c>
      <c r="AC8" s="773">
        <f t="shared" ref="AC8:AC19" si="5">D8/J8</f>
        <v>1</v>
      </c>
    </row>
    <row r="9" spans="1:29" s="117" customFormat="1">
      <c r="A9" s="415" t="s">
        <v>2542</v>
      </c>
      <c r="B9" s="71" t="s">
        <v>2543</v>
      </c>
      <c r="C9" s="3249"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71" t="s">
        <v>2544</v>
      </c>
      <c r="Q9" s="2993" t="str">
        <f t="shared" ref="Q9:Q15" si="6">B9</f>
        <v>用途</v>
      </c>
      <c r="R9" s="770" t="s">
        <v>17</v>
      </c>
      <c r="S9" s="771">
        <f t="shared" si="0"/>
        <v>100</v>
      </c>
      <c r="T9" s="770" t="s">
        <v>17</v>
      </c>
      <c r="U9" s="771">
        <f t="shared" si="1"/>
        <v>100</v>
      </c>
      <c r="V9" s="770" t="s">
        <v>17</v>
      </c>
      <c r="W9" s="771">
        <f t="shared" si="2"/>
        <v>100</v>
      </c>
      <c r="X9" s="772"/>
      <c r="Y9" s="3317" t="s">
        <v>2545</v>
      </c>
      <c r="Z9" s="2994" t="str">
        <f t="shared" ref="Z9:Z15" si="7">Q9</f>
        <v>用途</v>
      </c>
      <c r="AA9" s="773">
        <f t="shared" si="3"/>
        <v>1</v>
      </c>
      <c r="AB9" s="773">
        <f t="shared" si="4"/>
        <v>1</v>
      </c>
      <c r="AC9" s="773">
        <f t="shared" si="5"/>
        <v>1</v>
      </c>
    </row>
    <row r="10" spans="1:29" s="427" customFormat="1" ht="27">
      <c r="A10" s="421"/>
      <c r="B10" s="2995" t="s">
        <v>2546</v>
      </c>
      <c r="C10" s="423" t="s">
        <v>3639</v>
      </c>
      <c r="D10" s="136">
        <v>100</v>
      </c>
      <c r="E10" s="424" t="s">
        <v>3639</v>
      </c>
      <c r="F10" s="425">
        <f>SUMIF(65:65,E10,66:66)-SUMIF(65:65,C10,66:66)+100</f>
        <v>100</v>
      </c>
      <c r="G10" s="423" t="s">
        <v>3656</v>
      </c>
      <c r="H10" s="136">
        <f>SUMIF(65:65,G10,66:66)-SUMIF(65:65,C10,66:66)+100</f>
        <v>98</v>
      </c>
      <c r="I10" s="423" t="s">
        <v>3639</v>
      </c>
      <c r="J10" s="136">
        <f>SUMIF(65:65,I10,66:66)-SUMIF(65:65,C10,66:66)+100</f>
        <v>100</v>
      </c>
      <c r="K10" s="426">
        <v>2</v>
      </c>
      <c r="L10" s="1134"/>
      <c r="M10" s="1135"/>
      <c r="N10" s="1135"/>
      <c r="O10" s="1135"/>
      <c r="P10" s="3471"/>
      <c r="Q10" s="2993" t="str">
        <f t="shared" si="6"/>
        <v>土地使用年限（年）</v>
      </c>
      <c r="R10" s="770" t="s">
        <v>17</v>
      </c>
      <c r="S10" s="771">
        <f t="shared" si="0"/>
        <v>100</v>
      </c>
      <c r="T10" s="770" t="s">
        <v>17</v>
      </c>
      <c r="U10" s="771">
        <f t="shared" si="1"/>
        <v>98</v>
      </c>
      <c r="V10" s="770" t="s">
        <v>17</v>
      </c>
      <c r="W10" s="771">
        <f t="shared" si="2"/>
        <v>100</v>
      </c>
      <c r="X10" s="772"/>
      <c r="Y10" s="3317"/>
      <c r="Z10" s="2994" t="str">
        <f t="shared" si="7"/>
        <v>土地使用年限（年）</v>
      </c>
      <c r="AA10" s="773">
        <f t="shared" si="3"/>
        <v>1</v>
      </c>
      <c r="AB10" s="773">
        <f t="shared" si="4"/>
        <v>1.0204081632653061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71"/>
      <c r="Q11" s="2993" t="str">
        <f t="shared" si="6"/>
        <v>容积率</v>
      </c>
      <c r="R11" s="770" t="s">
        <v>21</v>
      </c>
      <c r="S11" s="771">
        <f t="shared" si="0"/>
        <v>100</v>
      </c>
      <c r="T11" s="770" t="s">
        <v>21</v>
      </c>
      <c r="U11" s="771">
        <f t="shared" si="1"/>
        <v>100</v>
      </c>
      <c r="V11" s="770" t="s">
        <v>21</v>
      </c>
      <c r="W11" s="771">
        <f t="shared" si="2"/>
        <v>100</v>
      </c>
      <c r="X11" s="772"/>
      <c r="Y11" s="3317"/>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71"/>
      <c r="Q12" s="2993">
        <f t="shared" si="6"/>
        <v>111</v>
      </c>
      <c r="R12" s="770" t="s">
        <v>21</v>
      </c>
      <c r="S12" s="771">
        <f t="shared" si="0"/>
        <v>100</v>
      </c>
      <c r="T12" s="770" t="s">
        <v>21</v>
      </c>
      <c r="U12" s="771">
        <f t="shared" si="1"/>
        <v>100</v>
      </c>
      <c r="V12" s="770" t="s">
        <v>21</v>
      </c>
      <c r="W12" s="771">
        <f t="shared" si="2"/>
        <v>100</v>
      </c>
      <c r="X12" s="772"/>
      <c r="Y12" s="3317"/>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71"/>
      <c r="Q13" s="2993">
        <f t="shared" si="6"/>
        <v>111</v>
      </c>
      <c r="R13" s="770" t="s">
        <v>21</v>
      </c>
      <c r="S13" s="771">
        <f t="shared" si="0"/>
        <v>100</v>
      </c>
      <c r="T13" s="770" t="s">
        <v>21</v>
      </c>
      <c r="U13" s="771">
        <f t="shared" si="1"/>
        <v>100</v>
      </c>
      <c r="V13" s="770" t="s">
        <v>21</v>
      </c>
      <c r="W13" s="771">
        <f t="shared" si="2"/>
        <v>100</v>
      </c>
      <c r="X13" s="772"/>
      <c r="Y13" s="3317"/>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71"/>
      <c r="Q14" s="2993">
        <f t="shared" si="6"/>
        <v>111</v>
      </c>
      <c r="R14" s="770" t="s">
        <v>21</v>
      </c>
      <c r="S14" s="771">
        <f t="shared" si="0"/>
        <v>100</v>
      </c>
      <c r="T14" s="770" t="s">
        <v>21</v>
      </c>
      <c r="U14" s="771">
        <f t="shared" si="1"/>
        <v>100</v>
      </c>
      <c r="V14" s="770" t="s">
        <v>21</v>
      </c>
      <c r="W14" s="771">
        <f t="shared" si="2"/>
        <v>100</v>
      </c>
      <c r="X14" s="772"/>
      <c r="Y14" s="3317"/>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72" t="s">
        <v>2549</v>
      </c>
      <c r="Q15" s="2997" t="str">
        <f t="shared" si="6"/>
        <v>居住社区成熟度</v>
      </c>
      <c r="R15" s="774" t="s">
        <v>21</v>
      </c>
      <c r="S15" s="775">
        <f t="shared" si="0"/>
        <v>100</v>
      </c>
      <c r="T15" s="774" t="s">
        <v>21</v>
      </c>
      <c r="U15" s="775">
        <f t="shared" si="1"/>
        <v>100</v>
      </c>
      <c r="V15" s="774" t="s">
        <v>21</v>
      </c>
      <c r="W15" s="775">
        <f t="shared" si="2"/>
        <v>100</v>
      </c>
      <c r="X15" s="2999"/>
      <c r="Y15" s="3474" t="s">
        <v>2549</v>
      </c>
      <c r="Z15" s="3000" t="str">
        <f t="shared" si="7"/>
        <v>居住社区成熟度</v>
      </c>
      <c r="AA15" s="2998">
        <f t="shared" si="3"/>
        <v>1</v>
      </c>
      <c r="AB15" s="2998">
        <f t="shared" si="4"/>
        <v>1</v>
      </c>
      <c r="AC15" s="2998">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73"/>
      <c r="Q16" s="2997"/>
      <c r="R16" s="774"/>
      <c r="S16" s="775"/>
      <c r="T16" s="774"/>
      <c r="U16" s="775"/>
      <c r="V16" s="774"/>
      <c r="W16" s="775"/>
      <c r="X16" s="2999"/>
      <c r="Y16" s="3475"/>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73"/>
      <c r="Q17" s="2997" t="str">
        <f>B17</f>
        <v>交通便捷度</v>
      </c>
      <c r="R17" s="774" t="s">
        <v>21</v>
      </c>
      <c r="S17" s="775">
        <f>F17</f>
        <v>100</v>
      </c>
      <c r="T17" s="774" t="s">
        <v>21</v>
      </c>
      <c r="U17" s="775">
        <f>H17</f>
        <v>100</v>
      </c>
      <c r="V17" s="774" t="s">
        <v>21</v>
      </c>
      <c r="W17" s="775">
        <f>J17</f>
        <v>102</v>
      </c>
      <c r="X17" s="2999"/>
      <c r="Y17" s="3475"/>
      <c r="Z17" s="3000" t="str">
        <f>Q17</f>
        <v>交通便捷度</v>
      </c>
      <c r="AA17" s="2998">
        <f t="shared" si="3"/>
        <v>1</v>
      </c>
      <c r="AB17" s="2998">
        <f t="shared" si="4"/>
        <v>1</v>
      </c>
      <c r="AC17" s="2998">
        <f t="shared" si="5"/>
        <v>0.98039215686274506</v>
      </c>
    </row>
    <row r="18" spans="1:29" ht="15">
      <c r="A18" s="428"/>
      <c r="B18" s="456"/>
      <c r="C18" s="2597" t="s">
        <v>3108</v>
      </c>
      <c r="D18" s="450"/>
      <c r="E18" s="2598" t="s">
        <v>3108</v>
      </c>
      <c r="F18" s="450"/>
      <c r="G18" s="2599" t="s">
        <v>3108</v>
      </c>
      <c r="H18" s="448"/>
      <c r="I18" s="3260" t="s">
        <v>3109</v>
      </c>
      <c r="J18" s="448"/>
      <c r="K18" s="2595"/>
      <c r="L18" s="1139"/>
      <c r="M18" s="1130"/>
      <c r="N18" s="1130"/>
      <c r="O18" s="1130"/>
      <c r="P18" s="3473"/>
      <c r="Q18" s="2997"/>
      <c r="R18" s="774"/>
      <c r="S18" s="775"/>
      <c r="T18" s="774"/>
      <c r="U18" s="775"/>
      <c r="V18" s="774"/>
      <c r="W18" s="775"/>
      <c r="X18" s="2999"/>
      <c r="Y18" s="3475"/>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3"/>
      <c r="Q19" s="2997" t="str">
        <f>B19</f>
        <v>公共配套设施</v>
      </c>
      <c r="R19" s="774" t="s">
        <v>21</v>
      </c>
      <c r="S19" s="775">
        <f>F19</f>
        <v>100</v>
      </c>
      <c r="T19" s="774" t="s">
        <v>21</v>
      </c>
      <c r="U19" s="775">
        <f>H19</f>
        <v>100</v>
      </c>
      <c r="V19" s="774" t="s">
        <v>21</v>
      </c>
      <c r="W19" s="775">
        <f>J19</f>
        <v>100</v>
      </c>
      <c r="X19" s="2999"/>
      <c r="Y19" s="3475"/>
      <c r="Z19" s="3000" t="str">
        <f>Q19</f>
        <v>公共配套设施</v>
      </c>
      <c r="AA19" s="2998">
        <f t="shared" si="3"/>
        <v>1</v>
      </c>
      <c r="AB19" s="2998">
        <f t="shared" si="4"/>
        <v>1</v>
      </c>
      <c r="AC19" s="2998">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73"/>
      <c r="Q20" s="2997"/>
      <c r="R20" s="774"/>
      <c r="S20" s="775"/>
      <c r="T20" s="774"/>
      <c r="U20" s="775"/>
      <c r="V20" s="774"/>
      <c r="W20" s="775"/>
      <c r="X20" s="2999"/>
      <c r="Y20" s="3475"/>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3"/>
      <c r="Q21" s="2997" t="str">
        <f>B21</f>
        <v>基础设施水平</v>
      </c>
      <c r="R21" s="774" t="s">
        <v>17</v>
      </c>
      <c r="S21" s="775">
        <f>F21</f>
        <v>100</v>
      </c>
      <c r="T21" s="774" t="s">
        <v>17</v>
      </c>
      <c r="U21" s="775">
        <f>H21</f>
        <v>100</v>
      </c>
      <c r="V21" s="774" t="s">
        <v>17</v>
      </c>
      <c r="W21" s="775">
        <f>J21</f>
        <v>100</v>
      </c>
      <c r="X21" s="2999"/>
      <c r="Y21" s="3475"/>
      <c r="Z21" s="3000" t="str">
        <f>Q21</f>
        <v>基础设施水平</v>
      </c>
      <c r="AA21" s="2998">
        <f t="shared" ref="AA21" si="8">D21/F21</f>
        <v>1</v>
      </c>
      <c r="AB21" s="2998">
        <f t="shared" ref="AB21" si="9">D21/H21</f>
        <v>1</v>
      </c>
      <c r="AC21" s="2998">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73"/>
      <c r="Q22" s="2997"/>
      <c r="R22" s="774"/>
      <c r="S22" s="775"/>
      <c r="T22" s="774"/>
      <c r="U22" s="775"/>
      <c r="V22" s="774"/>
      <c r="W22" s="775"/>
      <c r="X22" s="2999"/>
      <c r="Y22" s="3475"/>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3"/>
      <c r="Q23" s="2997" t="str">
        <f>B23</f>
        <v>自然及人文环境</v>
      </c>
      <c r="R23" s="774" t="s">
        <v>21</v>
      </c>
      <c r="S23" s="775">
        <f>F23</f>
        <v>100</v>
      </c>
      <c r="T23" s="774" t="s">
        <v>21</v>
      </c>
      <c r="U23" s="775">
        <f>H23</f>
        <v>100</v>
      </c>
      <c r="V23" s="774" t="s">
        <v>21</v>
      </c>
      <c r="W23" s="775">
        <f>J23</f>
        <v>100</v>
      </c>
      <c r="X23" s="2999"/>
      <c r="Y23" s="3475"/>
      <c r="Z23" s="3000" t="str">
        <f>Q23</f>
        <v>自然及人文环境</v>
      </c>
      <c r="AA23" s="2998">
        <f>D23/F23</f>
        <v>1</v>
      </c>
      <c r="AB23" s="2998">
        <f>D23/H23</f>
        <v>1</v>
      </c>
      <c r="AC23" s="2998">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73"/>
      <c r="Q24" s="2997"/>
      <c r="R24" s="774"/>
      <c r="S24" s="775"/>
      <c r="T24" s="774"/>
      <c r="U24" s="775"/>
      <c r="V24" s="774"/>
      <c r="W24" s="775"/>
      <c r="X24" s="2999"/>
      <c r="Y24" s="3475"/>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3"/>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75"/>
      <c r="Z25" s="3000" t="str">
        <f>Q25</f>
        <v>楼层-1</v>
      </c>
      <c r="AA25" s="2998">
        <f t="shared" ref="AA25:AA46" si="15">D25/F25</f>
        <v>1</v>
      </c>
      <c r="AB25" s="2998">
        <f t="shared" ref="AB25:AB46" si="16">D25/H25</f>
        <v>1</v>
      </c>
      <c r="AC25" s="2998">
        <f t="shared" ref="AC25:AC46" si="17">D25/J25</f>
        <v>1</v>
      </c>
    </row>
    <row r="26" spans="1:29" ht="15">
      <c r="A26" s="428"/>
      <c r="B26" s="3257" t="s">
        <v>2551</v>
      </c>
      <c r="C26" s="460"/>
      <c r="D26" s="435">
        <v>100</v>
      </c>
      <c r="E26" s="2602"/>
      <c r="F26" s="435">
        <f>SUMIF(88:88,E26,89:89)-SUMIF(88:88,C26,89:89)+100</f>
        <v>100</v>
      </c>
      <c r="G26" s="2603"/>
      <c r="H26" s="435">
        <f>SUMIF(88:88,G26,89:89)-SUMIF(88:88,C26,89:89)+100</f>
        <v>100</v>
      </c>
      <c r="I26" s="2603"/>
      <c r="J26" s="435">
        <f>SUMIF(88:88,I26,89:89)-SUMIF(88:88,C26,89:89)+100</f>
        <v>100</v>
      </c>
      <c r="K26" s="426">
        <v>2</v>
      </c>
      <c r="L26" s="1139"/>
      <c r="M26" s="1130"/>
      <c r="N26" s="1130"/>
      <c r="O26" s="1130"/>
      <c r="P26" s="3473"/>
      <c r="Q26" s="2997" t="str">
        <f t="shared" si="11"/>
        <v>朝向</v>
      </c>
      <c r="R26" s="774" t="s">
        <v>21</v>
      </c>
      <c r="S26" s="775">
        <f t="shared" si="12"/>
        <v>100</v>
      </c>
      <c r="T26" s="774" t="s">
        <v>21</v>
      </c>
      <c r="U26" s="775">
        <f t="shared" si="13"/>
        <v>100</v>
      </c>
      <c r="V26" s="774" t="s">
        <v>21</v>
      </c>
      <c r="W26" s="775">
        <f t="shared" si="14"/>
        <v>100</v>
      </c>
      <c r="X26" s="2999"/>
      <c r="Y26" s="3475"/>
      <c r="Z26" s="3000" t="str">
        <f>Q26</f>
        <v>朝向</v>
      </c>
      <c r="AA26" s="2998">
        <f t="shared" si="15"/>
        <v>1</v>
      </c>
      <c r="AB26" s="2998">
        <f t="shared" si="16"/>
        <v>1</v>
      </c>
      <c r="AC26" s="2998">
        <f t="shared" si="17"/>
        <v>1</v>
      </c>
    </row>
    <row r="27" spans="1:29" s="117" customFormat="1" ht="15.75" thickBot="1">
      <c r="A27" s="431"/>
      <c r="B27" s="3258" t="s">
        <v>3655</v>
      </c>
      <c r="C27" s="3252" t="s">
        <v>3642</v>
      </c>
      <c r="D27" s="462">
        <v>100</v>
      </c>
      <c r="E27" s="3253" t="s">
        <v>3642</v>
      </c>
      <c r="F27" s="462">
        <f>SUMIF(90:90,E27,91:91)-SUMIF(90:90,C27,91:91)+100</f>
        <v>100</v>
      </c>
      <c r="G27" s="3254" t="s">
        <v>3642</v>
      </c>
      <c r="H27" s="462">
        <f>SUMIF(90:90,G27,91:91)-SUMIF(90:90,C27,91:91)+100</f>
        <v>100</v>
      </c>
      <c r="I27" s="3254" t="s">
        <v>3642</v>
      </c>
      <c r="J27" s="462">
        <f>SUMIF(90:90,I27,91:91)-SUMIF(90:90,C27,91:91)+100</f>
        <v>100</v>
      </c>
      <c r="K27" s="2590"/>
      <c r="L27" s="1131"/>
      <c r="M27" s="1132"/>
      <c r="N27" s="1132"/>
      <c r="O27" s="1132"/>
      <c r="P27" s="3473"/>
      <c r="Q27" s="2993" t="str">
        <f t="shared" si="11"/>
        <v>楼层</v>
      </c>
      <c r="R27" s="770" t="s">
        <v>21</v>
      </c>
      <c r="S27" s="771">
        <f t="shared" si="12"/>
        <v>100</v>
      </c>
      <c r="T27" s="770" t="s">
        <v>21</v>
      </c>
      <c r="U27" s="771">
        <f t="shared" si="13"/>
        <v>100</v>
      </c>
      <c r="V27" s="770" t="s">
        <v>21</v>
      </c>
      <c r="W27" s="771">
        <f t="shared" si="14"/>
        <v>100</v>
      </c>
      <c r="X27" s="772"/>
      <c r="Y27" s="3475"/>
      <c r="Z27" s="2994" t="str">
        <f>Q27</f>
        <v>楼层</v>
      </c>
      <c r="AA27" s="2998">
        <f t="shared" si="15"/>
        <v>1</v>
      </c>
      <c r="AB27" s="2998">
        <f t="shared" si="16"/>
        <v>1</v>
      </c>
      <c r="AC27" s="2998">
        <f t="shared" si="17"/>
        <v>1</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3"/>
      <c r="Q28" s="2997">
        <f t="shared" si="11"/>
        <v>111</v>
      </c>
      <c r="R28" s="774" t="s">
        <v>21</v>
      </c>
      <c r="S28" s="775">
        <f t="shared" si="12"/>
        <v>100</v>
      </c>
      <c r="T28" s="774" t="s">
        <v>21</v>
      </c>
      <c r="U28" s="775">
        <f t="shared" si="13"/>
        <v>100</v>
      </c>
      <c r="V28" s="774" t="s">
        <v>21</v>
      </c>
      <c r="W28" s="775">
        <f t="shared" si="14"/>
        <v>100</v>
      </c>
      <c r="X28" s="2999"/>
      <c r="Y28" s="3475"/>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3"/>
      <c r="Q29" s="2997">
        <f t="shared" si="11"/>
        <v>111</v>
      </c>
      <c r="R29" s="774" t="s">
        <v>21</v>
      </c>
      <c r="S29" s="775">
        <f t="shared" si="12"/>
        <v>100</v>
      </c>
      <c r="T29" s="774" t="s">
        <v>21</v>
      </c>
      <c r="U29" s="775">
        <f t="shared" si="13"/>
        <v>100</v>
      </c>
      <c r="V29" s="774" t="s">
        <v>21</v>
      </c>
      <c r="W29" s="775">
        <f t="shared" si="14"/>
        <v>100</v>
      </c>
      <c r="X29" s="2999"/>
      <c r="Y29" s="3475"/>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3"/>
      <c r="Q30" s="2997">
        <f t="shared" si="11"/>
        <v>111</v>
      </c>
      <c r="R30" s="774" t="s">
        <v>21</v>
      </c>
      <c r="S30" s="775">
        <f t="shared" si="12"/>
        <v>100</v>
      </c>
      <c r="T30" s="774" t="s">
        <v>21</v>
      </c>
      <c r="U30" s="775">
        <f t="shared" si="13"/>
        <v>100</v>
      </c>
      <c r="V30" s="774" t="s">
        <v>21</v>
      </c>
      <c r="W30" s="775">
        <f t="shared" si="14"/>
        <v>100</v>
      </c>
      <c r="X30" s="2999"/>
      <c r="Y30" s="3475"/>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3"/>
      <c r="Q31" s="2997">
        <f t="shared" si="11"/>
        <v>111</v>
      </c>
      <c r="R31" s="774" t="s">
        <v>21</v>
      </c>
      <c r="S31" s="775">
        <f t="shared" si="12"/>
        <v>100</v>
      </c>
      <c r="T31" s="774" t="s">
        <v>21</v>
      </c>
      <c r="U31" s="775">
        <f t="shared" si="13"/>
        <v>100</v>
      </c>
      <c r="V31" s="774" t="s">
        <v>21</v>
      </c>
      <c r="W31" s="775">
        <f t="shared" si="14"/>
        <v>100</v>
      </c>
      <c r="X31" s="2999"/>
      <c r="Y31" s="3475"/>
      <c r="Z31" s="3000">
        <f t="shared" si="18"/>
        <v>111</v>
      </c>
      <c r="AA31" s="2998">
        <f t="shared" si="15"/>
        <v>1</v>
      </c>
      <c r="AB31" s="2998">
        <f t="shared" si="16"/>
        <v>1</v>
      </c>
      <c r="AC31" s="2998">
        <f t="shared" si="17"/>
        <v>1</v>
      </c>
    </row>
    <row r="32" spans="1:29" ht="15">
      <c r="A32" s="440" t="s">
        <v>2552</v>
      </c>
      <c r="B32" s="71" t="s">
        <v>2553</v>
      </c>
      <c r="C32" s="2606" t="s">
        <v>3658</v>
      </c>
      <c r="D32" s="467">
        <v>100</v>
      </c>
      <c r="E32" s="2607" t="s">
        <v>3640</v>
      </c>
      <c r="F32" s="461">
        <f>SUMIF(100:100,E32,101:101)-SUMIF(100:100,C32,101:101)+100</f>
        <v>95</v>
      </c>
      <c r="G32" s="2607" t="s">
        <v>3640</v>
      </c>
      <c r="H32" s="467">
        <f>SUMIF(100:100,G32,101:101)-SUMIF(100:100,C32,101:101)+100</f>
        <v>95</v>
      </c>
      <c r="I32" s="2607" t="s">
        <v>3640</v>
      </c>
      <c r="J32" s="435">
        <f>SUMIF(100:100,I32,101:101)-SUMIF(100:100,C32,101:101)+100</f>
        <v>95</v>
      </c>
      <c r="K32" s="426">
        <v>5</v>
      </c>
      <c r="L32" s="1139"/>
      <c r="M32" s="1130"/>
      <c r="N32" s="1130"/>
      <c r="O32" s="1130"/>
      <c r="P32" s="3464" t="s">
        <v>2554</v>
      </c>
      <c r="Q32" s="2997" t="str">
        <f t="shared" si="11"/>
        <v>建筑类型</v>
      </c>
      <c r="R32" s="774" t="s">
        <v>21</v>
      </c>
      <c r="S32" s="775">
        <f t="shared" si="12"/>
        <v>95</v>
      </c>
      <c r="T32" s="774" t="s">
        <v>21</v>
      </c>
      <c r="U32" s="775">
        <f t="shared" si="13"/>
        <v>95</v>
      </c>
      <c r="V32" s="774" t="s">
        <v>21</v>
      </c>
      <c r="W32" s="775">
        <f t="shared" si="14"/>
        <v>95</v>
      </c>
      <c r="X32" s="2999"/>
      <c r="Y32" s="3467" t="s">
        <v>2554</v>
      </c>
      <c r="Z32" s="3000" t="str">
        <f t="shared" si="18"/>
        <v>建筑类型</v>
      </c>
      <c r="AA32" s="2998">
        <f t="shared" si="15"/>
        <v>1.0526315789473684</v>
      </c>
      <c r="AB32" s="2998">
        <f t="shared" si="16"/>
        <v>1.0526315789473684</v>
      </c>
      <c r="AC32" s="2998">
        <f t="shared" si="17"/>
        <v>1.0526315789473684</v>
      </c>
    </row>
    <row r="33" spans="1:29" s="471" customFormat="1" ht="15">
      <c r="A33" s="468"/>
      <c r="B33" s="3257" t="s">
        <v>2555</v>
      </c>
      <c r="C33" s="469">
        <v>100</v>
      </c>
      <c r="D33" s="136">
        <v>100</v>
      </c>
      <c r="E33" s="430">
        <f>'比较法-住宅（北京高尔夫）'!C33</f>
        <v>260</v>
      </c>
      <c r="F33" s="425">
        <f>LOOKUP(E33,103:103,104:104)-LOOKUP(C33,103:103,104:104)+100</f>
        <v>98</v>
      </c>
      <c r="G33" s="429">
        <f>'比较法-住宅（三全）'!C33</f>
        <v>130</v>
      </c>
      <c r="H33" s="136">
        <f>LOOKUP(G33,103:103,104:104)-LOOKUP(C33,103:103,104:104)+100</f>
        <v>100</v>
      </c>
      <c r="I33" s="430">
        <f>'比较法-住宅（棕榈泉）'!C33</f>
        <v>170</v>
      </c>
      <c r="J33" s="136">
        <f>LOOKUP(I33,103:103,104:104)-LOOKUP(C33,103:103,104:104)+100</f>
        <v>100</v>
      </c>
      <c r="K33" s="2590"/>
      <c r="L33" s="1137"/>
      <c r="M33" s="1140"/>
      <c r="N33" s="1140"/>
      <c r="O33" s="1140"/>
      <c r="P33" s="3465"/>
      <c r="Q33" s="776" t="str">
        <f t="shared" si="11"/>
        <v>项目建筑规模</v>
      </c>
      <c r="R33" s="777" t="s">
        <v>21</v>
      </c>
      <c r="S33" s="778">
        <f t="shared" si="12"/>
        <v>98</v>
      </c>
      <c r="T33" s="777" t="s">
        <v>21</v>
      </c>
      <c r="U33" s="778">
        <f t="shared" si="13"/>
        <v>100</v>
      </c>
      <c r="V33" s="777" t="s">
        <v>21</v>
      </c>
      <c r="W33" s="778">
        <f t="shared" si="14"/>
        <v>100</v>
      </c>
      <c r="X33" s="779"/>
      <c r="Y33" s="3467"/>
      <c r="Z33" s="780" t="str">
        <f t="shared" si="18"/>
        <v>项目建筑规模</v>
      </c>
      <c r="AA33" s="2998">
        <f t="shared" si="15"/>
        <v>1.0204081632653061</v>
      </c>
      <c r="AB33" s="2998">
        <f t="shared" si="16"/>
        <v>1</v>
      </c>
      <c r="AC33" s="2998">
        <f t="shared" si="17"/>
        <v>1</v>
      </c>
    </row>
    <row r="34" spans="1:29" ht="15">
      <c r="A34" s="472"/>
      <c r="B34" s="2995" t="s">
        <v>2556</v>
      </c>
      <c r="C34" s="2608" t="s">
        <v>3088</v>
      </c>
      <c r="D34" s="435">
        <v>100</v>
      </c>
      <c r="E34" s="2608" t="s">
        <v>3088</v>
      </c>
      <c r="F34" s="461">
        <f>SUMIF(105:105,E34,106:106)-SUMIF(105:105,C34,106:106)+100</f>
        <v>100</v>
      </c>
      <c r="G34" s="2608" t="s">
        <v>3088</v>
      </c>
      <c r="H34" s="435">
        <f>SUMIF(105:105,G34,106:106)-SUMIF(105:105,C34,106:106)+100</f>
        <v>100</v>
      </c>
      <c r="I34" s="2608" t="s">
        <v>3088</v>
      </c>
      <c r="J34" s="435">
        <f>SUMIF(105:105,I34,106:106)-SUMIF(105:105,C34,106:106)+100</f>
        <v>100</v>
      </c>
      <c r="K34" s="426">
        <v>2</v>
      </c>
      <c r="L34" s="1139"/>
      <c r="M34" s="1130"/>
      <c r="N34" s="1130"/>
      <c r="O34" s="1130"/>
      <c r="P34" s="3465"/>
      <c r="Q34" s="2997" t="str">
        <f t="shared" si="11"/>
        <v>建筑结构</v>
      </c>
      <c r="R34" s="774" t="s">
        <v>21</v>
      </c>
      <c r="S34" s="775">
        <f t="shared" si="12"/>
        <v>100</v>
      </c>
      <c r="T34" s="774" t="s">
        <v>21</v>
      </c>
      <c r="U34" s="775">
        <f t="shared" si="13"/>
        <v>100</v>
      </c>
      <c r="V34" s="774" t="s">
        <v>21</v>
      </c>
      <c r="W34" s="775">
        <f t="shared" si="14"/>
        <v>100</v>
      </c>
      <c r="X34" s="2999"/>
      <c r="Y34" s="3467"/>
      <c r="Z34" s="3000" t="str">
        <f t="shared" si="18"/>
        <v>建筑结构</v>
      </c>
      <c r="AA34" s="2998">
        <f t="shared" si="15"/>
        <v>1</v>
      </c>
      <c r="AB34" s="2998">
        <f t="shared" si="16"/>
        <v>1</v>
      </c>
      <c r="AC34" s="2998">
        <f t="shared" si="17"/>
        <v>1</v>
      </c>
    </row>
    <row r="35" spans="1:29" ht="15">
      <c r="A35" s="472"/>
      <c r="B35" s="2995" t="s">
        <v>2557</v>
      </c>
      <c r="C35" s="2602" t="s">
        <v>3675</v>
      </c>
      <c r="D35" s="435">
        <v>100</v>
      </c>
      <c r="E35" s="2602" t="s">
        <v>3675</v>
      </c>
      <c r="F35" s="461">
        <f>SUMIF(107:107,E35,108:108)-SUMIF(107:107,C35,108:108)+100</f>
        <v>100</v>
      </c>
      <c r="G35" s="2602" t="s">
        <v>3675</v>
      </c>
      <c r="H35" s="435">
        <f>SUMIF(107:107,G35,108:108)-SUMIF(107:107,C35,108:108)+100</f>
        <v>100</v>
      </c>
      <c r="I35" s="2602" t="s">
        <v>3675</v>
      </c>
      <c r="J35" s="435">
        <f>SUMIF(107:107,I35,108:108)-SUMIF(107:107,C35,108:108)+100</f>
        <v>100</v>
      </c>
      <c r="K35" s="426">
        <v>2</v>
      </c>
      <c r="L35" s="1139"/>
      <c r="M35" s="1130"/>
      <c r="N35" s="1130"/>
      <c r="O35" s="1130"/>
      <c r="P35" s="3465"/>
      <c r="Q35" s="2997" t="str">
        <f t="shared" si="11"/>
        <v>建筑品质</v>
      </c>
      <c r="R35" s="774" t="s">
        <v>21</v>
      </c>
      <c r="S35" s="775">
        <f t="shared" si="12"/>
        <v>100</v>
      </c>
      <c r="T35" s="774" t="s">
        <v>21</v>
      </c>
      <c r="U35" s="775">
        <f t="shared" si="13"/>
        <v>100</v>
      </c>
      <c r="V35" s="774" t="s">
        <v>21</v>
      </c>
      <c r="W35" s="775">
        <f t="shared" si="14"/>
        <v>100</v>
      </c>
      <c r="X35" s="2999"/>
      <c r="Y35" s="3467"/>
      <c r="Z35" s="3000" t="str">
        <f t="shared" si="18"/>
        <v>建筑品质</v>
      </c>
      <c r="AA35" s="2998">
        <f t="shared" si="15"/>
        <v>1</v>
      </c>
      <c r="AB35" s="2998">
        <f t="shared" si="16"/>
        <v>1</v>
      </c>
      <c r="AC35" s="2998">
        <f t="shared" si="17"/>
        <v>1</v>
      </c>
    </row>
    <row r="36" spans="1:29" ht="15">
      <c r="A36" s="472"/>
      <c r="B36" s="2995" t="s">
        <v>2558</v>
      </c>
      <c r="C36" s="2602" t="s">
        <v>3660</v>
      </c>
      <c r="D36" s="435">
        <v>100</v>
      </c>
      <c r="E36" s="2602" t="s">
        <v>3660</v>
      </c>
      <c r="F36" s="461">
        <f>SUMIF(109:109,E36,110:110)-SUMIF(109:109,C36,110:110)+100</f>
        <v>100</v>
      </c>
      <c r="G36" s="2602" t="s">
        <v>3660</v>
      </c>
      <c r="H36" s="435">
        <f>SUMIF(109:109,G36,110:110)-SUMIF(109:109,C36,110:110)+100</f>
        <v>100</v>
      </c>
      <c r="I36" s="2602" t="s">
        <v>3660</v>
      </c>
      <c r="J36" s="435">
        <f>SUMIF(109:109,I36,110:110)-SUMIF(109:109,C36,110:110)+100</f>
        <v>100</v>
      </c>
      <c r="K36" s="426">
        <v>2</v>
      </c>
      <c r="L36" s="1139"/>
      <c r="M36" s="1130"/>
      <c r="N36" s="1130"/>
      <c r="O36" s="1130"/>
      <c r="P36" s="3465"/>
      <c r="Q36" s="2997" t="str">
        <f t="shared" si="11"/>
        <v>公共部分装修</v>
      </c>
      <c r="R36" s="774" t="s">
        <v>21</v>
      </c>
      <c r="S36" s="775">
        <f t="shared" si="12"/>
        <v>100</v>
      </c>
      <c r="T36" s="774" t="s">
        <v>21</v>
      </c>
      <c r="U36" s="775">
        <f t="shared" si="13"/>
        <v>100</v>
      </c>
      <c r="V36" s="774" t="s">
        <v>21</v>
      </c>
      <c r="W36" s="775">
        <f t="shared" si="14"/>
        <v>100</v>
      </c>
      <c r="X36" s="2999"/>
      <c r="Y36" s="3467"/>
      <c r="Z36" s="3000" t="str">
        <f t="shared" si="18"/>
        <v>公共部分装修</v>
      </c>
      <c r="AA36" s="2998">
        <f t="shared" si="15"/>
        <v>1</v>
      </c>
      <c r="AB36" s="2998">
        <f t="shared" si="16"/>
        <v>1</v>
      </c>
      <c r="AC36" s="2998">
        <f t="shared" si="17"/>
        <v>1</v>
      </c>
    </row>
    <row r="37" spans="1:29" s="117" customFormat="1" ht="15">
      <c r="A37" s="473"/>
      <c r="B37" s="2995" t="s">
        <v>2559</v>
      </c>
      <c r="C37" s="474">
        <f>'数据-取费表'!N6</f>
        <v>0.83</v>
      </c>
      <c r="D37" s="136">
        <v>100</v>
      </c>
      <c r="E37" s="474">
        <v>0.86</v>
      </c>
      <c r="F37" s="425">
        <f>LOOKUP(E37,112:112,113:113)-LOOKUP(C37,112:112,113:113)+100</f>
        <v>100</v>
      </c>
      <c r="G37" s="476">
        <v>0.79</v>
      </c>
      <c r="H37" s="136">
        <f>LOOKUP(G37,112:112,113:113)-LOOKUP(C37,112:112,113:113)+100</f>
        <v>98</v>
      </c>
      <c r="I37" s="475">
        <v>0.86</v>
      </c>
      <c r="J37" s="136">
        <f>LOOKUP(I37,112:112,113:113)-LOOKUP(C37,112:112,113:113)+100</f>
        <v>100</v>
      </c>
      <c r="K37" s="426">
        <v>2</v>
      </c>
      <c r="L37" s="1131"/>
      <c r="M37" s="1132"/>
      <c r="N37" s="1132"/>
      <c r="O37" s="1132"/>
      <c r="P37" s="3465"/>
      <c r="Q37" s="2993" t="str">
        <f t="shared" si="11"/>
        <v>成新度</v>
      </c>
      <c r="R37" s="770" t="s">
        <v>21</v>
      </c>
      <c r="S37" s="771">
        <f t="shared" si="12"/>
        <v>100</v>
      </c>
      <c r="T37" s="770" t="s">
        <v>21</v>
      </c>
      <c r="U37" s="771">
        <f t="shared" si="13"/>
        <v>98</v>
      </c>
      <c r="V37" s="770" t="s">
        <v>21</v>
      </c>
      <c r="W37" s="771">
        <f t="shared" si="14"/>
        <v>100</v>
      </c>
      <c r="X37" s="772"/>
      <c r="Y37" s="3467"/>
      <c r="Z37" s="2994" t="str">
        <f t="shared" si="18"/>
        <v>成新度</v>
      </c>
      <c r="AA37" s="773">
        <f t="shared" si="15"/>
        <v>1</v>
      </c>
      <c r="AB37" s="773">
        <f t="shared" si="16"/>
        <v>1.0204081632653061</v>
      </c>
      <c r="AC37" s="773">
        <f t="shared" si="17"/>
        <v>1</v>
      </c>
    </row>
    <row r="38" spans="1:29" ht="15">
      <c r="A38" s="472"/>
      <c r="B38" s="2995" t="s">
        <v>2560</v>
      </c>
      <c r="C38" s="2602" t="s">
        <v>3673</v>
      </c>
      <c r="D38" s="435">
        <v>100</v>
      </c>
      <c r="E38" s="2602" t="s">
        <v>3673</v>
      </c>
      <c r="F38" s="461">
        <f>SUMIF(114:114,E38,115:115)-SUMIF(114:114,C38,115:115)+100</f>
        <v>100</v>
      </c>
      <c r="G38" s="2602" t="s">
        <v>3673</v>
      </c>
      <c r="H38" s="435">
        <f>SUMIF(114:114,G38,115:115)-SUMIF(114:114,C38,115:115)+100</f>
        <v>100</v>
      </c>
      <c r="I38" s="2602" t="s">
        <v>3673</v>
      </c>
      <c r="J38" s="435">
        <f>SUMIF(114:114,I38,115:115)-SUMIF(114:114,C38,115:115)+100</f>
        <v>100</v>
      </c>
      <c r="K38" s="426">
        <v>2</v>
      </c>
      <c r="L38" s="1139"/>
      <c r="M38" s="1130"/>
      <c r="N38" s="1130"/>
      <c r="O38" s="1130"/>
      <c r="P38" s="3465" t="s">
        <v>2554</v>
      </c>
      <c r="Q38" s="2997" t="str">
        <f t="shared" si="11"/>
        <v>物业管理</v>
      </c>
      <c r="R38" s="774" t="s">
        <v>21</v>
      </c>
      <c r="S38" s="775">
        <f t="shared" si="12"/>
        <v>100</v>
      </c>
      <c r="T38" s="774" t="s">
        <v>21</v>
      </c>
      <c r="U38" s="775">
        <f t="shared" si="13"/>
        <v>100</v>
      </c>
      <c r="V38" s="774" t="s">
        <v>21</v>
      </c>
      <c r="W38" s="775">
        <f t="shared" si="14"/>
        <v>100</v>
      </c>
      <c r="X38" s="2999"/>
      <c r="Y38" s="3467" t="s">
        <v>2554</v>
      </c>
      <c r="Z38" s="3000" t="str">
        <f t="shared" si="18"/>
        <v>物业管理</v>
      </c>
      <c r="AA38" s="2998">
        <f t="shared" si="15"/>
        <v>1</v>
      </c>
      <c r="AB38" s="2998">
        <f t="shared" si="16"/>
        <v>1</v>
      </c>
      <c r="AC38" s="2998">
        <f t="shared" si="17"/>
        <v>1</v>
      </c>
    </row>
    <row r="39" spans="1:29" ht="15">
      <c r="A39" s="472"/>
      <c r="B39" s="2995" t="s">
        <v>2561</v>
      </c>
      <c r="C39" s="2602" t="s">
        <v>3636</v>
      </c>
      <c r="D39" s="435">
        <v>100</v>
      </c>
      <c r="E39" s="2602" t="s">
        <v>3636</v>
      </c>
      <c r="F39" s="461">
        <f>SUMIF(116:116,E39,117:117)-SUMIF(116:116,C39,117:117)+100</f>
        <v>100</v>
      </c>
      <c r="G39" s="2602" t="s">
        <v>3636</v>
      </c>
      <c r="H39" s="435">
        <f>SUMIF(116:116,G39,117:117)-SUMIF(116:116,C39,117:117)+100</f>
        <v>100</v>
      </c>
      <c r="I39" s="2602" t="s">
        <v>3636</v>
      </c>
      <c r="J39" s="435">
        <f>SUMIF(116:116,I39,117:117)-SUMIF(116:116,C39,117:117)+100</f>
        <v>100</v>
      </c>
      <c r="K39" s="426">
        <v>2</v>
      </c>
      <c r="L39" s="1139"/>
      <c r="M39" s="1130"/>
      <c r="N39" s="1130"/>
      <c r="O39" s="1130"/>
      <c r="P39" s="3465"/>
      <c r="Q39" s="2997" t="str">
        <f t="shared" si="11"/>
        <v>市政基础设施</v>
      </c>
      <c r="R39" s="774" t="s">
        <v>21</v>
      </c>
      <c r="S39" s="775">
        <f t="shared" si="12"/>
        <v>100</v>
      </c>
      <c r="T39" s="774" t="s">
        <v>21</v>
      </c>
      <c r="U39" s="775">
        <f t="shared" si="13"/>
        <v>100</v>
      </c>
      <c r="V39" s="774" t="s">
        <v>21</v>
      </c>
      <c r="W39" s="775">
        <f t="shared" si="14"/>
        <v>100</v>
      </c>
      <c r="X39" s="2999"/>
      <c r="Y39" s="3467"/>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v>2</v>
      </c>
      <c r="L40" s="1139"/>
      <c r="M40" s="1130"/>
      <c r="N40" s="1130"/>
      <c r="O40" s="1130"/>
      <c r="P40" s="3465"/>
      <c r="Q40" s="2997" t="str">
        <f t="shared" si="11"/>
        <v>房型</v>
      </c>
      <c r="R40" s="774" t="s">
        <v>21</v>
      </c>
      <c r="S40" s="775">
        <f t="shared" si="12"/>
        <v>100</v>
      </c>
      <c r="T40" s="774" t="s">
        <v>21</v>
      </c>
      <c r="U40" s="775">
        <f t="shared" si="13"/>
        <v>100</v>
      </c>
      <c r="V40" s="774" t="s">
        <v>21</v>
      </c>
      <c r="W40" s="775">
        <f t="shared" si="14"/>
        <v>100</v>
      </c>
      <c r="X40" s="2999"/>
      <c r="Y40" s="3467"/>
      <c r="Z40" s="3000" t="str">
        <f t="shared" si="18"/>
        <v>房型</v>
      </c>
      <c r="AA40" s="2998">
        <f t="shared" si="15"/>
        <v>1</v>
      </c>
      <c r="AB40" s="2998">
        <f t="shared" si="16"/>
        <v>1</v>
      </c>
      <c r="AC40" s="2998">
        <f t="shared" si="17"/>
        <v>1</v>
      </c>
    </row>
    <row r="41" spans="1:29" s="471" customFormat="1" ht="28.5">
      <c r="A41" s="468"/>
      <c r="B41" s="3257"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65"/>
      <c r="Q41" s="776" t="str">
        <f t="shared" si="11"/>
        <v>单套/主力户型建筑面积</v>
      </c>
      <c r="R41" s="777" t="s">
        <v>21</v>
      </c>
      <c r="S41" s="778">
        <f t="shared" si="12"/>
        <v>100</v>
      </c>
      <c r="T41" s="777" t="s">
        <v>21</v>
      </c>
      <c r="U41" s="778">
        <f t="shared" si="13"/>
        <v>100</v>
      </c>
      <c r="V41" s="777" t="s">
        <v>21</v>
      </c>
      <c r="W41" s="778">
        <f t="shared" si="14"/>
        <v>100</v>
      </c>
      <c r="X41" s="779"/>
      <c r="Y41" s="3467"/>
      <c r="Z41" s="780" t="str">
        <f t="shared" si="18"/>
        <v>单套/主力户型建筑面积</v>
      </c>
      <c r="AA41" s="2998">
        <f t="shared" si="15"/>
        <v>1</v>
      </c>
      <c r="AB41" s="2998">
        <f t="shared" si="16"/>
        <v>1</v>
      </c>
      <c r="AC41" s="2998">
        <f t="shared" si="17"/>
        <v>1</v>
      </c>
    </row>
    <row r="42" spans="1:29" ht="15">
      <c r="A42" s="472"/>
      <c r="B42" s="2995"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65"/>
      <c r="Q42" s="2997" t="str">
        <f t="shared" si="11"/>
        <v>内部装修</v>
      </c>
      <c r="R42" s="774" t="s">
        <v>21</v>
      </c>
      <c r="S42" s="775">
        <f t="shared" si="12"/>
        <v>100</v>
      </c>
      <c r="T42" s="774" t="s">
        <v>21</v>
      </c>
      <c r="U42" s="775">
        <f t="shared" si="13"/>
        <v>100</v>
      </c>
      <c r="V42" s="774" t="s">
        <v>21</v>
      </c>
      <c r="W42" s="775">
        <f t="shared" si="14"/>
        <v>100</v>
      </c>
      <c r="X42" s="2999"/>
      <c r="Y42" s="3467"/>
      <c r="Z42" s="3000" t="str">
        <f t="shared" si="18"/>
        <v>内部装修</v>
      </c>
      <c r="AA42" s="2998">
        <f t="shared" si="15"/>
        <v>1</v>
      </c>
      <c r="AB42" s="2998">
        <f t="shared" si="16"/>
        <v>1</v>
      </c>
      <c r="AC42" s="2998">
        <f t="shared" si="17"/>
        <v>1</v>
      </c>
    </row>
    <row r="43" spans="1:29" ht="15.75" thickBot="1">
      <c r="A43" s="472"/>
      <c r="B43" s="2995" t="s">
        <v>2565</v>
      </c>
      <c r="C43" s="2602" t="s">
        <v>3109</v>
      </c>
      <c r="D43" s="435">
        <v>100</v>
      </c>
      <c r="E43" s="2602" t="s">
        <v>3109</v>
      </c>
      <c r="F43" s="461">
        <f>SUMIF(124:124,E43,125:125)-SUMIF(124:124,C43,125:125)+100</f>
        <v>100</v>
      </c>
      <c r="G43" s="2602" t="s">
        <v>3109</v>
      </c>
      <c r="H43" s="435">
        <f>SUMIF(124:124,G43,125:125)-SUMIF(124:124,C43,125:125)+100</f>
        <v>100</v>
      </c>
      <c r="I43" s="2602" t="s">
        <v>3109</v>
      </c>
      <c r="J43" s="435">
        <f>SUMIF(124:124,I43,125:125)-SUMIF(124:124,C43,125:125)+100</f>
        <v>100</v>
      </c>
      <c r="K43" s="426"/>
      <c r="L43" s="1139"/>
      <c r="M43" s="1130"/>
      <c r="N43" s="1130"/>
      <c r="O43" s="1130"/>
      <c r="P43" s="3465"/>
      <c r="Q43" s="2997" t="str">
        <f t="shared" si="11"/>
        <v>内部装修维护情况</v>
      </c>
      <c r="R43" s="774" t="s">
        <v>21</v>
      </c>
      <c r="S43" s="775">
        <f t="shared" si="12"/>
        <v>100</v>
      </c>
      <c r="T43" s="774" t="s">
        <v>21</v>
      </c>
      <c r="U43" s="775">
        <f t="shared" si="13"/>
        <v>100</v>
      </c>
      <c r="V43" s="774" t="s">
        <v>21</v>
      </c>
      <c r="W43" s="775">
        <f t="shared" si="14"/>
        <v>100</v>
      </c>
      <c r="X43" s="2999"/>
      <c r="Y43" s="3467"/>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65"/>
      <c r="Q44" s="2993">
        <f t="shared" si="11"/>
        <v>111</v>
      </c>
      <c r="R44" s="770" t="s">
        <v>21</v>
      </c>
      <c r="S44" s="771">
        <f t="shared" si="12"/>
        <v>100</v>
      </c>
      <c r="T44" s="770" t="s">
        <v>21</v>
      </c>
      <c r="U44" s="771">
        <f t="shared" si="13"/>
        <v>100</v>
      </c>
      <c r="V44" s="770" t="s">
        <v>21</v>
      </c>
      <c r="W44" s="771">
        <f t="shared" si="14"/>
        <v>100</v>
      </c>
      <c r="X44" s="772"/>
      <c r="Y44" s="3467"/>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65"/>
      <c r="Q45" s="2997">
        <f t="shared" si="11"/>
        <v>111</v>
      </c>
      <c r="R45" s="774" t="s">
        <v>21</v>
      </c>
      <c r="S45" s="775">
        <f t="shared" si="12"/>
        <v>100</v>
      </c>
      <c r="T45" s="774" t="s">
        <v>21</v>
      </c>
      <c r="U45" s="775">
        <f t="shared" si="13"/>
        <v>100</v>
      </c>
      <c r="V45" s="774" t="s">
        <v>21</v>
      </c>
      <c r="W45" s="775">
        <f t="shared" si="14"/>
        <v>100</v>
      </c>
      <c r="X45" s="2999"/>
      <c r="Y45" s="3467"/>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66"/>
      <c r="Q46" s="2997">
        <f t="shared" si="11"/>
        <v>111</v>
      </c>
      <c r="R46" s="774" t="s">
        <v>20</v>
      </c>
      <c r="S46" s="775">
        <f t="shared" si="12"/>
        <v>100</v>
      </c>
      <c r="T46" s="774" t="s">
        <v>20</v>
      </c>
      <c r="U46" s="775">
        <f t="shared" si="13"/>
        <v>100</v>
      </c>
      <c r="V46" s="774" t="s">
        <v>20</v>
      </c>
      <c r="W46" s="775">
        <f t="shared" si="14"/>
        <v>100</v>
      </c>
      <c r="X46" s="2999"/>
      <c r="Y46" s="3468"/>
      <c r="Z46" s="3000">
        <f t="shared" si="18"/>
        <v>111</v>
      </c>
      <c r="AA46" s="2998">
        <f t="shared" si="15"/>
        <v>1</v>
      </c>
      <c r="AB46" s="2998">
        <f t="shared" si="16"/>
        <v>1</v>
      </c>
      <c r="AC46" s="2998">
        <f t="shared" si="17"/>
        <v>1</v>
      </c>
    </row>
    <row r="47" spans="1:29" ht="15">
      <c r="A47" s="479" t="s">
        <v>2566</v>
      </c>
      <c r="B47" s="480"/>
      <c r="C47" s="1406" t="s">
        <v>1</v>
      </c>
      <c r="D47" s="1407"/>
      <c r="E47" s="1408">
        <f>'比较法-住宅（北京高尔夫）'!C48</f>
        <v>85007</v>
      </c>
      <c r="F47" s="1409"/>
      <c r="G47" s="1410">
        <f>'比较法-住宅（三全）'!C48</f>
        <v>78683</v>
      </c>
      <c r="H47" s="1411"/>
      <c r="I47" s="1408">
        <f>'比较法-住宅（棕榈泉）'!C48</f>
        <v>102146</v>
      </c>
      <c r="J47" s="1411"/>
      <c r="K47" s="2610"/>
      <c r="L47" s="1142"/>
      <c r="M47" s="1143"/>
      <c r="N47" s="1130"/>
      <c r="O47" s="1143"/>
      <c r="P47" s="3459" t="str">
        <f>A47</f>
        <v>成交单价（元/平方米）</v>
      </c>
      <c r="Q47" s="3459"/>
      <c r="R47" s="3460">
        <f>E47</f>
        <v>85007</v>
      </c>
      <c r="S47" s="3460"/>
      <c r="T47" s="3460">
        <f>G47</f>
        <v>78683</v>
      </c>
      <c r="U47" s="3460"/>
      <c r="V47" s="3460">
        <f>I47</f>
        <v>102146</v>
      </c>
      <c r="W47" s="3460"/>
      <c r="X47" s="759"/>
      <c r="Y47" s="781"/>
      <c r="Z47" s="759"/>
      <c r="AA47" s="759"/>
      <c r="AB47" s="759"/>
      <c r="AC47" s="759"/>
    </row>
    <row r="48" spans="1:29" ht="15.75" thickBot="1">
      <c r="A48" s="486" t="s">
        <v>2567</v>
      </c>
      <c r="B48" s="487"/>
      <c r="C48" s="1412">
        <f>R49</f>
        <v>94320</v>
      </c>
      <c r="D48" s="1413"/>
      <c r="E48" s="1414">
        <f>R48</f>
        <v>91307</v>
      </c>
      <c r="F48" s="1414"/>
      <c r="G48" s="1412">
        <f>T48</f>
        <v>86239</v>
      </c>
      <c r="H48" s="1413"/>
      <c r="I48" s="1414">
        <f>V48</f>
        <v>105414</v>
      </c>
      <c r="J48" s="1413"/>
      <c r="K48" s="2611"/>
      <c r="L48" s="1142"/>
      <c r="M48" s="1143"/>
      <c r="N48" s="1143"/>
      <c r="O48" s="1143"/>
      <c r="P48" s="3459" t="str">
        <f>A48</f>
        <v>比较价值（元/平方米）</v>
      </c>
      <c r="Q48" s="3459"/>
      <c r="R48" s="3460">
        <f>IF(F1="售价",ROUND(PRODUCT(R47,AA7:AA46),0),ROUND(PRODUCT(R47,AA7:AA46),1))</f>
        <v>91307</v>
      </c>
      <c r="S48" s="3460"/>
      <c r="T48" s="3460">
        <f>IF(F1="售价",ROUND(PRODUCT(T47,AB7:AB46),0),ROUND(PRODUCT(T47,AB7:AB46),1))</f>
        <v>86239</v>
      </c>
      <c r="U48" s="3460"/>
      <c r="V48" s="3460">
        <f>IF(F1="售价",ROUND(PRODUCT(V47,AC7:AC46),0),ROUND(PRODUCT(V47,AC7:AC46),1))</f>
        <v>105414</v>
      </c>
      <c r="W48" s="3460"/>
      <c r="X48" s="759"/>
      <c r="Y48" s="759"/>
      <c r="Z48" s="759"/>
      <c r="AA48" s="759"/>
      <c r="AB48" s="759"/>
      <c r="AC48" s="759"/>
    </row>
    <row r="49" spans="1:29" ht="15.75" thickBot="1">
      <c r="A49" s="492" t="s">
        <v>2568</v>
      </c>
      <c r="B49" s="493"/>
      <c r="C49" s="1415">
        <f>R49</f>
        <v>94320</v>
      </c>
      <c r="D49" s="1416"/>
      <c r="E49" s="1416"/>
      <c r="F49" s="1416"/>
      <c r="G49" s="1416"/>
      <c r="H49" s="1416"/>
      <c r="I49" s="1416"/>
      <c r="J49" s="1416"/>
      <c r="K49" s="2612"/>
      <c r="L49" s="1142"/>
      <c r="M49" s="1143"/>
      <c r="N49" s="1143"/>
      <c r="O49" s="1143"/>
      <c r="P49" s="3461" t="str">
        <f>A49</f>
        <v>估价对象XX用房的比较价值（楼面单价，元/平方米）</v>
      </c>
      <c r="Q49" s="3462"/>
      <c r="R49" s="3463">
        <f>IF(F1="售价",ROUND(AVERAGE(R48:V48),0),ROUND(AVERAGE(R48:V48),1))</f>
        <v>94320</v>
      </c>
      <c r="S49" s="3463"/>
      <c r="T49" s="3463"/>
      <c r="U49" s="3463"/>
      <c r="V49" s="3463"/>
      <c r="W49" s="346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7.4111543755220222E-2</v>
      </c>
      <c r="F52" s="500" t="str">
        <f>IF(OR(E52&gt;=0.3,E52&lt;=-0.3),"超过30%","")</f>
        <v/>
      </c>
      <c r="G52" s="499">
        <f>IF(G47&lt;G48,G48/G47-1,G47/G48-1)</f>
        <v>9.6030908836724604E-2</v>
      </c>
      <c r="H52" s="500" t="str">
        <f>IF(OR(G52&gt;=0.3,G52&lt;=-0.3),"超过30%","")</f>
        <v/>
      </c>
      <c r="I52" s="499">
        <f>IF(I47&lt;I48,I48/I47-1,I47/I48-1)</f>
        <v>3.1993421181446102E-2</v>
      </c>
      <c r="J52" s="500" t="str">
        <f>IF(OR(I52&gt;=0.3,I52&lt;=-0.3),"超过30%","")</f>
        <v/>
      </c>
      <c r="K52" s="1104"/>
      <c r="L52" s="1105"/>
      <c r="M52" s="1143"/>
      <c r="N52" s="1143"/>
      <c r="O52" s="1143"/>
    </row>
    <row r="53" spans="1:29" ht="13.5" customHeight="1">
      <c r="A53" s="1143"/>
      <c r="B53" s="1143"/>
      <c r="C53" s="497" t="s">
        <v>2570</v>
      </c>
      <c r="D53" s="501"/>
      <c r="E53" s="499">
        <f>IF(E48&lt;G48,G48/E48-1,E48/G48-1)</f>
        <v>5.8766915200779257E-2</v>
      </c>
      <c r="F53" s="500" t="str">
        <f>IF(OR(E53&gt;=0.2,E53&lt;=-0.2),"超过20%","")</f>
        <v/>
      </c>
      <c r="G53" s="499">
        <f>IF(G48&lt;I48,I48/G48-1,G48/I48-1)</f>
        <v>0.22234719790350077</v>
      </c>
      <c r="H53" s="500" t="str">
        <f>IF(OR(G53&gt;=0.2,G53&lt;=-0.2),"超过20%","")</f>
        <v>超过20%</v>
      </c>
      <c r="I53" s="499">
        <f>IF(I48&lt;E48,E48/I48-1,I48/E48-1)</f>
        <v>0.15450075021630316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8.0373142864405223E-2</v>
      </c>
      <c r="F54" s="500" t="str">
        <f>IF(OR(E54&gt;=0.3,E54&lt;=-0.3),"超过30%","")</f>
        <v/>
      </c>
      <c r="G54" s="499">
        <f>IF(G47&lt;I47,I47/G47-1,G47/I47-1)</f>
        <v>0.29819656088354529</v>
      </c>
      <c r="H54" s="500" t="str">
        <f>IF(OR(G54&gt;=0.3,G54&lt;=-0.3),"超过30%","")</f>
        <v/>
      </c>
      <c r="I54" s="499">
        <f>IF(I47&lt;E47,E47/I47-1,I47/E47-1)</f>
        <v>0.20161869022551082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3646</v>
      </c>
      <c r="D88" s="3250" t="s">
        <v>3648</v>
      </c>
      <c r="E88" s="3250" t="s">
        <v>3650</v>
      </c>
      <c r="F88" s="3251" t="s">
        <v>3644</v>
      </c>
      <c r="G88" s="3250" t="s">
        <v>3652</v>
      </c>
      <c r="H88" s="3250" t="s">
        <v>3653</v>
      </c>
      <c r="I88" s="3250"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3641</v>
      </c>
      <c r="D90" s="3250" t="s">
        <v>3642</v>
      </c>
      <c r="E90" s="3250"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3659</v>
      </c>
      <c r="D100" s="3255"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3250" t="s">
        <v>3677</v>
      </c>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2"/>
      <c r="O106" s="1152"/>
      <c r="P106" s="2619"/>
      <c r="Q106" s="504"/>
    </row>
    <row r="107" spans="1:17" ht="15" thickTop="1">
      <c r="A107" s="599"/>
      <c r="B107" s="538" t="s">
        <v>2604</v>
      </c>
      <c r="C107" s="3256" t="s">
        <v>3676</v>
      </c>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2"/>
      <c r="O108" s="1152"/>
      <c r="P108" s="2619"/>
      <c r="Q108" s="504"/>
    </row>
    <row r="109" spans="1:17" ht="15" thickTop="1">
      <c r="A109" s="599"/>
      <c r="B109" s="538" t="s">
        <v>2605</v>
      </c>
      <c r="C109" s="3250" t="s">
        <v>3586</v>
      </c>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3250" t="s">
        <v>3674</v>
      </c>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2"/>
      <c r="O115" s="1152"/>
      <c r="P115" s="2619"/>
      <c r="Q115" s="504"/>
    </row>
    <row r="116" spans="1:17" ht="15" thickTop="1">
      <c r="A116" s="599"/>
      <c r="B116" s="538" t="s">
        <v>2607</v>
      </c>
      <c r="C116" s="3250" t="s">
        <v>3678</v>
      </c>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3661</v>
      </c>
      <c r="D122" s="3250" t="s">
        <v>3662</v>
      </c>
      <c r="E122" s="3250" t="s">
        <v>3663</v>
      </c>
      <c r="F122" s="3256"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209" priority="14" stopIfTrue="1" operator="containsText" text="超过">
      <formula>NOT(ISERROR(SEARCH("超过",F52)))</formula>
    </cfRule>
  </conditionalFormatting>
  <conditionalFormatting sqref="J54">
    <cfRule type="containsText" dxfId="208" priority="13" stopIfTrue="1" operator="containsText" text="超过">
      <formula>NOT(ISERROR(SEARCH("超过",J54)))</formula>
    </cfRule>
  </conditionalFormatting>
  <conditionalFormatting sqref="H54">
    <cfRule type="containsText" dxfId="207" priority="12" stopIfTrue="1" operator="containsText" text="超过">
      <formula>NOT(ISERROR(SEARCH("超过",H54)))</formula>
    </cfRule>
  </conditionalFormatting>
  <conditionalFormatting sqref="F54">
    <cfRule type="containsText" dxfId="206" priority="11" stopIfTrue="1" operator="containsText" text="超过">
      <formula>NOT(ISERROR(SEARCH("超过",F54)))</formula>
    </cfRule>
  </conditionalFormatting>
  <conditionalFormatting sqref="F53 H53 J53">
    <cfRule type="containsText" dxfId="205" priority="10" stopIfTrue="1" operator="containsText" text="超过">
      <formula>NOT(ISERROR(SEARCH("超过",F53)))</formula>
    </cfRule>
  </conditionalFormatting>
  <conditionalFormatting sqref="E52">
    <cfRule type="expression" dxfId="204" priority="9" stopIfTrue="1">
      <formula>$F$52="超过30%"</formula>
    </cfRule>
  </conditionalFormatting>
  <conditionalFormatting sqref="G54">
    <cfRule type="expression" dxfId="203" priority="8" stopIfTrue="1">
      <formula>$H$54="超过30%"</formula>
    </cfRule>
  </conditionalFormatting>
  <conditionalFormatting sqref="E53">
    <cfRule type="expression" dxfId="202" priority="7" stopIfTrue="1">
      <formula>$F$53="超过20%"</formula>
    </cfRule>
  </conditionalFormatting>
  <conditionalFormatting sqref="E54">
    <cfRule type="expression" dxfId="201" priority="6" stopIfTrue="1">
      <formula>$F$54="超过30%"</formula>
    </cfRule>
  </conditionalFormatting>
  <conditionalFormatting sqref="G52">
    <cfRule type="expression" dxfId="200" priority="5" stopIfTrue="1">
      <formula>$H$52="超过30%"</formula>
    </cfRule>
  </conditionalFormatting>
  <conditionalFormatting sqref="G53">
    <cfRule type="expression" dxfId="199" priority="4" stopIfTrue="1">
      <formula>$H$53="超过20%"</formula>
    </cfRule>
  </conditionalFormatting>
  <conditionalFormatting sqref="I52">
    <cfRule type="expression" dxfId="198" priority="3" stopIfTrue="1">
      <formula>$J$52="超过30%"</formula>
    </cfRule>
  </conditionalFormatting>
  <conditionalFormatting sqref="I53">
    <cfRule type="expression" dxfId="197" priority="2" stopIfTrue="1">
      <formula>$J$53="超过20%"</formula>
    </cfRule>
  </conditionalFormatting>
  <conditionalFormatting sqref="I54">
    <cfRule type="expression" dxfId="19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8" zoomScale="90" zoomScaleNormal="90" workbookViewId="0">
      <selection activeCell="J11" sqref="J1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210374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85007</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1" t="s">
        <v>2525</v>
      </c>
      <c r="D4" s="3492"/>
      <c r="E4" s="3493" t="s">
        <v>2526</v>
      </c>
      <c r="F4" s="3494"/>
      <c r="G4" s="3491" t="s">
        <v>2527</v>
      </c>
      <c r="H4" s="3492"/>
      <c r="I4" s="3491" t="s">
        <v>2528</v>
      </c>
      <c r="J4" s="3492"/>
      <c r="K4" s="2585" t="s">
        <v>2529</v>
      </c>
      <c r="L4" s="1129"/>
      <c r="M4" s="1130"/>
      <c r="N4" s="1130"/>
      <c r="O4" s="1130"/>
      <c r="P4" s="3495" t="s">
        <v>2530</v>
      </c>
      <c r="Q4" s="3496"/>
      <c r="R4" s="3481" t="s">
        <v>2526</v>
      </c>
      <c r="S4" s="3482"/>
      <c r="T4" s="3481" t="s">
        <v>2527</v>
      </c>
      <c r="U4" s="3482"/>
      <c r="V4" s="3487" t="s">
        <v>2528</v>
      </c>
      <c r="W4" s="3487"/>
      <c r="X4" s="2999"/>
      <c r="Y4" s="3481" t="s">
        <v>2530</v>
      </c>
      <c r="Z4" s="3482"/>
      <c r="AA4" s="3488" t="s">
        <v>2526</v>
      </c>
      <c r="AB4" s="3488" t="s">
        <v>2527</v>
      </c>
      <c r="AC4" s="3488" t="s">
        <v>2528</v>
      </c>
    </row>
    <row r="5" spans="1:29" ht="15">
      <c r="A5" s="404"/>
      <c r="B5" s="405"/>
      <c r="C5" s="3501" t="s">
        <v>3669</v>
      </c>
      <c r="D5" s="3502"/>
      <c r="E5" s="3503" t="s">
        <v>3670</v>
      </c>
      <c r="F5" s="3504"/>
      <c r="G5" s="3501" t="str">
        <f>E5</f>
        <v>高尔夫</v>
      </c>
      <c r="H5" s="3502"/>
      <c r="I5" s="3505" t="str">
        <f>E5</f>
        <v>高尔夫</v>
      </c>
      <c r="J5" s="3502"/>
      <c r="K5" s="2586"/>
      <c r="L5" s="1129"/>
      <c r="M5" s="1130"/>
      <c r="N5" s="1130"/>
      <c r="O5" s="1130"/>
      <c r="P5" s="3497"/>
      <c r="Q5" s="3498"/>
      <c r="R5" s="3483"/>
      <c r="S5" s="3484"/>
      <c r="T5" s="3483"/>
      <c r="U5" s="3484"/>
      <c r="V5" s="3487"/>
      <c r="W5" s="3487"/>
      <c r="X5" s="2999"/>
      <c r="Y5" s="3483"/>
      <c r="Z5" s="3484"/>
      <c r="AA5" s="3489"/>
      <c r="AB5" s="3489"/>
      <c r="AC5" s="3489"/>
    </row>
    <row r="6" spans="1:29" ht="15.75" thickBot="1">
      <c r="A6" s="406"/>
      <c r="B6" s="407"/>
      <c r="C6" s="3476" t="s">
        <v>2535</v>
      </c>
      <c r="D6" s="3477"/>
      <c r="E6" s="3478" t="s">
        <v>2535</v>
      </c>
      <c r="F6" s="3479"/>
      <c r="G6" s="3476" t="s">
        <v>2535</v>
      </c>
      <c r="H6" s="3477"/>
      <c r="I6" s="3476" t="s">
        <v>2535</v>
      </c>
      <c r="J6" s="3477"/>
      <c r="K6" s="2586" t="s">
        <v>2536</v>
      </c>
      <c r="L6" s="1129"/>
      <c r="M6" s="1130"/>
      <c r="N6" s="1130"/>
      <c r="O6" s="1130"/>
      <c r="P6" s="3499"/>
      <c r="Q6" s="3500"/>
      <c r="R6" s="3483"/>
      <c r="S6" s="3484"/>
      <c r="T6" s="3485"/>
      <c r="U6" s="3486"/>
      <c r="V6" s="3487"/>
      <c r="W6" s="3487"/>
      <c r="X6" s="2999"/>
      <c r="Y6" s="3485"/>
      <c r="Z6" s="3486"/>
      <c r="AA6" s="3490"/>
      <c r="AB6" s="3490"/>
      <c r="AC6" s="3490"/>
    </row>
    <row r="7" spans="1:29" s="117" customFormat="1" ht="15.75" thickBot="1">
      <c r="A7" s="408" t="s">
        <v>2537</v>
      </c>
      <c r="B7" s="409"/>
      <c r="C7" s="410">
        <f>'数据-取费表'!B2</f>
        <v>43670</v>
      </c>
      <c r="D7" s="411">
        <v>100</v>
      </c>
      <c r="E7" s="412">
        <f>市场案例!D19</f>
        <v>43586</v>
      </c>
      <c r="F7" s="413">
        <f>SUMIF(58:58,YEAR(E7)&amp;"-"&amp;MONTH(E7),59:59)</f>
        <v>100</v>
      </c>
      <c r="G7" s="412">
        <f>市场案例!E19</f>
        <v>43435</v>
      </c>
      <c r="H7" s="411">
        <f>SUMIF(58:58,YEAR(G7)&amp;"-"&amp;MONTH(G7),59:59)</f>
        <v>100</v>
      </c>
      <c r="I7" s="3261">
        <v>43282</v>
      </c>
      <c r="J7" s="411">
        <f>SUMIF(58:58,YEAR(I7)&amp;"-"&amp;MONTH(I7),59:59)</f>
        <v>100</v>
      </c>
      <c r="K7" s="2587"/>
      <c r="L7" s="1131"/>
      <c r="M7" s="1132"/>
      <c r="N7" s="1132"/>
      <c r="O7" s="1132"/>
      <c r="P7" s="3469" t="s">
        <v>2538</v>
      </c>
      <c r="Q7" s="3480"/>
      <c r="R7" s="770" t="s">
        <v>23</v>
      </c>
      <c r="S7" s="771">
        <f t="shared" ref="S7:S15" si="0">F7</f>
        <v>100</v>
      </c>
      <c r="T7" s="770" t="s">
        <v>23</v>
      </c>
      <c r="U7" s="771">
        <f t="shared" ref="U7:U15" si="1">H7</f>
        <v>100</v>
      </c>
      <c r="V7" s="770" t="s">
        <v>23</v>
      </c>
      <c r="W7" s="771">
        <f t="shared" ref="W7:W15" si="2">J7</f>
        <v>100</v>
      </c>
      <c r="X7" s="772"/>
      <c r="Y7" s="3469" t="s">
        <v>2538</v>
      </c>
      <c r="Z7" s="3470"/>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69" t="s">
        <v>2541</v>
      </c>
      <c r="Q8" s="3470"/>
      <c r="R8" s="770" t="s">
        <v>23</v>
      </c>
      <c r="S8" s="771">
        <f t="shared" si="0"/>
        <v>100</v>
      </c>
      <c r="T8" s="770" t="s">
        <v>23</v>
      </c>
      <c r="U8" s="771">
        <f t="shared" si="1"/>
        <v>100</v>
      </c>
      <c r="V8" s="770" t="s">
        <v>23</v>
      </c>
      <c r="W8" s="771">
        <f t="shared" si="2"/>
        <v>100</v>
      </c>
      <c r="X8" s="772"/>
      <c r="Y8" s="3469" t="s">
        <v>2541</v>
      </c>
      <c r="Z8" s="3470"/>
      <c r="AA8" s="773">
        <f t="shared" ref="AA8:AA19" si="3">D8/F8</f>
        <v>1</v>
      </c>
      <c r="AB8" s="773">
        <f t="shared" ref="AB8:AB19" si="4">D8/H8</f>
        <v>1</v>
      </c>
      <c r="AC8" s="773">
        <f t="shared" ref="AC8:AC19" si="5">D8/J8</f>
        <v>1</v>
      </c>
    </row>
    <row r="9" spans="1:29" s="117" customFormat="1">
      <c r="A9" s="415" t="s">
        <v>2542</v>
      </c>
      <c r="B9" s="71" t="s">
        <v>2543</v>
      </c>
      <c r="C9" s="3249"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71" t="s">
        <v>2544</v>
      </c>
      <c r="Q9" s="2993" t="str">
        <f t="shared" ref="Q9:Q15" si="6">B9</f>
        <v>用途</v>
      </c>
      <c r="R9" s="770" t="s">
        <v>17</v>
      </c>
      <c r="S9" s="771">
        <f t="shared" si="0"/>
        <v>100</v>
      </c>
      <c r="T9" s="770" t="s">
        <v>17</v>
      </c>
      <c r="U9" s="771">
        <f t="shared" si="1"/>
        <v>100</v>
      </c>
      <c r="V9" s="770" t="s">
        <v>17</v>
      </c>
      <c r="W9" s="771">
        <f t="shared" si="2"/>
        <v>100</v>
      </c>
      <c r="X9" s="772"/>
      <c r="Y9" s="3317" t="s">
        <v>2545</v>
      </c>
      <c r="Z9" s="2994" t="str">
        <f t="shared" ref="Z9:Z15" si="7">Q9</f>
        <v>用途</v>
      </c>
      <c r="AA9" s="773">
        <f t="shared" si="3"/>
        <v>1</v>
      </c>
      <c r="AB9" s="773">
        <f t="shared" si="4"/>
        <v>1</v>
      </c>
      <c r="AC9" s="773">
        <f t="shared" si="5"/>
        <v>1</v>
      </c>
    </row>
    <row r="10" spans="1:29" s="427" customFormat="1" ht="27">
      <c r="A10" s="421"/>
      <c r="B10" s="2995" t="s">
        <v>2546</v>
      </c>
      <c r="C10" s="423" t="s">
        <v>3639</v>
      </c>
      <c r="D10" s="136">
        <v>100</v>
      </c>
      <c r="E10" s="424" t="s">
        <v>3639</v>
      </c>
      <c r="F10" s="425">
        <f>SUMIF(65:65,E10,66:66)-SUMIF(65:65,C10,66:66)+100</f>
        <v>100</v>
      </c>
      <c r="G10" s="423" t="s">
        <v>3639</v>
      </c>
      <c r="H10" s="136">
        <f>SUMIF(65:65,G10,66:66)-SUMIF(65:65,C10,66:66)+100</f>
        <v>100</v>
      </c>
      <c r="I10" s="423" t="s">
        <v>3639</v>
      </c>
      <c r="J10" s="136">
        <f>SUMIF(65:65,I10,66:66)-SUMIF(65:65,C10,66:66)+100</f>
        <v>100</v>
      </c>
      <c r="K10" s="426">
        <v>2</v>
      </c>
      <c r="L10" s="1134"/>
      <c r="M10" s="1135"/>
      <c r="N10" s="1135"/>
      <c r="O10" s="1135"/>
      <c r="P10" s="3471"/>
      <c r="Q10" s="2993" t="str">
        <f t="shared" si="6"/>
        <v>土地使用年限（年）</v>
      </c>
      <c r="R10" s="770" t="s">
        <v>17</v>
      </c>
      <c r="S10" s="771">
        <f t="shared" si="0"/>
        <v>100</v>
      </c>
      <c r="T10" s="770" t="s">
        <v>17</v>
      </c>
      <c r="U10" s="771">
        <f t="shared" si="1"/>
        <v>100</v>
      </c>
      <c r="V10" s="770" t="s">
        <v>17</v>
      </c>
      <c r="W10" s="771">
        <f t="shared" si="2"/>
        <v>100</v>
      </c>
      <c r="X10" s="772"/>
      <c r="Y10" s="3317"/>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71"/>
      <c r="Q11" s="2993" t="str">
        <f t="shared" si="6"/>
        <v>容积率</v>
      </c>
      <c r="R11" s="770" t="s">
        <v>21</v>
      </c>
      <c r="S11" s="771">
        <f t="shared" si="0"/>
        <v>100</v>
      </c>
      <c r="T11" s="770" t="s">
        <v>21</v>
      </c>
      <c r="U11" s="771">
        <f t="shared" si="1"/>
        <v>100</v>
      </c>
      <c r="V11" s="770" t="s">
        <v>21</v>
      </c>
      <c r="W11" s="771">
        <f t="shared" si="2"/>
        <v>100</v>
      </c>
      <c r="X11" s="772"/>
      <c r="Y11" s="3317"/>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71"/>
      <c r="Q12" s="2993">
        <f t="shared" si="6"/>
        <v>111</v>
      </c>
      <c r="R12" s="770" t="s">
        <v>21</v>
      </c>
      <c r="S12" s="771">
        <f t="shared" si="0"/>
        <v>100</v>
      </c>
      <c r="T12" s="770" t="s">
        <v>21</v>
      </c>
      <c r="U12" s="771">
        <f t="shared" si="1"/>
        <v>100</v>
      </c>
      <c r="V12" s="770" t="s">
        <v>21</v>
      </c>
      <c r="W12" s="771">
        <f t="shared" si="2"/>
        <v>100</v>
      </c>
      <c r="X12" s="772"/>
      <c r="Y12" s="3317"/>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71"/>
      <c r="Q13" s="2993">
        <f t="shared" si="6"/>
        <v>111</v>
      </c>
      <c r="R13" s="770" t="s">
        <v>21</v>
      </c>
      <c r="S13" s="771">
        <f t="shared" si="0"/>
        <v>100</v>
      </c>
      <c r="T13" s="770" t="s">
        <v>21</v>
      </c>
      <c r="U13" s="771">
        <f t="shared" si="1"/>
        <v>100</v>
      </c>
      <c r="V13" s="770" t="s">
        <v>21</v>
      </c>
      <c r="W13" s="771">
        <f t="shared" si="2"/>
        <v>100</v>
      </c>
      <c r="X13" s="772"/>
      <c r="Y13" s="3317"/>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71"/>
      <c r="Q14" s="2993">
        <f t="shared" si="6"/>
        <v>111</v>
      </c>
      <c r="R14" s="770" t="s">
        <v>21</v>
      </c>
      <c r="S14" s="771">
        <f t="shared" si="0"/>
        <v>100</v>
      </c>
      <c r="T14" s="770" t="s">
        <v>21</v>
      </c>
      <c r="U14" s="771">
        <f t="shared" si="1"/>
        <v>100</v>
      </c>
      <c r="V14" s="770" t="s">
        <v>21</v>
      </c>
      <c r="W14" s="771">
        <f t="shared" si="2"/>
        <v>100</v>
      </c>
      <c r="X14" s="772"/>
      <c r="Y14" s="3317"/>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72" t="s">
        <v>2549</v>
      </c>
      <c r="Q15" s="2997" t="str">
        <f t="shared" si="6"/>
        <v>居住社区成熟度</v>
      </c>
      <c r="R15" s="774" t="s">
        <v>21</v>
      </c>
      <c r="S15" s="775">
        <f t="shared" si="0"/>
        <v>100</v>
      </c>
      <c r="T15" s="774" t="s">
        <v>21</v>
      </c>
      <c r="U15" s="775">
        <f t="shared" si="1"/>
        <v>100</v>
      </c>
      <c r="V15" s="774" t="s">
        <v>21</v>
      </c>
      <c r="W15" s="775">
        <f t="shared" si="2"/>
        <v>100</v>
      </c>
      <c r="X15" s="2999"/>
      <c r="Y15" s="3474" t="s">
        <v>2549</v>
      </c>
      <c r="Z15" s="3000" t="str">
        <f t="shared" si="7"/>
        <v>居住社区成熟度</v>
      </c>
      <c r="AA15" s="2998">
        <f t="shared" si="3"/>
        <v>1</v>
      </c>
      <c r="AB15" s="2998">
        <f t="shared" si="4"/>
        <v>1</v>
      </c>
      <c r="AC15" s="2998">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73"/>
      <c r="Q16" s="2997"/>
      <c r="R16" s="774"/>
      <c r="S16" s="775"/>
      <c r="T16" s="774"/>
      <c r="U16" s="775"/>
      <c r="V16" s="774"/>
      <c r="W16" s="775"/>
      <c r="X16" s="2999"/>
      <c r="Y16" s="3475"/>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73"/>
      <c r="Q17" s="2997" t="str">
        <f>B17</f>
        <v>交通便捷度</v>
      </c>
      <c r="R17" s="774" t="s">
        <v>21</v>
      </c>
      <c r="S17" s="775">
        <f>F17</f>
        <v>100</v>
      </c>
      <c r="T17" s="774" t="s">
        <v>21</v>
      </c>
      <c r="U17" s="775">
        <f>H17</f>
        <v>100</v>
      </c>
      <c r="V17" s="774" t="s">
        <v>21</v>
      </c>
      <c r="W17" s="775">
        <f>J17</f>
        <v>100</v>
      </c>
      <c r="X17" s="2999"/>
      <c r="Y17" s="3475"/>
      <c r="Z17" s="3000" t="str">
        <f>Q17</f>
        <v>交通便捷度</v>
      </c>
      <c r="AA17" s="2998">
        <f t="shared" si="3"/>
        <v>1</v>
      </c>
      <c r="AB17" s="2998">
        <f t="shared" si="4"/>
        <v>1</v>
      </c>
      <c r="AC17" s="2998">
        <f t="shared" si="5"/>
        <v>1</v>
      </c>
    </row>
    <row r="18" spans="1:29" ht="15">
      <c r="A18" s="428"/>
      <c r="B18" s="456"/>
      <c r="C18" s="2597" t="s">
        <v>3108</v>
      </c>
      <c r="D18" s="450"/>
      <c r="E18" s="2598" t="s">
        <v>3108</v>
      </c>
      <c r="F18" s="450"/>
      <c r="G18" s="2599" t="s">
        <v>3108</v>
      </c>
      <c r="H18" s="448"/>
      <c r="I18" s="2599" t="s">
        <v>3108</v>
      </c>
      <c r="J18" s="448"/>
      <c r="K18" s="2595"/>
      <c r="L18" s="1139"/>
      <c r="M18" s="1130"/>
      <c r="N18" s="1130"/>
      <c r="O18" s="1130"/>
      <c r="P18" s="3473"/>
      <c r="Q18" s="2997"/>
      <c r="R18" s="774"/>
      <c r="S18" s="775"/>
      <c r="T18" s="774"/>
      <c r="U18" s="775"/>
      <c r="V18" s="774"/>
      <c r="W18" s="775"/>
      <c r="X18" s="2999"/>
      <c r="Y18" s="3475"/>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3"/>
      <c r="Q19" s="2997" t="str">
        <f>B19</f>
        <v>公共配套设施</v>
      </c>
      <c r="R19" s="774" t="s">
        <v>21</v>
      </c>
      <c r="S19" s="775">
        <f>F19</f>
        <v>100</v>
      </c>
      <c r="T19" s="774" t="s">
        <v>21</v>
      </c>
      <c r="U19" s="775">
        <f>H19</f>
        <v>100</v>
      </c>
      <c r="V19" s="774" t="s">
        <v>21</v>
      </c>
      <c r="W19" s="775">
        <f>J19</f>
        <v>100</v>
      </c>
      <c r="X19" s="2999"/>
      <c r="Y19" s="3475"/>
      <c r="Z19" s="3000" t="str">
        <f>Q19</f>
        <v>公共配套设施</v>
      </c>
      <c r="AA19" s="2998">
        <f t="shared" si="3"/>
        <v>1</v>
      </c>
      <c r="AB19" s="2998">
        <f t="shared" si="4"/>
        <v>1</v>
      </c>
      <c r="AC19" s="2998">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73"/>
      <c r="Q20" s="2997"/>
      <c r="R20" s="774"/>
      <c r="S20" s="775"/>
      <c r="T20" s="774"/>
      <c r="U20" s="775"/>
      <c r="V20" s="774"/>
      <c r="W20" s="775"/>
      <c r="X20" s="2999"/>
      <c r="Y20" s="3475"/>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3"/>
      <c r="Q21" s="2997" t="str">
        <f>B21</f>
        <v>基础设施水平</v>
      </c>
      <c r="R21" s="774" t="s">
        <v>17</v>
      </c>
      <c r="S21" s="775">
        <f>F21</f>
        <v>100</v>
      </c>
      <c r="T21" s="774" t="s">
        <v>17</v>
      </c>
      <c r="U21" s="775">
        <f>H21</f>
        <v>100</v>
      </c>
      <c r="V21" s="774" t="s">
        <v>17</v>
      </c>
      <c r="W21" s="775">
        <f>J21</f>
        <v>100</v>
      </c>
      <c r="X21" s="2999"/>
      <c r="Y21" s="3475"/>
      <c r="Z21" s="3000" t="str">
        <f>Q21</f>
        <v>基础设施水平</v>
      </c>
      <c r="AA21" s="2998">
        <f t="shared" ref="AA21" si="8">D21/F21</f>
        <v>1</v>
      </c>
      <c r="AB21" s="2998">
        <f t="shared" ref="AB21" si="9">D21/H21</f>
        <v>1</v>
      </c>
      <c r="AC21" s="2998">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73"/>
      <c r="Q22" s="2997"/>
      <c r="R22" s="774"/>
      <c r="S22" s="775"/>
      <c r="T22" s="774"/>
      <c r="U22" s="775"/>
      <c r="V22" s="774"/>
      <c r="W22" s="775"/>
      <c r="X22" s="2999"/>
      <c r="Y22" s="3475"/>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3"/>
      <c r="Q23" s="2997" t="str">
        <f>B23</f>
        <v>自然及人文环境</v>
      </c>
      <c r="R23" s="774" t="s">
        <v>21</v>
      </c>
      <c r="S23" s="775">
        <f>F23</f>
        <v>100</v>
      </c>
      <c r="T23" s="774" t="s">
        <v>21</v>
      </c>
      <c r="U23" s="775">
        <f>H23</f>
        <v>100</v>
      </c>
      <c r="V23" s="774" t="s">
        <v>21</v>
      </c>
      <c r="W23" s="775">
        <f>J23</f>
        <v>100</v>
      </c>
      <c r="X23" s="2999"/>
      <c r="Y23" s="3475"/>
      <c r="Z23" s="3000" t="str">
        <f>Q23</f>
        <v>自然及人文环境</v>
      </c>
      <c r="AA23" s="2998">
        <f>D23/F23</f>
        <v>1</v>
      </c>
      <c r="AB23" s="2998">
        <f>D23/H23</f>
        <v>1</v>
      </c>
      <c r="AC23" s="2998">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73"/>
      <c r="Q24" s="2997"/>
      <c r="R24" s="774"/>
      <c r="S24" s="775"/>
      <c r="T24" s="774"/>
      <c r="U24" s="775"/>
      <c r="V24" s="774"/>
      <c r="W24" s="775"/>
      <c r="X24" s="2999"/>
      <c r="Y24" s="3475"/>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3"/>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75"/>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3645</v>
      </c>
      <c r="D26" s="435">
        <v>100</v>
      </c>
      <c r="E26" s="2602" t="s">
        <v>3645</v>
      </c>
      <c r="F26" s="435">
        <f>SUMIF(88:88,E26,89:89)-SUMIF(88:88,C26,89:89)+100</f>
        <v>100</v>
      </c>
      <c r="G26" s="2603" t="s">
        <v>3645</v>
      </c>
      <c r="H26" s="435">
        <f>SUMIF(88:88,G26,89:89)-SUMIF(88:88,C26,89:89)+100</f>
        <v>100</v>
      </c>
      <c r="I26" s="2603" t="s">
        <v>3645</v>
      </c>
      <c r="J26" s="435">
        <f>SUMIF(88:88,I26,89:89)-SUMIF(88:88,C26,89:89)+100</f>
        <v>100</v>
      </c>
      <c r="K26" s="426">
        <v>2</v>
      </c>
      <c r="L26" s="1139"/>
      <c r="M26" s="1130"/>
      <c r="N26" s="1130"/>
      <c r="O26" s="1130"/>
      <c r="P26" s="3473"/>
      <c r="Q26" s="2997" t="str">
        <f t="shared" si="11"/>
        <v>朝向</v>
      </c>
      <c r="R26" s="774" t="s">
        <v>21</v>
      </c>
      <c r="S26" s="775">
        <f t="shared" si="12"/>
        <v>100</v>
      </c>
      <c r="T26" s="774" t="s">
        <v>21</v>
      </c>
      <c r="U26" s="775">
        <f t="shared" si="13"/>
        <v>100</v>
      </c>
      <c r="V26" s="774" t="s">
        <v>21</v>
      </c>
      <c r="W26" s="775">
        <f t="shared" si="14"/>
        <v>100</v>
      </c>
      <c r="X26" s="2999"/>
      <c r="Y26" s="3475"/>
      <c r="Z26" s="3000" t="str">
        <f>Q26</f>
        <v>朝向</v>
      </c>
      <c r="AA26" s="2998">
        <f t="shared" si="15"/>
        <v>1</v>
      </c>
      <c r="AB26" s="2998">
        <f t="shared" si="16"/>
        <v>1</v>
      </c>
      <c r="AC26" s="2998">
        <f t="shared" si="17"/>
        <v>1</v>
      </c>
    </row>
    <row r="27" spans="1:29" s="117" customFormat="1" ht="15">
      <c r="A27" s="431"/>
      <c r="B27" s="3258" t="s">
        <v>3655</v>
      </c>
      <c r="C27" s="3252" t="s">
        <v>3642</v>
      </c>
      <c r="D27" s="462">
        <v>100</v>
      </c>
      <c r="E27" s="3253" t="s">
        <v>3668</v>
      </c>
      <c r="F27" s="462">
        <f>SUMIF(90:90,E27,91:91)-SUMIF(90:90,C27,91:91)+100</f>
        <v>100</v>
      </c>
      <c r="G27" s="3254" t="s">
        <v>3641</v>
      </c>
      <c r="H27" s="462">
        <f>SUMIF(90:90,G27,91:91)-SUMIF(90:90,C27,91:91)+100</f>
        <v>105</v>
      </c>
      <c r="I27" s="3254" t="s">
        <v>3643</v>
      </c>
      <c r="J27" s="462">
        <f>SUMIF(90:90,I27,91:91)-SUMIF(90:90,C27,91:91)+100</f>
        <v>95</v>
      </c>
      <c r="K27" s="2590"/>
      <c r="L27" s="1131"/>
      <c r="M27" s="1132"/>
      <c r="N27" s="1132"/>
      <c r="O27" s="1132"/>
      <c r="P27" s="3473"/>
      <c r="Q27" s="2993" t="str">
        <f t="shared" si="11"/>
        <v>楼层</v>
      </c>
      <c r="R27" s="770" t="s">
        <v>21</v>
      </c>
      <c r="S27" s="771">
        <f t="shared" si="12"/>
        <v>100</v>
      </c>
      <c r="T27" s="770" t="s">
        <v>21</v>
      </c>
      <c r="U27" s="771">
        <f t="shared" si="13"/>
        <v>105</v>
      </c>
      <c r="V27" s="770" t="s">
        <v>21</v>
      </c>
      <c r="W27" s="771">
        <f t="shared" si="14"/>
        <v>95</v>
      </c>
      <c r="X27" s="772"/>
      <c r="Y27" s="3475"/>
      <c r="Z27" s="2994" t="str">
        <f>Q27</f>
        <v>楼层</v>
      </c>
      <c r="AA27" s="2998">
        <f t="shared" si="15"/>
        <v>1</v>
      </c>
      <c r="AB27" s="2998">
        <f t="shared" si="16"/>
        <v>0.95238095238095233</v>
      </c>
      <c r="AC27" s="2998">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3"/>
      <c r="Q28" s="2997">
        <f t="shared" si="11"/>
        <v>111</v>
      </c>
      <c r="R28" s="774" t="s">
        <v>21</v>
      </c>
      <c r="S28" s="775">
        <f t="shared" si="12"/>
        <v>100</v>
      </c>
      <c r="T28" s="774" t="s">
        <v>21</v>
      </c>
      <c r="U28" s="775">
        <f t="shared" si="13"/>
        <v>100</v>
      </c>
      <c r="V28" s="774" t="s">
        <v>21</v>
      </c>
      <c r="W28" s="775">
        <f t="shared" si="14"/>
        <v>100</v>
      </c>
      <c r="X28" s="2999"/>
      <c r="Y28" s="3475"/>
      <c r="Z28" s="3000">
        <f t="shared" ref="Z28:Z46" si="18">Q28</f>
        <v>111</v>
      </c>
      <c r="AA28" s="2998">
        <f t="shared" si="15"/>
        <v>1</v>
      </c>
      <c r="AB28" s="2998">
        <f t="shared" si="16"/>
        <v>1</v>
      </c>
      <c r="AC28" s="2998">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3"/>
      <c r="Q29" s="2997">
        <f t="shared" si="11"/>
        <v>111</v>
      </c>
      <c r="R29" s="774" t="s">
        <v>21</v>
      </c>
      <c r="S29" s="775">
        <f t="shared" si="12"/>
        <v>100</v>
      </c>
      <c r="T29" s="774" t="s">
        <v>21</v>
      </c>
      <c r="U29" s="775">
        <f t="shared" si="13"/>
        <v>100</v>
      </c>
      <c r="V29" s="774" t="s">
        <v>21</v>
      </c>
      <c r="W29" s="775">
        <f t="shared" si="14"/>
        <v>100</v>
      </c>
      <c r="X29" s="2999"/>
      <c r="Y29" s="3475"/>
      <c r="Z29" s="3000">
        <f t="shared" si="18"/>
        <v>111</v>
      </c>
      <c r="AA29" s="2998">
        <f t="shared" si="15"/>
        <v>1</v>
      </c>
      <c r="AB29" s="2998">
        <f t="shared" si="16"/>
        <v>1</v>
      </c>
      <c r="AC29" s="2998">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3"/>
      <c r="Q30" s="2997">
        <f t="shared" si="11"/>
        <v>111</v>
      </c>
      <c r="R30" s="774" t="s">
        <v>21</v>
      </c>
      <c r="S30" s="775">
        <f t="shared" si="12"/>
        <v>100</v>
      </c>
      <c r="T30" s="774" t="s">
        <v>21</v>
      </c>
      <c r="U30" s="775">
        <f t="shared" si="13"/>
        <v>100</v>
      </c>
      <c r="V30" s="774" t="s">
        <v>21</v>
      </c>
      <c r="W30" s="775">
        <f t="shared" si="14"/>
        <v>100</v>
      </c>
      <c r="X30" s="2999"/>
      <c r="Y30" s="3475"/>
      <c r="Z30" s="3000">
        <f t="shared" si="18"/>
        <v>111</v>
      </c>
      <c r="AA30" s="2998">
        <f t="shared" si="15"/>
        <v>1</v>
      </c>
      <c r="AB30" s="2998">
        <f t="shared" si="16"/>
        <v>1</v>
      </c>
      <c r="AC30" s="2998">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3"/>
      <c r="Q31" s="2997">
        <f t="shared" si="11"/>
        <v>111</v>
      </c>
      <c r="R31" s="774" t="s">
        <v>21</v>
      </c>
      <c r="S31" s="775">
        <f t="shared" si="12"/>
        <v>100</v>
      </c>
      <c r="T31" s="774" t="s">
        <v>21</v>
      </c>
      <c r="U31" s="775">
        <f t="shared" si="13"/>
        <v>100</v>
      </c>
      <c r="V31" s="774" t="s">
        <v>21</v>
      </c>
      <c r="W31" s="775">
        <f t="shared" si="14"/>
        <v>100</v>
      </c>
      <c r="X31" s="2999"/>
      <c r="Y31" s="3475"/>
      <c r="Z31" s="3000">
        <f t="shared" si="18"/>
        <v>111</v>
      </c>
      <c r="AA31" s="2998">
        <f t="shared" si="15"/>
        <v>1</v>
      </c>
      <c r="AB31" s="2998">
        <f t="shared" si="16"/>
        <v>1</v>
      </c>
      <c r="AC31" s="2998">
        <f t="shared" si="17"/>
        <v>1</v>
      </c>
    </row>
    <row r="32" spans="1:29" ht="15">
      <c r="A32" s="440" t="s">
        <v>2552</v>
      </c>
      <c r="B32" s="71" t="s">
        <v>2553</v>
      </c>
      <c r="C32" s="2606" t="s">
        <v>3640</v>
      </c>
      <c r="D32" s="467">
        <v>100</v>
      </c>
      <c r="E32" s="2607" t="s">
        <v>3640</v>
      </c>
      <c r="F32" s="461">
        <f>SUMIF(100:100,E32,101:101)-SUMIF(100:100,C32,101:101)+100</f>
        <v>100</v>
      </c>
      <c r="G32" s="2607" t="s">
        <v>3640</v>
      </c>
      <c r="H32" s="467">
        <f>SUMIF(100:100,G32,101:101)-SUMIF(100:100,C32,101:101)+100</f>
        <v>100</v>
      </c>
      <c r="I32" s="2607" t="s">
        <v>3640</v>
      </c>
      <c r="J32" s="435">
        <f>SUMIF(100:100,I32,101:101)-SUMIF(100:100,C32,101:101)+100</f>
        <v>100</v>
      </c>
      <c r="K32" s="426">
        <v>2</v>
      </c>
      <c r="L32" s="1139"/>
      <c r="M32" s="1130"/>
      <c r="N32" s="1130"/>
      <c r="O32" s="1130"/>
      <c r="P32" s="3464" t="s">
        <v>2554</v>
      </c>
      <c r="Q32" s="2997" t="str">
        <f t="shared" si="11"/>
        <v>建筑类型</v>
      </c>
      <c r="R32" s="774" t="s">
        <v>21</v>
      </c>
      <c r="S32" s="775">
        <f t="shared" si="12"/>
        <v>100</v>
      </c>
      <c r="T32" s="774" t="s">
        <v>21</v>
      </c>
      <c r="U32" s="775">
        <f t="shared" si="13"/>
        <v>100</v>
      </c>
      <c r="V32" s="774" t="s">
        <v>21</v>
      </c>
      <c r="W32" s="775">
        <f t="shared" si="14"/>
        <v>100</v>
      </c>
      <c r="X32" s="2999"/>
      <c r="Y32" s="3467" t="s">
        <v>2554</v>
      </c>
      <c r="Z32" s="3000" t="str">
        <f t="shared" si="18"/>
        <v>建筑类型</v>
      </c>
      <c r="AA32" s="2998">
        <f t="shared" si="15"/>
        <v>1</v>
      </c>
      <c r="AB32" s="2998">
        <f t="shared" si="16"/>
        <v>1</v>
      </c>
      <c r="AC32" s="2998">
        <f t="shared" si="17"/>
        <v>1</v>
      </c>
    </row>
    <row r="33" spans="1:29" s="471" customFormat="1" ht="15">
      <c r="A33" s="468"/>
      <c r="B33" s="3257" t="s">
        <v>2555</v>
      </c>
      <c r="C33" s="469">
        <v>260</v>
      </c>
      <c r="D33" s="136">
        <v>100</v>
      </c>
      <c r="E33" s="430">
        <f>市场案例!D21</f>
        <v>267.36</v>
      </c>
      <c r="F33" s="425">
        <f>LOOKUP(E33,103:103,104:104)-LOOKUP(C33,103:103,104:104)+100</f>
        <v>100</v>
      </c>
      <c r="G33" s="429">
        <f>市场案例!E21</f>
        <v>264.67</v>
      </c>
      <c r="H33" s="136">
        <f>LOOKUP(G33,103:103,104:104)-LOOKUP(C33,103:103,104:104)+100</f>
        <v>100</v>
      </c>
      <c r="I33" s="430">
        <f>市场案例!F21</f>
        <v>271.06</v>
      </c>
      <c r="J33" s="136">
        <f>LOOKUP(I33,103:103,104:104)-LOOKUP(C33,103:103,104:104)+100</f>
        <v>100</v>
      </c>
      <c r="K33" s="2590"/>
      <c r="L33" s="1137"/>
      <c r="M33" s="1140"/>
      <c r="N33" s="1140"/>
      <c r="O33" s="1140"/>
      <c r="P33" s="3465"/>
      <c r="Q33" s="776" t="str">
        <f t="shared" si="11"/>
        <v>项目建筑规模</v>
      </c>
      <c r="R33" s="777" t="s">
        <v>21</v>
      </c>
      <c r="S33" s="778">
        <f t="shared" si="12"/>
        <v>100</v>
      </c>
      <c r="T33" s="777" t="s">
        <v>21</v>
      </c>
      <c r="U33" s="778">
        <f t="shared" si="13"/>
        <v>100</v>
      </c>
      <c r="V33" s="777" t="s">
        <v>21</v>
      </c>
      <c r="W33" s="778">
        <f t="shared" si="14"/>
        <v>100</v>
      </c>
      <c r="X33" s="779"/>
      <c r="Y33" s="3467"/>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65"/>
      <c r="Q34" s="2997" t="str">
        <f t="shared" si="11"/>
        <v>建筑结构</v>
      </c>
      <c r="R34" s="774" t="s">
        <v>21</v>
      </c>
      <c r="S34" s="775">
        <f t="shared" si="12"/>
        <v>100</v>
      </c>
      <c r="T34" s="774" t="s">
        <v>21</v>
      </c>
      <c r="U34" s="775">
        <f t="shared" si="13"/>
        <v>100</v>
      </c>
      <c r="V34" s="774" t="s">
        <v>21</v>
      </c>
      <c r="W34" s="775">
        <f t="shared" si="14"/>
        <v>100</v>
      </c>
      <c r="X34" s="2999"/>
      <c r="Y34" s="3467"/>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65"/>
      <c r="Q35" s="2997" t="str">
        <f t="shared" si="11"/>
        <v>建筑品质</v>
      </c>
      <c r="R35" s="774" t="s">
        <v>21</v>
      </c>
      <c r="S35" s="775">
        <f t="shared" si="12"/>
        <v>100</v>
      </c>
      <c r="T35" s="774" t="s">
        <v>21</v>
      </c>
      <c r="U35" s="775">
        <f t="shared" si="13"/>
        <v>100</v>
      </c>
      <c r="V35" s="774" t="s">
        <v>21</v>
      </c>
      <c r="W35" s="775">
        <f t="shared" si="14"/>
        <v>100</v>
      </c>
      <c r="X35" s="2999"/>
      <c r="Y35" s="3467"/>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65"/>
      <c r="Q36" s="2997" t="str">
        <f t="shared" si="11"/>
        <v>公共部分装修</v>
      </c>
      <c r="R36" s="774" t="s">
        <v>21</v>
      </c>
      <c r="S36" s="775">
        <f t="shared" si="12"/>
        <v>100</v>
      </c>
      <c r="T36" s="774" t="s">
        <v>21</v>
      </c>
      <c r="U36" s="775">
        <f t="shared" si="13"/>
        <v>100</v>
      </c>
      <c r="V36" s="774" t="s">
        <v>21</v>
      </c>
      <c r="W36" s="775">
        <f t="shared" si="14"/>
        <v>100</v>
      </c>
      <c r="X36" s="2999"/>
      <c r="Y36" s="3467"/>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65"/>
      <c r="Q37" s="2993" t="str">
        <f t="shared" si="11"/>
        <v>成新度</v>
      </c>
      <c r="R37" s="770" t="s">
        <v>21</v>
      </c>
      <c r="S37" s="771">
        <f t="shared" si="12"/>
        <v>100</v>
      </c>
      <c r="T37" s="770" t="s">
        <v>21</v>
      </c>
      <c r="U37" s="771">
        <f t="shared" si="13"/>
        <v>100</v>
      </c>
      <c r="V37" s="770" t="s">
        <v>21</v>
      </c>
      <c r="W37" s="771">
        <f t="shared" si="14"/>
        <v>100</v>
      </c>
      <c r="X37" s="772"/>
      <c r="Y37" s="3467"/>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65" t="s">
        <v>2554</v>
      </c>
      <c r="Q38" s="2997" t="str">
        <f t="shared" si="11"/>
        <v>物业管理</v>
      </c>
      <c r="R38" s="774" t="s">
        <v>21</v>
      </c>
      <c r="S38" s="775">
        <f t="shared" si="12"/>
        <v>100</v>
      </c>
      <c r="T38" s="774" t="s">
        <v>21</v>
      </c>
      <c r="U38" s="775">
        <f t="shared" si="13"/>
        <v>100</v>
      </c>
      <c r="V38" s="774" t="s">
        <v>21</v>
      </c>
      <c r="W38" s="775">
        <f t="shared" si="14"/>
        <v>100</v>
      </c>
      <c r="X38" s="2999"/>
      <c r="Y38" s="3467"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65"/>
      <c r="Q39" s="2997" t="str">
        <f t="shared" si="11"/>
        <v>市政基础设施</v>
      </c>
      <c r="R39" s="774" t="s">
        <v>21</v>
      </c>
      <c r="S39" s="775">
        <f t="shared" si="12"/>
        <v>100</v>
      </c>
      <c r="T39" s="774" t="s">
        <v>21</v>
      </c>
      <c r="U39" s="775">
        <f t="shared" si="13"/>
        <v>100</v>
      </c>
      <c r="V39" s="774" t="s">
        <v>21</v>
      </c>
      <c r="W39" s="775">
        <f t="shared" si="14"/>
        <v>100</v>
      </c>
      <c r="X39" s="2999"/>
      <c r="Y39" s="3467"/>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65"/>
      <c r="Q40" s="2997" t="str">
        <f t="shared" si="11"/>
        <v>房型</v>
      </c>
      <c r="R40" s="774" t="s">
        <v>21</v>
      </c>
      <c r="S40" s="775">
        <f t="shared" si="12"/>
        <v>100</v>
      </c>
      <c r="T40" s="774" t="s">
        <v>21</v>
      </c>
      <c r="U40" s="775">
        <f t="shared" si="13"/>
        <v>100</v>
      </c>
      <c r="V40" s="774" t="s">
        <v>21</v>
      </c>
      <c r="W40" s="775">
        <f t="shared" si="14"/>
        <v>100</v>
      </c>
      <c r="X40" s="2999"/>
      <c r="Y40" s="3467"/>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65"/>
      <c r="Q41" s="776" t="str">
        <f t="shared" si="11"/>
        <v>单套/主力户型建筑面积</v>
      </c>
      <c r="R41" s="777" t="s">
        <v>21</v>
      </c>
      <c r="S41" s="778">
        <f t="shared" si="12"/>
        <v>100</v>
      </c>
      <c r="T41" s="777" t="s">
        <v>21</v>
      </c>
      <c r="U41" s="778">
        <f t="shared" si="13"/>
        <v>100</v>
      </c>
      <c r="V41" s="777" t="s">
        <v>21</v>
      </c>
      <c r="W41" s="778">
        <f t="shared" si="14"/>
        <v>100</v>
      </c>
      <c r="X41" s="779"/>
      <c r="Y41" s="3467"/>
      <c r="Z41" s="780" t="str">
        <f t="shared" si="18"/>
        <v>单套/主力户型建筑面积</v>
      </c>
      <c r="AA41" s="2998">
        <f t="shared" si="15"/>
        <v>1</v>
      </c>
      <c r="AB41" s="2998">
        <f t="shared" si="16"/>
        <v>1</v>
      </c>
      <c r="AC41" s="2998">
        <f t="shared" si="17"/>
        <v>1</v>
      </c>
    </row>
    <row r="42" spans="1:29" ht="15">
      <c r="A42" s="472"/>
      <c r="B42" s="2995"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65"/>
      <c r="Q42" s="2997" t="str">
        <f t="shared" si="11"/>
        <v>内部装修</v>
      </c>
      <c r="R42" s="774" t="s">
        <v>21</v>
      </c>
      <c r="S42" s="775">
        <f t="shared" si="12"/>
        <v>100</v>
      </c>
      <c r="T42" s="774" t="s">
        <v>21</v>
      </c>
      <c r="U42" s="775">
        <f t="shared" si="13"/>
        <v>100</v>
      </c>
      <c r="V42" s="774" t="s">
        <v>21</v>
      </c>
      <c r="W42" s="775">
        <f t="shared" si="14"/>
        <v>100</v>
      </c>
      <c r="X42" s="2999"/>
      <c r="Y42" s="3467"/>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65"/>
      <c r="Q43" s="2997" t="str">
        <f t="shared" si="11"/>
        <v>内部装修维护情况</v>
      </c>
      <c r="R43" s="774" t="s">
        <v>21</v>
      </c>
      <c r="S43" s="775">
        <f t="shared" si="12"/>
        <v>100</v>
      </c>
      <c r="T43" s="774" t="s">
        <v>21</v>
      </c>
      <c r="U43" s="775">
        <f t="shared" si="13"/>
        <v>100</v>
      </c>
      <c r="V43" s="774" t="s">
        <v>21</v>
      </c>
      <c r="W43" s="775">
        <f t="shared" si="14"/>
        <v>100</v>
      </c>
      <c r="X43" s="2999"/>
      <c r="Y43" s="3467"/>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65"/>
      <c r="Q44" s="2993">
        <f t="shared" si="11"/>
        <v>111</v>
      </c>
      <c r="R44" s="770" t="s">
        <v>21</v>
      </c>
      <c r="S44" s="771">
        <f t="shared" si="12"/>
        <v>100</v>
      </c>
      <c r="T44" s="770" t="s">
        <v>21</v>
      </c>
      <c r="U44" s="771">
        <f t="shared" si="13"/>
        <v>100</v>
      </c>
      <c r="V44" s="770" t="s">
        <v>21</v>
      </c>
      <c r="W44" s="771">
        <f t="shared" si="14"/>
        <v>100</v>
      </c>
      <c r="X44" s="772"/>
      <c r="Y44" s="3467"/>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65"/>
      <c r="Q45" s="2997">
        <f t="shared" si="11"/>
        <v>111</v>
      </c>
      <c r="R45" s="774" t="s">
        <v>21</v>
      </c>
      <c r="S45" s="775">
        <f t="shared" si="12"/>
        <v>100</v>
      </c>
      <c r="T45" s="774" t="s">
        <v>21</v>
      </c>
      <c r="U45" s="775">
        <f t="shared" si="13"/>
        <v>100</v>
      </c>
      <c r="V45" s="774" t="s">
        <v>21</v>
      </c>
      <c r="W45" s="775">
        <f t="shared" si="14"/>
        <v>100</v>
      </c>
      <c r="X45" s="2999"/>
      <c r="Y45" s="3467"/>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66"/>
      <c r="Q46" s="2997">
        <f t="shared" si="11"/>
        <v>111</v>
      </c>
      <c r="R46" s="774" t="s">
        <v>20</v>
      </c>
      <c r="S46" s="775">
        <f t="shared" si="12"/>
        <v>100</v>
      </c>
      <c r="T46" s="774" t="s">
        <v>20</v>
      </c>
      <c r="U46" s="775">
        <f t="shared" si="13"/>
        <v>100</v>
      </c>
      <c r="V46" s="774" t="s">
        <v>20</v>
      </c>
      <c r="W46" s="775">
        <f t="shared" si="14"/>
        <v>100</v>
      </c>
      <c r="X46" s="2999"/>
      <c r="Y46" s="3468"/>
      <c r="Z46" s="3000">
        <f t="shared" si="18"/>
        <v>111</v>
      </c>
      <c r="AA46" s="2998">
        <f t="shared" si="15"/>
        <v>1</v>
      </c>
      <c r="AB46" s="2998">
        <f t="shared" si="16"/>
        <v>1</v>
      </c>
      <c r="AC46" s="2998">
        <f t="shared" si="17"/>
        <v>1</v>
      </c>
    </row>
    <row r="47" spans="1:29" ht="15">
      <c r="A47" s="479" t="s">
        <v>2566</v>
      </c>
      <c r="B47" s="480"/>
      <c r="C47" s="1406" t="s">
        <v>1</v>
      </c>
      <c r="D47" s="1407"/>
      <c r="E47" s="1408">
        <f>市场案例!D20</f>
        <v>82657</v>
      </c>
      <c r="F47" s="1409"/>
      <c r="G47" s="1410">
        <f>市场案例!E20</f>
        <v>83122</v>
      </c>
      <c r="H47" s="1411"/>
      <c r="I47" s="1408">
        <f>市场案例!F20</f>
        <v>88541</v>
      </c>
      <c r="J47" s="1411"/>
      <c r="K47" s="2610"/>
      <c r="L47" s="1142"/>
      <c r="M47" s="1143"/>
      <c r="N47" s="1130"/>
      <c r="O47" s="1143"/>
      <c r="P47" s="3459" t="str">
        <f>A47</f>
        <v>成交单价（元/平方米）</v>
      </c>
      <c r="Q47" s="3459"/>
      <c r="R47" s="3460">
        <f>E47</f>
        <v>82657</v>
      </c>
      <c r="S47" s="3460"/>
      <c r="T47" s="3460">
        <f>G47</f>
        <v>83122</v>
      </c>
      <c r="U47" s="3460"/>
      <c r="V47" s="3460">
        <f>I47</f>
        <v>88541</v>
      </c>
      <c r="W47" s="3460"/>
      <c r="X47" s="759"/>
      <c r="Y47" s="781"/>
      <c r="Z47" s="759"/>
      <c r="AA47" s="759"/>
      <c r="AB47" s="759"/>
      <c r="AC47" s="759"/>
    </row>
    <row r="48" spans="1:29" ht="15.75" thickBot="1">
      <c r="A48" s="486" t="s">
        <v>2567</v>
      </c>
      <c r="B48" s="487"/>
      <c r="C48" s="1412">
        <f>R49</f>
        <v>85007</v>
      </c>
      <c r="D48" s="1413"/>
      <c r="E48" s="1414">
        <f>R48</f>
        <v>82657</v>
      </c>
      <c r="F48" s="1414"/>
      <c r="G48" s="1412">
        <f>T48</f>
        <v>79164</v>
      </c>
      <c r="H48" s="1413"/>
      <c r="I48" s="1414">
        <f>V48</f>
        <v>93201</v>
      </c>
      <c r="J48" s="1413"/>
      <c r="K48" s="2611"/>
      <c r="L48" s="1142"/>
      <c r="M48" s="1143"/>
      <c r="N48" s="1143"/>
      <c r="O48" s="1143"/>
      <c r="P48" s="3459" t="str">
        <f>A48</f>
        <v>比较价值（元/平方米）</v>
      </c>
      <c r="Q48" s="3459"/>
      <c r="R48" s="3460">
        <f>IF(F1="售价",ROUND(PRODUCT(R47,AA7:AA46),0),ROUND(PRODUCT(R47,AA7:AA46),1))</f>
        <v>82657</v>
      </c>
      <c r="S48" s="3460"/>
      <c r="T48" s="3460">
        <f>IF(F1="售价",ROUND(PRODUCT(T47,AB7:AB46),0),ROUND(PRODUCT(T47,AB7:AB46),1))</f>
        <v>79164</v>
      </c>
      <c r="U48" s="3460"/>
      <c r="V48" s="3460">
        <f>IF(F1="售价",ROUND(PRODUCT(V47,AC7:AC46),0),ROUND(PRODUCT(V47,AC7:AC46),1))</f>
        <v>93201</v>
      </c>
      <c r="W48" s="3460"/>
      <c r="X48" s="759"/>
      <c r="Y48" s="759"/>
      <c r="Z48" s="759"/>
      <c r="AA48" s="759"/>
      <c r="AB48" s="759"/>
      <c r="AC48" s="759"/>
    </row>
    <row r="49" spans="1:29" ht="15.75" thickBot="1">
      <c r="A49" s="492" t="s">
        <v>2568</v>
      </c>
      <c r="B49" s="493"/>
      <c r="C49" s="1415">
        <f>R49</f>
        <v>85007</v>
      </c>
      <c r="D49" s="1416"/>
      <c r="E49" s="1416"/>
      <c r="F49" s="1416"/>
      <c r="G49" s="1416"/>
      <c r="H49" s="1416"/>
      <c r="I49" s="1416"/>
      <c r="J49" s="1416"/>
      <c r="K49" s="2612"/>
      <c r="L49" s="1142"/>
      <c r="M49" s="1143"/>
      <c r="N49" s="1143"/>
      <c r="O49" s="1143"/>
      <c r="P49" s="3461" t="str">
        <f>A49</f>
        <v>估价对象XX用房的比较价值（楼面单价，元/平方米）</v>
      </c>
      <c r="Q49" s="3462"/>
      <c r="R49" s="3463">
        <f>IF(F1="售价",ROUND(AVERAGE(R48:V48),0),ROUND(AVERAGE(R48:V48),1))</f>
        <v>85007</v>
      </c>
      <c r="S49" s="3463"/>
      <c r="T49" s="3463"/>
      <c r="U49" s="3463"/>
      <c r="V49" s="3463"/>
      <c r="W49" s="346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4.9997473599110664E-2</v>
      </c>
      <c r="H52" s="500" t="str">
        <f>IF(OR(G52&gt;=0.3,G52&lt;=-0.3),"超过30%","")</f>
        <v/>
      </c>
      <c r="I52" s="499">
        <f>IF(I47&lt;I48,I48/I47-1,I47/I48-1)</f>
        <v>5.2630984515648072E-2</v>
      </c>
      <c r="J52" s="500" t="str">
        <f>IF(OR(I52&gt;=0.3,I52&lt;=-0.3),"超过30%","")</f>
        <v/>
      </c>
      <c r="K52" s="1104"/>
      <c r="L52" s="1105"/>
      <c r="M52" s="1143"/>
      <c r="N52" s="1143"/>
      <c r="O52" s="1143"/>
    </row>
    <row r="53" spans="1:29" ht="13.5" customHeight="1">
      <c r="A53" s="1143"/>
      <c r="B53" s="1143"/>
      <c r="C53" s="497" t="s">
        <v>2570</v>
      </c>
      <c r="D53" s="501"/>
      <c r="E53" s="499">
        <f>IF(E48&lt;G48,G48/E48-1,E48/G48-1)</f>
        <v>4.4123591531504136E-2</v>
      </c>
      <c r="F53" s="500" t="str">
        <f>IF(OR(E53&gt;=0.2,E53&lt;=-0.2),"超过20%","")</f>
        <v/>
      </c>
      <c r="G53" s="499">
        <f>IF(G48&lt;I48,I48/G48-1,G48/I48-1)</f>
        <v>0.17731544641503705</v>
      </c>
      <c r="H53" s="500" t="str">
        <f>IF(OR(G53&gt;=0.2,G53&lt;=-0.2),"超过20%","")</f>
        <v/>
      </c>
      <c r="I53" s="499">
        <f>IF(I48&lt;E48,E48/I48-1,I48/E48-1)</f>
        <v>0.12756330377342517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5.6256578390214695E-3</v>
      </c>
      <c r="F54" s="500" t="str">
        <f>IF(OR(E54&gt;=0.3,E54&lt;=-0.3),"超过30%","")</f>
        <v/>
      </c>
      <c r="G54" s="499">
        <f>IF(G47&lt;I47,I47/G47-1,G47/I47-1)</f>
        <v>6.5193330285604256E-2</v>
      </c>
      <c r="H54" s="500" t="str">
        <f>IF(OR(G54&gt;=0.3,G54&lt;=-0.3),"超过30%","")</f>
        <v/>
      </c>
      <c r="I54" s="499">
        <f>IF(I47&lt;E47,E47/I47-1,I47/E47-1)</f>
        <v>7.1185743494198928E-2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3646</v>
      </c>
      <c r="D88" s="3250" t="s">
        <v>3648</v>
      </c>
      <c r="E88" s="3250" t="s">
        <v>3650</v>
      </c>
      <c r="F88" s="3251" t="s">
        <v>3644</v>
      </c>
      <c r="G88" s="3250" t="s">
        <v>3652</v>
      </c>
      <c r="H88" s="3250" t="s">
        <v>3653</v>
      </c>
      <c r="I88" s="3250"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3641</v>
      </c>
      <c r="D90" s="3250" t="s">
        <v>3642</v>
      </c>
      <c r="E90" s="3250"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3659</v>
      </c>
      <c r="D100" s="3255"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3661</v>
      </c>
      <c r="D122" s="3250" t="s">
        <v>3662</v>
      </c>
      <c r="E122" s="3250" t="s">
        <v>3663</v>
      </c>
      <c r="F122" s="3256"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95" priority="14" stopIfTrue="1" operator="containsText" text="超过">
      <formula>NOT(ISERROR(SEARCH("超过",F52)))</formula>
    </cfRule>
  </conditionalFormatting>
  <conditionalFormatting sqref="J54">
    <cfRule type="containsText" dxfId="194" priority="13" stopIfTrue="1" operator="containsText" text="超过">
      <formula>NOT(ISERROR(SEARCH("超过",J54)))</formula>
    </cfRule>
  </conditionalFormatting>
  <conditionalFormatting sqref="H54">
    <cfRule type="containsText" dxfId="193" priority="12" stopIfTrue="1" operator="containsText" text="超过">
      <formula>NOT(ISERROR(SEARCH("超过",H54)))</formula>
    </cfRule>
  </conditionalFormatting>
  <conditionalFormatting sqref="F54">
    <cfRule type="containsText" dxfId="192" priority="11" stopIfTrue="1" operator="containsText" text="超过">
      <formula>NOT(ISERROR(SEARCH("超过",F54)))</formula>
    </cfRule>
  </conditionalFormatting>
  <conditionalFormatting sqref="F53 H53 J53">
    <cfRule type="containsText" dxfId="191" priority="10" stopIfTrue="1" operator="containsText" text="超过">
      <formula>NOT(ISERROR(SEARCH("超过",F53)))</formula>
    </cfRule>
  </conditionalFormatting>
  <conditionalFormatting sqref="E52">
    <cfRule type="expression" dxfId="190" priority="9" stopIfTrue="1">
      <formula>$F$52="超过30%"</formula>
    </cfRule>
  </conditionalFormatting>
  <conditionalFormatting sqref="G54">
    <cfRule type="expression" dxfId="189" priority="8" stopIfTrue="1">
      <formula>$H$54="超过30%"</formula>
    </cfRule>
  </conditionalFormatting>
  <conditionalFormatting sqref="E53">
    <cfRule type="expression" dxfId="188" priority="7" stopIfTrue="1">
      <formula>$F$53="超过20%"</formula>
    </cfRule>
  </conditionalFormatting>
  <conditionalFormatting sqref="E54">
    <cfRule type="expression" dxfId="187" priority="6" stopIfTrue="1">
      <formula>$F$54="超过30%"</formula>
    </cfRule>
  </conditionalFormatting>
  <conditionalFormatting sqref="G52">
    <cfRule type="expression" dxfId="186" priority="5" stopIfTrue="1">
      <formula>$H$52="超过30%"</formula>
    </cfRule>
  </conditionalFormatting>
  <conditionalFormatting sqref="G53">
    <cfRule type="expression" dxfId="185" priority="4" stopIfTrue="1">
      <formula>$H$53="超过20%"</formula>
    </cfRule>
  </conditionalFormatting>
  <conditionalFormatting sqref="I52">
    <cfRule type="expression" dxfId="184" priority="3" stopIfTrue="1">
      <formula>$J$52="超过30%"</formula>
    </cfRule>
  </conditionalFormatting>
  <conditionalFormatting sqref="I53">
    <cfRule type="expression" dxfId="183" priority="2" stopIfTrue="1">
      <formula>$J$53="超过20%"</formula>
    </cfRule>
  </conditionalFormatting>
  <conditionalFormatting sqref="I54">
    <cfRule type="expression" dxfId="1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194724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78683</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1" t="s">
        <v>2525</v>
      </c>
      <c r="D4" s="3492"/>
      <c r="E4" s="3493" t="s">
        <v>2526</v>
      </c>
      <c r="F4" s="3494"/>
      <c r="G4" s="3491" t="s">
        <v>2527</v>
      </c>
      <c r="H4" s="3492"/>
      <c r="I4" s="3491" t="s">
        <v>2528</v>
      </c>
      <c r="J4" s="3492"/>
      <c r="K4" s="2585" t="s">
        <v>2529</v>
      </c>
      <c r="L4" s="1129"/>
      <c r="M4" s="1130"/>
      <c r="N4" s="1130"/>
      <c r="O4" s="1130"/>
      <c r="P4" s="3495" t="s">
        <v>2530</v>
      </c>
      <c r="Q4" s="3496"/>
      <c r="R4" s="3481" t="s">
        <v>2526</v>
      </c>
      <c r="S4" s="3482"/>
      <c r="T4" s="3481" t="s">
        <v>2527</v>
      </c>
      <c r="U4" s="3482"/>
      <c r="V4" s="3487" t="s">
        <v>2528</v>
      </c>
      <c r="W4" s="3487"/>
      <c r="X4" s="1811"/>
      <c r="Y4" s="3481" t="s">
        <v>2530</v>
      </c>
      <c r="Z4" s="3482"/>
      <c r="AA4" s="3488" t="s">
        <v>2526</v>
      </c>
      <c r="AB4" s="3488" t="s">
        <v>2527</v>
      </c>
      <c r="AC4" s="3488" t="s">
        <v>2528</v>
      </c>
    </row>
    <row r="5" spans="1:29" ht="15">
      <c r="A5" s="404"/>
      <c r="B5" s="405"/>
      <c r="C5" s="3501" t="s">
        <v>3657</v>
      </c>
      <c r="D5" s="3502"/>
      <c r="E5" s="3503" t="s">
        <v>3637</v>
      </c>
      <c r="F5" s="3504"/>
      <c r="G5" s="3505" t="str">
        <f>E5</f>
        <v>三全公寓</v>
      </c>
      <c r="H5" s="3502"/>
      <c r="I5" s="3505" t="str">
        <f>E5</f>
        <v>三全公寓</v>
      </c>
      <c r="J5" s="3502"/>
      <c r="K5" s="2586"/>
      <c r="L5" s="1129"/>
      <c r="M5" s="1130"/>
      <c r="N5" s="1130"/>
      <c r="O5" s="1130"/>
      <c r="P5" s="3497"/>
      <c r="Q5" s="3498"/>
      <c r="R5" s="3483"/>
      <c r="S5" s="3484"/>
      <c r="T5" s="3483"/>
      <c r="U5" s="3484"/>
      <c r="V5" s="3487"/>
      <c r="W5" s="3487"/>
      <c r="X5" s="1811"/>
      <c r="Y5" s="3483"/>
      <c r="Z5" s="3484"/>
      <c r="AA5" s="3489"/>
      <c r="AB5" s="3489"/>
      <c r="AC5" s="3489"/>
    </row>
    <row r="6" spans="1:29" ht="15.75" thickBot="1">
      <c r="A6" s="406"/>
      <c r="B6" s="407"/>
      <c r="C6" s="3476" t="s">
        <v>2535</v>
      </c>
      <c r="D6" s="3477"/>
      <c r="E6" s="3478" t="s">
        <v>2535</v>
      </c>
      <c r="F6" s="3479"/>
      <c r="G6" s="3476" t="s">
        <v>2535</v>
      </c>
      <c r="H6" s="3477"/>
      <c r="I6" s="3476" t="s">
        <v>2535</v>
      </c>
      <c r="J6" s="3477"/>
      <c r="K6" s="2586" t="s">
        <v>2536</v>
      </c>
      <c r="L6" s="1129"/>
      <c r="M6" s="1130"/>
      <c r="N6" s="1130"/>
      <c r="O6" s="1130"/>
      <c r="P6" s="3499"/>
      <c r="Q6" s="3500"/>
      <c r="R6" s="3483"/>
      <c r="S6" s="3484"/>
      <c r="T6" s="3485"/>
      <c r="U6" s="3486"/>
      <c r="V6" s="3487"/>
      <c r="W6" s="3487"/>
      <c r="X6" s="1811"/>
      <c r="Y6" s="3485"/>
      <c r="Z6" s="3486"/>
      <c r="AA6" s="3490"/>
      <c r="AB6" s="3490"/>
      <c r="AC6" s="3490"/>
    </row>
    <row r="7" spans="1:29" s="117" customFormat="1" ht="15.75" thickBot="1">
      <c r="A7" s="408" t="s">
        <v>2537</v>
      </c>
      <c r="B7" s="409"/>
      <c r="C7" s="410">
        <f>'数据-取费表'!B2</f>
        <v>43670</v>
      </c>
      <c r="D7" s="411">
        <v>100</v>
      </c>
      <c r="E7" s="412">
        <f>市场案例!D3</f>
        <v>43617</v>
      </c>
      <c r="F7" s="413">
        <f>SUMIF(58:58,YEAR(E7)&amp;"-"&amp;MONTH(E7),59:59)</f>
        <v>100</v>
      </c>
      <c r="G7" s="412">
        <f>市场案例!E3</f>
        <v>43617</v>
      </c>
      <c r="H7" s="411">
        <f>SUMIF(58:58,YEAR(G7)&amp;"-"&amp;MONTH(G7),59:59)</f>
        <v>100</v>
      </c>
      <c r="I7" s="412">
        <f>市场案例!F3</f>
        <v>43525</v>
      </c>
      <c r="J7" s="411">
        <f>SUMIF(58:58,YEAR(I7)&amp;"-"&amp;MONTH(I7),59:59)</f>
        <v>100</v>
      </c>
      <c r="K7" s="2587"/>
      <c r="L7" s="1131"/>
      <c r="M7" s="1132"/>
      <c r="N7" s="1132"/>
      <c r="O7" s="1132"/>
      <c r="P7" s="3469" t="s">
        <v>2538</v>
      </c>
      <c r="Q7" s="3480"/>
      <c r="R7" s="770" t="s">
        <v>23</v>
      </c>
      <c r="S7" s="771">
        <f t="shared" ref="S7:S15" si="0">F7</f>
        <v>100</v>
      </c>
      <c r="T7" s="770" t="s">
        <v>23</v>
      </c>
      <c r="U7" s="771">
        <f t="shared" ref="U7:U15" si="1">H7</f>
        <v>100</v>
      </c>
      <c r="V7" s="770" t="s">
        <v>23</v>
      </c>
      <c r="W7" s="771">
        <f t="shared" ref="W7:W15" si="2">J7</f>
        <v>100</v>
      </c>
      <c r="X7" s="772"/>
      <c r="Y7" s="3469" t="s">
        <v>2538</v>
      </c>
      <c r="Z7" s="3470"/>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69" t="s">
        <v>2541</v>
      </c>
      <c r="Q8" s="3470"/>
      <c r="R8" s="770" t="s">
        <v>23</v>
      </c>
      <c r="S8" s="771">
        <f t="shared" si="0"/>
        <v>100</v>
      </c>
      <c r="T8" s="770" t="s">
        <v>23</v>
      </c>
      <c r="U8" s="771">
        <f t="shared" si="1"/>
        <v>100</v>
      </c>
      <c r="V8" s="770" t="s">
        <v>23</v>
      </c>
      <c r="W8" s="771">
        <f t="shared" si="2"/>
        <v>100</v>
      </c>
      <c r="X8" s="772"/>
      <c r="Y8" s="3469" t="s">
        <v>2541</v>
      </c>
      <c r="Z8" s="3470"/>
      <c r="AA8" s="773">
        <f t="shared" ref="AA8:AA19" si="3">D8/F8</f>
        <v>1</v>
      </c>
      <c r="AB8" s="773">
        <f t="shared" ref="AB8:AB19" si="4">D8/H8</f>
        <v>1</v>
      </c>
      <c r="AC8" s="773">
        <f t="shared" ref="AC8:AC19" si="5">D8/J8</f>
        <v>1</v>
      </c>
    </row>
    <row r="9" spans="1:29" s="117" customFormat="1">
      <c r="A9" s="415" t="s">
        <v>2542</v>
      </c>
      <c r="B9" s="71" t="s">
        <v>2543</v>
      </c>
      <c r="C9" s="3249"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71" t="s">
        <v>2544</v>
      </c>
      <c r="Q9" s="1793" t="str">
        <f t="shared" ref="Q9:Q15" si="6">B9</f>
        <v>用途</v>
      </c>
      <c r="R9" s="770" t="s">
        <v>17</v>
      </c>
      <c r="S9" s="771">
        <f t="shared" si="0"/>
        <v>100</v>
      </c>
      <c r="T9" s="770" t="s">
        <v>17</v>
      </c>
      <c r="U9" s="771">
        <f t="shared" si="1"/>
        <v>100</v>
      </c>
      <c r="V9" s="770" t="s">
        <v>17</v>
      </c>
      <c r="W9" s="771">
        <f t="shared" si="2"/>
        <v>100</v>
      </c>
      <c r="X9" s="772"/>
      <c r="Y9" s="3317" t="s">
        <v>2545</v>
      </c>
      <c r="Z9" s="55" t="str">
        <f t="shared" ref="Z9:Z15" si="7">Q9</f>
        <v>用途</v>
      </c>
      <c r="AA9" s="773">
        <f t="shared" si="3"/>
        <v>1</v>
      </c>
      <c r="AB9" s="773">
        <f t="shared" si="4"/>
        <v>1</v>
      </c>
      <c r="AC9" s="773">
        <f t="shared" si="5"/>
        <v>1</v>
      </c>
    </row>
    <row r="10" spans="1:29" s="427" customFormat="1" ht="27">
      <c r="A10" s="421"/>
      <c r="B10" s="422" t="s">
        <v>2546</v>
      </c>
      <c r="C10" s="423" t="s">
        <v>3656</v>
      </c>
      <c r="D10" s="136">
        <v>100</v>
      </c>
      <c r="E10" s="424" t="s">
        <v>3656</v>
      </c>
      <c r="F10" s="425">
        <f>SUMIF(65:65,E10,66:66)-SUMIF(65:65,C10,66:66)+100</f>
        <v>100</v>
      </c>
      <c r="G10" s="423" t="s">
        <v>3656</v>
      </c>
      <c r="H10" s="136">
        <f>SUMIF(65:65,G10,66:66)-SUMIF(65:65,C10,66:66)+100</f>
        <v>100</v>
      </c>
      <c r="I10" s="423" t="s">
        <v>3656</v>
      </c>
      <c r="J10" s="136">
        <f>SUMIF(65:65,I10,66:66)-SUMIF(65:65,C10,66:66)+100</f>
        <v>100</v>
      </c>
      <c r="K10" s="426">
        <v>2</v>
      </c>
      <c r="L10" s="1134"/>
      <c r="M10" s="1135"/>
      <c r="N10" s="1135"/>
      <c r="O10" s="1135"/>
      <c r="P10" s="3471"/>
      <c r="Q10" s="1793" t="str">
        <f t="shared" si="6"/>
        <v>土地使用年限（年）</v>
      </c>
      <c r="R10" s="770" t="s">
        <v>17</v>
      </c>
      <c r="S10" s="771">
        <f t="shared" si="0"/>
        <v>100</v>
      </c>
      <c r="T10" s="770" t="s">
        <v>17</v>
      </c>
      <c r="U10" s="771">
        <f t="shared" si="1"/>
        <v>100</v>
      </c>
      <c r="V10" s="770" t="s">
        <v>17</v>
      </c>
      <c r="W10" s="771">
        <f t="shared" si="2"/>
        <v>100</v>
      </c>
      <c r="X10" s="772"/>
      <c r="Y10" s="3317"/>
      <c r="Z10" s="55" t="str">
        <f t="shared" si="7"/>
        <v>土地使用年限（年）</v>
      </c>
      <c r="AA10" s="773">
        <f t="shared" si="3"/>
        <v>1</v>
      </c>
      <c r="AB10" s="773">
        <f t="shared" si="4"/>
        <v>1</v>
      </c>
      <c r="AC10" s="773">
        <f t="shared" si="5"/>
        <v>1</v>
      </c>
    </row>
    <row r="11" spans="1:29" ht="15.75"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71"/>
      <c r="Q11" s="1793" t="str">
        <f t="shared" si="6"/>
        <v>容积率</v>
      </c>
      <c r="R11" s="770" t="s">
        <v>21</v>
      </c>
      <c r="S11" s="771">
        <f t="shared" si="0"/>
        <v>100</v>
      </c>
      <c r="T11" s="770" t="s">
        <v>21</v>
      </c>
      <c r="U11" s="771">
        <f t="shared" si="1"/>
        <v>100</v>
      </c>
      <c r="V11" s="770" t="s">
        <v>21</v>
      </c>
      <c r="W11" s="771">
        <f t="shared" si="2"/>
        <v>100</v>
      </c>
      <c r="X11" s="772"/>
      <c r="Y11" s="3317"/>
      <c r="Z11" s="55" t="str">
        <f t="shared" si="7"/>
        <v>容积率</v>
      </c>
      <c r="AA11" s="773">
        <f t="shared" si="3"/>
        <v>1</v>
      </c>
      <c r="AB11" s="773">
        <f t="shared" si="4"/>
        <v>1</v>
      </c>
      <c r="AC11" s="773">
        <f t="shared" si="5"/>
        <v>1</v>
      </c>
    </row>
    <row r="12" spans="1:29" s="117" customFormat="1" ht="15" hidden="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71"/>
      <c r="Q12" s="1793">
        <f t="shared" si="6"/>
        <v>111</v>
      </c>
      <c r="R12" s="770" t="s">
        <v>21</v>
      </c>
      <c r="S12" s="771">
        <f t="shared" si="0"/>
        <v>100</v>
      </c>
      <c r="T12" s="770" t="s">
        <v>21</v>
      </c>
      <c r="U12" s="771">
        <f t="shared" si="1"/>
        <v>100</v>
      </c>
      <c r="V12" s="770" t="s">
        <v>21</v>
      </c>
      <c r="W12" s="771">
        <f t="shared" si="2"/>
        <v>100</v>
      </c>
      <c r="X12" s="772"/>
      <c r="Y12" s="3317"/>
      <c r="Z12" s="55">
        <f t="shared" si="7"/>
        <v>111</v>
      </c>
      <c r="AA12" s="773">
        <f>D12/F12</f>
        <v>1</v>
      </c>
      <c r="AB12" s="773">
        <f>D12/H12</f>
        <v>1</v>
      </c>
      <c r="AC12" s="773">
        <f>D12/J12</f>
        <v>1</v>
      </c>
    </row>
    <row r="13" spans="1:29" ht="15" hidden="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71"/>
      <c r="Q13" s="1793">
        <f t="shared" si="6"/>
        <v>111</v>
      </c>
      <c r="R13" s="770" t="s">
        <v>21</v>
      </c>
      <c r="S13" s="771">
        <f t="shared" si="0"/>
        <v>100</v>
      </c>
      <c r="T13" s="770" t="s">
        <v>21</v>
      </c>
      <c r="U13" s="771">
        <f t="shared" si="1"/>
        <v>100</v>
      </c>
      <c r="V13" s="770" t="s">
        <v>21</v>
      </c>
      <c r="W13" s="771">
        <f t="shared" si="2"/>
        <v>100</v>
      </c>
      <c r="X13" s="772"/>
      <c r="Y13" s="3317"/>
      <c r="Z13" s="55">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71"/>
      <c r="Q14" s="1793">
        <f t="shared" si="6"/>
        <v>111</v>
      </c>
      <c r="R14" s="770" t="s">
        <v>21</v>
      </c>
      <c r="S14" s="771">
        <f t="shared" si="0"/>
        <v>100</v>
      </c>
      <c r="T14" s="770" t="s">
        <v>21</v>
      </c>
      <c r="U14" s="771">
        <f t="shared" si="1"/>
        <v>100</v>
      </c>
      <c r="V14" s="770" t="s">
        <v>21</v>
      </c>
      <c r="W14" s="771">
        <f t="shared" si="2"/>
        <v>100</v>
      </c>
      <c r="X14" s="772"/>
      <c r="Y14" s="3317"/>
      <c r="Z14" s="55">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72" t="s">
        <v>2549</v>
      </c>
      <c r="Q15" s="1808" t="str">
        <f t="shared" si="6"/>
        <v>居住社区成熟度</v>
      </c>
      <c r="R15" s="774" t="s">
        <v>21</v>
      </c>
      <c r="S15" s="775">
        <f t="shared" si="0"/>
        <v>100</v>
      </c>
      <c r="T15" s="774" t="s">
        <v>21</v>
      </c>
      <c r="U15" s="775">
        <f t="shared" si="1"/>
        <v>100</v>
      </c>
      <c r="V15" s="774" t="s">
        <v>21</v>
      </c>
      <c r="W15" s="775">
        <f t="shared" si="2"/>
        <v>100</v>
      </c>
      <c r="X15" s="1811"/>
      <c r="Y15" s="3474" t="s">
        <v>2549</v>
      </c>
      <c r="Z15" s="1812" t="str">
        <f t="shared" si="7"/>
        <v>居住社区成熟度</v>
      </c>
      <c r="AA15" s="1809">
        <f t="shared" si="3"/>
        <v>1</v>
      </c>
      <c r="AB15" s="1809">
        <f t="shared" si="4"/>
        <v>1</v>
      </c>
      <c r="AC15" s="1809">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73"/>
      <c r="Q16" s="1808"/>
      <c r="R16" s="774"/>
      <c r="S16" s="775"/>
      <c r="T16" s="774"/>
      <c r="U16" s="775"/>
      <c r="V16" s="774"/>
      <c r="W16" s="775"/>
      <c r="X16" s="1811"/>
      <c r="Y16" s="3475"/>
      <c r="Z16" s="1812"/>
      <c r="AA16" s="1809">
        <v>1</v>
      </c>
      <c r="AB16" s="1809">
        <v>1</v>
      </c>
      <c r="AC16" s="1809">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73"/>
      <c r="Q17" s="1808" t="str">
        <f>B17</f>
        <v>交通便捷度</v>
      </c>
      <c r="R17" s="774" t="s">
        <v>21</v>
      </c>
      <c r="S17" s="775">
        <f>F17</f>
        <v>100</v>
      </c>
      <c r="T17" s="774" t="s">
        <v>21</v>
      </c>
      <c r="U17" s="775">
        <f>H17</f>
        <v>100</v>
      </c>
      <c r="V17" s="774" t="s">
        <v>21</v>
      </c>
      <c r="W17" s="775">
        <f>J17</f>
        <v>100</v>
      </c>
      <c r="X17" s="1811"/>
      <c r="Y17" s="3475"/>
      <c r="Z17" s="1812" t="str">
        <f>Q17</f>
        <v>交通便捷度</v>
      </c>
      <c r="AA17" s="1809">
        <f t="shared" si="3"/>
        <v>1</v>
      </c>
      <c r="AB17" s="1809">
        <f t="shared" si="4"/>
        <v>1</v>
      </c>
      <c r="AC17" s="1809">
        <f t="shared" si="5"/>
        <v>1</v>
      </c>
    </row>
    <row r="18" spans="1:29" ht="15">
      <c r="A18" s="428"/>
      <c r="B18" s="456"/>
      <c r="C18" s="2597" t="s">
        <v>3108</v>
      </c>
      <c r="D18" s="450"/>
      <c r="E18" s="2598" t="s">
        <v>3108</v>
      </c>
      <c r="F18" s="450"/>
      <c r="G18" s="2599" t="s">
        <v>3108</v>
      </c>
      <c r="H18" s="448"/>
      <c r="I18" s="2599" t="s">
        <v>3108</v>
      </c>
      <c r="J18" s="448"/>
      <c r="K18" s="2595"/>
      <c r="L18" s="1139"/>
      <c r="M18" s="1130"/>
      <c r="N18" s="1130"/>
      <c r="O18" s="1130"/>
      <c r="P18" s="3473"/>
      <c r="Q18" s="1808"/>
      <c r="R18" s="774"/>
      <c r="S18" s="775"/>
      <c r="T18" s="774"/>
      <c r="U18" s="775"/>
      <c r="V18" s="774"/>
      <c r="W18" s="775"/>
      <c r="X18" s="1811"/>
      <c r="Y18" s="3475"/>
      <c r="Z18" s="1812"/>
      <c r="AA18" s="1809">
        <v>1</v>
      </c>
      <c r="AB18" s="1809">
        <v>1</v>
      </c>
      <c r="AC18" s="1809">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3"/>
      <c r="Q19" s="1808" t="str">
        <f>B19</f>
        <v>公共配套设施</v>
      </c>
      <c r="R19" s="774" t="s">
        <v>21</v>
      </c>
      <c r="S19" s="775">
        <f>F19</f>
        <v>100</v>
      </c>
      <c r="T19" s="774" t="s">
        <v>21</v>
      </c>
      <c r="U19" s="775">
        <f>H19</f>
        <v>100</v>
      </c>
      <c r="V19" s="774" t="s">
        <v>21</v>
      </c>
      <c r="W19" s="775">
        <f>J19</f>
        <v>100</v>
      </c>
      <c r="X19" s="1811"/>
      <c r="Y19" s="3475"/>
      <c r="Z19" s="1812" t="str">
        <f>Q19</f>
        <v>公共配套设施</v>
      </c>
      <c r="AA19" s="1809">
        <f t="shared" si="3"/>
        <v>1</v>
      </c>
      <c r="AB19" s="1809">
        <f t="shared" si="4"/>
        <v>1</v>
      </c>
      <c r="AC19" s="1809">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73"/>
      <c r="Q20" s="1808"/>
      <c r="R20" s="774"/>
      <c r="S20" s="775"/>
      <c r="T20" s="774"/>
      <c r="U20" s="775"/>
      <c r="V20" s="774"/>
      <c r="W20" s="775"/>
      <c r="X20" s="1811"/>
      <c r="Y20" s="3475"/>
      <c r="Z20" s="1812"/>
      <c r="AA20" s="1809">
        <v>1</v>
      </c>
      <c r="AB20" s="1809">
        <v>1</v>
      </c>
      <c r="AC20" s="1809">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3"/>
      <c r="Q21" s="1808" t="str">
        <f>B21</f>
        <v>基础设施水平</v>
      </c>
      <c r="R21" s="774" t="s">
        <v>17</v>
      </c>
      <c r="S21" s="775">
        <f>F21</f>
        <v>100</v>
      </c>
      <c r="T21" s="774" t="s">
        <v>17</v>
      </c>
      <c r="U21" s="775">
        <f>H21</f>
        <v>100</v>
      </c>
      <c r="V21" s="774" t="s">
        <v>17</v>
      </c>
      <c r="W21" s="775">
        <f>J21</f>
        <v>100</v>
      </c>
      <c r="X21" s="1811"/>
      <c r="Y21" s="3475"/>
      <c r="Z21" s="1812" t="str">
        <f>Q21</f>
        <v>基础设施水平</v>
      </c>
      <c r="AA21" s="1809">
        <f t="shared" ref="AA21" si="8">D21/F21</f>
        <v>1</v>
      </c>
      <c r="AB21" s="1809">
        <f t="shared" ref="AB21" si="9">D21/H21</f>
        <v>1</v>
      </c>
      <c r="AC21" s="1809">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73"/>
      <c r="Q22" s="1808"/>
      <c r="R22" s="774"/>
      <c r="S22" s="775"/>
      <c r="T22" s="774"/>
      <c r="U22" s="775"/>
      <c r="V22" s="774"/>
      <c r="W22" s="775"/>
      <c r="X22" s="1811"/>
      <c r="Y22" s="3475"/>
      <c r="Z22" s="1812"/>
      <c r="AA22" s="1809">
        <v>1</v>
      </c>
      <c r="AB22" s="1809">
        <v>1</v>
      </c>
      <c r="AC22" s="1809">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3"/>
      <c r="Q23" s="1808" t="str">
        <f>B23</f>
        <v>自然及人文环境</v>
      </c>
      <c r="R23" s="774" t="s">
        <v>21</v>
      </c>
      <c r="S23" s="775">
        <f>F23</f>
        <v>100</v>
      </c>
      <c r="T23" s="774" t="s">
        <v>21</v>
      </c>
      <c r="U23" s="775">
        <f>H23</f>
        <v>100</v>
      </c>
      <c r="V23" s="774" t="s">
        <v>21</v>
      </c>
      <c r="W23" s="775">
        <f>J23</f>
        <v>100</v>
      </c>
      <c r="X23" s="1811"/>
      <c r="Y23" s="3475"/>
      <c r="Z23" s="1812" t="str">
        <f>Q23</f>
        <v>自然及人文环境</v>
      </c>
      <c r="AA23" s="1809">
        <f>D23/F23</f>
        <v>1</v>
      </c>
      <c r="AB23" s="1809">
        <f>D23/H23</f>
        <v>1</v>
      </c>
      <c r="AC23" s="1809">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73"/>
      <c r="Q24" s="1808"/>
      <c r="R24" s="774"/>
      <c r="S24" s="775"/>
      <c r="T24" s="774"/>
      <c r="U24" s="775"/>
      <c r="V24" s="774"/>
      <c r="W24" s="775"/>
      <c r="X24" s="1811"/>
      <c r="Y24" s="3475"/>
      <c r="Z24" s="1812"/>
      <c r="AA24" s="1809">
        <v>1</v>
      </c>
      <c r="AB24" s="1809">
        <v>1</v>
      </c>
      <c r="AC24" s="1809">
        <v>1</v>
      </c>
    </row>
    <row r="25" spans="1:29" ht="15" hidden="1">
      <c r="A25" s="428"/>
      <c r="B25" s="422"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3"/>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475"/>
      <c r="Z25" s="1812" t="str">
        <f>Q25</f>
        <v>楼层-1</v>
      </c>
      <c r="AA25" s="1809">
        <f t="shared" ref="AA25:AA46" si="15">D25/F25</f>
        <v>1</v>
      </c>
      <c r="AB25" s="1809">
        <f t="shared" ref="AB25:AB46" si="16">D25/H25</f>
        <v>1</v>
      </c>
      <c r="AC25" s="1809">
        <f t="shared" ref="AC25:AC46" si="17">D25/J25</f>
        <v>1</v>
      </c>
    </row>
    <row r="26" spans="1:29" ht="15">
      <c r="A26" s="428"/>
      <c r="B26" s="3257" t="s">
        <v>2551</v>
      </c>
      <c r="C26" s="460" t="s">
        <v>3645</v>
      </c>
      <c r="D26" s="435">
        <v>100</v>
      </c>
      <c r="E26" s="2602" t="s">
        <v>3645</v>
      </c>
      <c r="F26" s="435">
        <f>SUMIF(88:88,E26,89:89)-SUMIF(88:88,C26,89:89)+100</f>
        <v>100</v>
      </c>
      <c r="G26" s="2603" t="s">
        <v>3645</v>
      </c>
      <c r="H26" s="435">
        <f>SUMIF(88:88,G26,89:89)-SUMIF(88:88,C26,89:89)+100</f>
        <v>100</v>
      </c>
      <c r="I26" s="2603" t="s">
        <v>3651</v>
      </c>
      <c r="J26" s="435">
        <f>SUMIF(88:88,I26,89:89)-SUMIF(88:88,C26,89:89)+100</f>
        <v>92</v>
      </c>
      <c r="K26" s="426">
        <v>2</v>
      </c>
      <c r="L26" s="1139"/>
      <c r="M26" s="1130"/>
      <c r="N26" s="1130"/>
      <c r="O26" s="1130"/>
      <c r="P26" s="3473"/>
      <c r="Q26" s="1808" t="str">
        <f t="shared" si="11"/>
        <v>朝向</v>
      </c>
      <c r="R26" s="774" t="s">
        <v>21</v>
      </c>
      <c r="S26" s="775">
        <f t="shared" si="12"/>
        <v>100</v>
      </c>
      <c r="T26" s="774" t="s">
        <v>21</v>
      </c>
      <c r="U26" s="775">
        <f t="shared" si="13"/>
        <v>100</v>
      </c>
      <c r="V26" s="774" t="s">
        <v>21</v>
      </c>
      <c r="W26" s="775">
        <f t="shared" si="14"/>
        <v>92</v>
      </c>
      <c r="X26" s="1811"/>
      <c r="Y26" s="3475"/>
      <c r="Z26" s="1812" t="str">
        <f>Q26</f>
        <v>朝向</v>
      </c>
      <c r="AA26" s="1809">
        <f t="shared" si="15"/>
        <v>1</v>
      </c>
      <c r="AB26" s="1809">
        <f t="shared" si="16"/>
        <v>1</v>
      </c>
      <c r="AC26" s="1809">
        <f t="shared" si="17"/>
        <v>1.0869565217391304</v>
      </c>
    </row>
    <row r="27" spans="1:29" s="117" customFormat="1" ht="15">
      <c r="A27" s="431"/>
      <c r="B27" s="3258" t="s">
        <v>3655</v>
      </c>
      <c r="C27" s="3252" t="s">
        <v>3642</v>
      </c>
      <c r="D27" s="462">
        <v>100</v>
      </c>
      <c r="E27" s="3253" t="s">
        <v>3641</v>
      </c>
      <c r="F27" s="462">
        <f>SUMIF(90:90,E27,91:91)-SUMIF(90:90,C27,91:91)+100</f>
        <v>105</v>
      </c>
      <c r="G27" s="3254" t="s">
        <v>3642</v>
      </c>
      <c r="H27" s="462">
        <f>SUMIF(90:90,G27,91:91)-SUMIF(90:90,C27,91:91)+100</f>
        <v>100</v>
      </c>
      <c r="I27" s="3254" t="s">
        <v>3643</v>
      </c>
      <c r="J27" s="462">
        <f>SUMIF(90:90,I27,91:91)-SUMIF(90:90,C27,91:91)+100</f>
        <v>95</v>
      </c>
      <c r="K27" s="2590"/>
      <c r="L27" s="1131"/>
      <c r="M27" s="1132"/>
      <c r="N27" s="1132"/>
      <c r="O27" s="1132"/>
      <c r="P27" s="3473"/>
      <c r="Q27" s="1793" t="str">
        <f t="shared" si="11"/>
        <v>楼层</v>
      </c>
      <c r="R27" s="770" t="s">
        <v>21</v>
      </c>
      <c r="S27" s="771">
        <f t="shared" si="12"/>
        <v>105</v>
      </c>
      <c r="T27" s="770" t="s">
        <v>21</v>
      </c>
      <c r="U27" s="771">
        <f t="shared" si="13"/>
        <v>100</v>
      </c>
      <c r="V27" s="770" t="s">
        <v>21</v>
      </c>
      <c r="W27" s="771">
        <f t="shared" si="14"/>
        <v>95</v>
      </c>
      <c r="X27" s="772"/>
      <c r="Y27" s="3475"/>
      <c r="Z27" s="55" t="str">
        <f>Q27</f>
        <v>楼层</v>
      </c>
      <c r="AA27" s="1809">
        <f t="shared" si="15"/>
        <v>0.95238095238095233</v>
      </c>
      <c r="AB27" s="1809">
        <f t="shared" si="16"/>
        <v>1</v>
      </c>
      <c r="AC27" s="1809">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3"/>
      <c r="Q28" s="1808">
        <f t="shared" si="11"/>
        <v>111</v>
      </c>
      <c r="R28" s="774" t="s">
        <v>21</v>
      </c>
      <c r="S28" s="775">
        <f t="shared" si="12"/>
        <v>100</v>
      </c>
      <c r="T28" s="774" t="s">
        <v>21</v>
      </c>
      <c r="U28" s="775">
        <f t="shared" si="13"/>
        <v>100</v>
      </c>
      <c r="V28" s="774" t="s">
        <v>21</v>
      </c>
      <c r="W28" s="775">
        <f t="shared" si="14"/>
        <v>100</v>
      </c>
      <c r="X28" s="1811"/>
      <c r="Y28" s="3475"/>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3"/>
      <c r="Q29" s="1808">
        <f t="shared" si="11"/>
        <v>111</v>
      </c>
      <c r="R29" s="774" t="s">
        <v>21</v>
      </c>
      <c r="S29" s="775">
        <f t="shared" si="12"/>
        <v>100</v>
      </c>
      <c r="T29" s="774" t="s">
        <v>21</v>
      </c>
      <c r="U29" s="775">
        <f t="shared" si="13"/>
        <v>100</v>
      </c>
      <c r="V29" s="774" t="s">
        <v>21</v>
      </c>
      <c r="W29" s="775">
        <f t="shared" si="14"/>
        <v>100</v>
      </c>
      <c r="X29" s="1811"/>
      <c r="Y29" s="3475"/>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3"/>
      <c r="Q30" s="1808">
        <f t="shared" si="11"/>
        <v>111</v>
      </c>
      <c r="R30" s="774" t="s">
        <v>21</v>
      </c>
      <c r="S30" s="775">
        <f t="shared" si="12"/>
        <v>100</v>
      </c>
      <c r="T30" s="774" t="s">
        <v>21</v>
      </c>
      <c r="U30" s="775">
        <f t="shared" si="13"/>
        <v>100</v>
      </c>
      <c r="V30" s="774" t="s">
        <v>21</v>
      </c>
      <c r="W30" s="775">
        <f t="shared" si="14"/>
        <v>100</v>
      </c>
      <c r="X30" s="1811"/>
      <c r="Y30" s="3475"/>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3"/>
      <c r="Q31" s="1808">
        <f t="shared" si="11"/>
        <v>111</v>
      </c>
      <c r="R31" s="774" t="s">
        <v>21</v>
      </c>
      <c r="S31" s="775">
        <f t="shared" si="12"/>
        <v>100</v>
      </c>
      <c r="T31" s="774" t="s">
        <v>21</v>
      </c>
      <c r="U31" s="775">
        <f t="shared" si="13"/>
        <v>100</v>
      </c>
      <c r="V31" s="774" t="s">
        <v>21</v>
      </c>
      <c r="W31" s="775">
        <f t="shared" si="14"/>
        <v>100</v>
      </c>
      <c r="X31" s="1811"/>
      <c r="Y31" s="3475"/>
      <c r="Z31" s="1812">
        <f t="shared" si="18"/>
        <v>111</v>
      </c>
      <c r="AA31" s="1809">
        <f t="shared" si="15"/>
        <v>1</v>
      </c>
      <c r="AB31" s="1809">
        <f t="shared" si="16"/>
        <v>1</v>
      </c>
      <c r="AC31" s="1809">
        <f t="shared" si="17"/>
        <v>1</v>
      </c>
    </row>
    <row r="32" spans="1:29" ht="15">
      <c r="A32" s="440" t="s">
        <v>2552</v>
      </c>
      <c r="B32" s="71" t="s">
        <v>2553</v>
      </c>
      <c r="C32" s="2606" t="s">
        <v>3640</v>
      </c>
      <c r="D32" s="467">
        <v>100</v>
      </c>
      <c r="E32" s="2607" t="s">
        <v>3640</v>
      </c>
      <c r="F32" s="461">
        <f>SUMIF(100:100,E32,101:101)-SUMIF(100:100,C32,101:101)+100</f>
        <v>100</v>
      </c>
      <c r="G32" s="2607" t="s">
        <v>3640</v>
      </c>
      <c r="H32" s="467">
        <f>SUMIF(100:100,G32,101:101)-SUMIF(100:100,C32,101:101)+100</f>
        <v>100</v>
      </c>
      <c r="I32" s="2607" t="s">
        <v>3640</v>
      </c>
      <c r="J32" s="435">
        <f>SUMIF(100:100,I32,101:101)-SUMIF(100:100,C32,101:101)+100</f>
        <v>100</v>
      </c>
      <c r="K32" s="426">
        <v>2</v>
      </c>
      <c r="L32" s="1139"/>
      <c r="M32" s="1130"/>
      <c r="N32" s="1130"/>
      <c r="O32" s="1130"/>
      <c r="P32" s="3464" t="s">
        <v>2554</v>
      </c>
      <c r="Q32" s="1808" t="str">
        <f t="shared" si="11"/>
        <v>建筑类型</v>
      </c>
      <c r="R32" s="774" t="s">
        <v>21</v>
      </c>
      <c r="S32" s="775">
        <f t="shared" si="12"/>
        <v>100</v>
      </c>
      <c r="T32" s="774" t="s">
        <v>21</v>
      </c>
      <c r="U32" s="775">
        <f t="shared" si="13"/>
        <v>100</v>
      </c>
      <c r="V32" s="774" t="s">
        <v>21</v>
      </c>
      <c r="W32" s="775">
        <f t="shared" si="14"/>
        <v>100</v>
      </c>
      <c r="X32" s="1811"/>
      <c r="Y32" s="3467" t="s">
        <v>2554</v>
      </c>
      <c r="Z32" s="1812" t="str">
        <f t="shared" si="18"/>
        <v>建筑类型</v>
      </c>
      <c r="AA32" s="1809">
        <f t="shared" si="15"/>
        <v>1</v>
      </c>
      <c r="AB32" s="1809">
        <f t="shared" si="16"/>
        <v>1</v>
      </c>
      <c r="AC32" s="1809">
        <f t="shared" si="17"/>
        <v>1</v>
      </c>
    </row>
    <row r="33" spans="1:29" s="471" customFormat="1" ht="15">
      <c r="A33" s="468"/>
      <c r="B33" s="3257" t="s">
        <v>2555</v>
      </c>
      <c r="C33" s="469">
        <v>130</v>
      </c>
      <c r="D33" s="136">
        <v>100</v>
      </c>
      <c r="E33" s="430">
        <f>市场案例!D5</f>
        <v>127.27</v>
      </c>
      <c r="F33" s="425">
        <f>LOOKUP(E33,103:103,104:104)-LOOKUP(C33,103:103,104:104)+100</f>
        <v>100</v>
      </c>
      <c r="G33" s="429">
        <f>市场案例!E5</f>
        <v>127.31</v>
      </c>
      <c r="H33" s="136">
        <f>LOOKUP(G33,103:103,104:104)-LOOKUP(C33,103:103,104:104)+100</f>
        <v>100</v>
      </c>
      <c r="I33" s="430">
        <f>市场案例!F5</f>
        <v>48.18</v>
      </c>
      <c r="J33" s="136">
        <f>LOOKUP(I33,103:103,104:104)-LOOKUP(C33,103:103,104:104)+100</f>
        <v>102</v>
      </c>
      <c r="K33" s="2590"/>
      <c r="L33" s="1137"/>
      <c r="M33" s="1140"/>
      <c r="N33" s="1140"/>
      <c r="O33" s="1140"/>
      <c r="P33" s="3465"/>
      <c r="Q33" s="776" t="str">
        <f t="shared" si="11"/>
        <v>项目建筑规模</v>
      </c>
      <c r="R33" s="777" t="s">
        <v>21</v>
      </c>
      <c r="S33" s="778">
        <f t="shared" si="12"/>
        <v>100</v>
      </c>
      <c r="T33" s="777" t="s">
        <v>21</v>
      </c>
      <c r="U33" s="778">
        <f t="shared" si="13"/>
        <v>100</v>
      </c>
      <c r="V33" s="777" t="s">
        <v>21</v>
      </c>
      <c r="W33" s="778">
        <f t="shared" si="14"/>
        <v>102</v>
      </c>
      <c r="X33" s="779"/>
      <c r="Y33" s="3467"/>
      <c r="Z33" s="780" t="str">
        <f t="shared" si="18"/>
        <v>项目建筑规模</v>
      </c>
      <c r="AA33" s="1809">
        <f t="shared" si="15"/>
        <v>1</v>
      </c>
      <c r="AB33" s="1809">
        <f t="shared" si="16"/>
        <v>1</v>
      </c>
      <c r="AC33" s="1809">
        <f t="shared" si="17"/>
        <v>0.98039215686274506</v>
      </c>
    </row>
    <row r="34" spans="1:29" ht="15">
      <c r="A34" s="472"/>
      <c r="B34" s="422"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65"/>
      <c r="Q34" s="1808" t="str">
        <f t="shared" si="11"/>
        <v>建筑结构</v>
      </c>
      <c r="R34" s="774" t="s">
        <v>21</v>
      </c>
      <c r="S34" s="775">
        <f t="shared" si="12"/>
        <v>100</v>
      </c>
      <c r="T34" s="774" t="s">
        <v>21</v>
      </c>
      <c r="U34" s="775">
        <f t="shared" si="13"/>
        <v>100</v>
      </c>
      <c r="V34" s="774" t="s">
        <v>21</v>
      </c>
      <c r="W34" s="775">
        <f t="shared" si="14"/>
        <v>100</v>
      </c>
      <c r="X34" s="1811"/>
      <c r="Y34" s="3467"/>
      <c r="Z34" s="1812" t="str">
        <f t="shared" si="18"/>
        <v>建筑结构</v>
      </c>
      <c r="AA34" s="1809">
        <f t="shared" si="15"/>
        <v>1</v>
      </c>
      <c r="AB34" s="1809">
        <f t="shared" si="16"/>
        <v>1</v>
      </c>
      <c r="AC34" s="1809">
        <f t="shared" si="17"/>
        <v>1</v>
      </c>
    </row>
    <row r="35" spans="1:29" ht="15">
      <c r="A35" s="472"/>
      <c r="B35" s="422"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65"/>
      <c r="Q35" s="1808" t="str">
        <f t="shared" si="11"/>
        <v>建筑品质</v>
      </c>
      <c r="R35" s="774" t="s">
        <v>21</v>
      </c>
      <c r="S35" s="775">
        <f t="shared" si="12"/>
        <v>100</v>
      </c>
      <c r="T35" s="774" t="s">
        <v>21</v>
      </c>
      <c r="U35" s="775">
        <f t="shared" si="13"/>
        <v>100</v>
      </c>
      <c r="V35" s="774" t="s">
        <v>21</v>
      </c>
      <c r="W35" s="775">
        <f t="shared" si="14"/>
        <v>100</v>
      </c>
      <c r="X35" s="1811"/>
      <c r="Y35" s="3467"/>
      <c r="Z35" s="1812" t="str">
        <f t="shared" si="18"/>
        <v>建筑品质</v>
      </c>
      <c r="AA35" s="1809">
        <f t="shared" si="15"/>
        <v>1</v>
      </c>
      <c r="AB35" s="1809">
        <f t="shared" si="16"/>
        <v>1</v>
      </c>
      <c r="AC35" s="1809">
        <f t="shared" si="17"/>
        <v>1</v>
      </c>
    </row>
    <row r="36" spans="1:29" ht="15">
      <c r="A36" s="472"/>
      <c r="B36" s="422"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65"/>
      <c r="Q36" s="1808" t="str">
        <f t="shared" si="11"/>
        <v>公共部分装修</v>
      </c>
      <c r="R36" s="774" t="s">
        <v>21</v>
      </c>
      <c r="S36" s="775">
        <f t="shared" si="12"/>
        <v>100</v>
      </c>
      <c r="T36" s="774" t="s">
        <v>21</v>
      </c>
      <c r="U36" s="775">
        <f t="shared" si="13"/>
        <v>100</v>
      </c>
      <c r="V36" s="774" t="s">
        <v>21</v>
      </c>
      <c r="W36" s="775">
        <f t="shared" si="14"/>
        <v>100</v>
      </c>
      <c r="X36" s="1811"/>
      <c r="Y36" s="3467"/>
      <c r="Z36" s="1812" t="str">
        <f t="shared" si="18"/>
        <v>公共部分装修</v>
      </c>
      <c r="AA36" s="1809">
        <f t="shared" si="15"/>
        <v>1</v>
      </c>
      <c r="AB36" s="1809">
        <f t="shared" si="16"/>
        <v>1</v>
      </c>
      <c r="AC36" s="1809">
        <f t="shared" si="17"/>
        <v>1</v>
      </c>
    </row>
    <row r="37" spans="1:29" s="117" customFormat="1" ht="15">
      <c r="A37" s="473"/>
      <c r="B37" s="422" t="s">
        <v>2559</v>
      </c>
      <c r="C37" s="474">
        <v>0.79</v>
      </c>
      <c r="D37" s="136">
        <v>100</v>
      </c>
      <c r="E37" s="474">
        <v>0.79</v>
      </c>
      <c r="F37" s="425">
        <f>LOOKUP(E37,112:112,113:113)-LOOKUP(C37,112:112,113:113)+100</f>
        <v>100</v>
      </c>
      <c r="G37" s="476">
        <v>0.79</v>
      </c>
      <c r="H37" s="136">
        <f>LOOKUP(G37,112:112,113:113)-LOOKUP(C37,112:112,113:113)+100</f>
        <v>100</v>
      </c>
      <c r="I37" s="475">
        <v>0.79</v>
      </c>
      <c r="J37" s="136">
        <f>LOOKUP(I37,112:112,113:113)-LOOKUP(C37,112:112,113:113)+100</f>
        <v>100</v>
      </c>
      <c r="K37" s="426">
        <v>2</v>
      </c>
      <c r="L37" s="1131"/>
      <c r="M37" s="1132"/>
      <c r="N37" s="1132"/>
      <c r="O37" s="1132"/>
      <c r="P37" s="3465"/>
      <c r="Q37" s="1793" t="str">
        <f t="shared" si="11"/>
        <v>成新度</v>
      </c>
      <c r="R37" s="770" t="s">
        <v>21</v>
      </c>
      <c r="S37" s="771">
        <f t="shared" si="12"/>
        <v>100</v>
      </c>
      <c r="T37" s="770" t="s">
        <v>21</v>
      </c>
      <c r="U37" s="771">
        <f t="shared" si="13"/>
        <v>100</v>
      </c>
      <c r="V37" s="770" t="s">
        <v>21</v>
      </c>
      <c r="W37" s="771">
        <f t="shared" si="14"/>
        <v>100</v>
      </c>
      <c r="X37" s="772"/>
      <c r="Y37" s="3467"/>
      <c r="Z37" s="55" t="str">
        <f t="shared" si="18"/>
        <v>成新度</v>
      </c>
      <c r="AA37" s="773">
        <f t="shared" si="15"/>
        <v>1</v>
      </c>
      <c r="AB37" s="773">
        <f t="shared" si="16"/>
        <v>1</v>
      </c>
      <c r="AC37" s="773">
        <f t="shared" si="17"/>
        <v>1</v>
      </c>
    </row>
    <row r="38" spans="1:29" ht="15">
      <c r="A38" s="472"/>
      <c r="B38" s="422"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65" t="s">
        <v>2554</v>
      </c>
      <c r="Q38" s="1808" t="str">
        <f t="shared" si="11"/>
        <v>物业管理</v>
      </c>
      <c r="R38" s="774" t="s">
        <v>21</v>
      </c>
      <c r="S38" s="775">
        <f t="shared" si="12"/>
        <v>100</v>
      </c>
      <c r="T38" s="774" t="s">
        <v>21</v>
      </c>
      <c r="U38" s="775">
        <f t="shared" si="13"/>
        <v>100</v>
      </c>
      <c r="V38" s="774" t="s">
        <v>21</v>
      </c>
      <c r="W38" s="775">
        <f t="shared" si="14"/>
        <v>100</v>
      </c>
      <c r="X38" s="1811"/>
      <c r="Y38" s="3467" t="s">
        <v>2554</v>
      </c>
      <c r="Z38" s="1812" t="str">
        <f t="shared" si="18"/>
        <v>物业管理</v>
      </c>
      <c r="AA38" s="1809">
        <f t="shared" si="15"/>
        <v>1</v>
      </c>
      <c r="AB38" s="1809">
        <f t="shared" si="16"/>
        <v>1</v>
      </c>
      <c r="AC38" s="1809">
        <f t="shared" si="17"/>
        <v>1</v>
      </c>
    </row>
    <row r="39" spans="1:29" ht="15">
      <c r="A39" s="472"/>
      <c r="B39" s="422"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65"/>
      <c r="Q39" s="1808" t="str">
        <f t="shared" si="11"/>
        <v>市政基础设施</v>
      </c>
      <c r="R39" s="774" t="s">
        <v>21</v>
      </c>
      <c r="S39" s="775">
        <f t="shared" si="12"/>
        <v>100</v>
      </c>
      <c r="T39" s="774" t="s">
        <v>21</v>
      </c>
      <c r="U39" s="775">
        <f t="shared" si="13"/>
        <v>100</v>
      </c>
      <c r="V39" s="774" t="s">
        <v>21</v>
      </c>
      <c r="W39" s="775">
        <f t="shared" si="14"/>
        <v>100</v>
      </c>
      <c r="X39" s="1811"/>
      <c r="Y39" s="3467"/>
      <c r="Z39" s="1812" t="str">
        <f t="shared" si="18"/>
        <v>市政基础设施</v>
      </c>
      <c r="AA39" s="1809">
        <f t="shared" si="15"/>
        <v>1</v>
      </c>
      <c r="AB39" s="1809">
        <f t="shared" si="16"/>
        <v>1</v>
      </c>
      <c r="AC39" s="1809">
        <f t="shared" si="17"/>
        <v>1</v>
      </c>
    </row>
    <row r="40" spans="1:29" ht="15">
      <c r="A40" s="472"/>
      <c r="B40" s="422"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65"/>
      <c r="Q40" s="1808" t="str">
        <f t="shared" si="11"/>
        <v>房型</v>
      </c>
      <c r="R40" s="774" t="s">
        <v>21</v>
      </c>
      <c r="S40" s="775">
        <f t="shared" si="12"/>
        <v>100</v>
      </c>
      <c r="T40" s="774" t="s">
        <v>21</v>
      </c>
      <c r="U40" s="775">
        <f t="shared" si="13"/>
        <v>100</v>
      </c>
      <c r="V40" s="774" t="s">
        <v>21</v>
      </c>
      <c r="W40" s="775">
        <f t="shared" si="14"/>
        <v>100</v>
      </c>
      <c r="X40" s="1811"/>
      <c r="Y40" s="3467"/>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65"/>
      <c r="Q41" s="776" t="str">
        <f t="shared" si="11"/>
        <v>单套/主力户型建筑面积</v>
      </c>
      <c r="R41" s="777" t="s">
        <v>21</v>
      </c>
      <c r="S41" s="778">
        <f t="shared" si="12"/>
        <v>100</v>
      </c>
      <c r="T41" s="777" t="s">
        <v>21</v>
      </c>
      <c r="U41" s="778">
        <f t="shared" si="13"/>
        <v>100</v>
      </c>
      <c r="V41" s="777" t="s">
        <v>21</v>
      </c>
      <c r="W41" s="778">
        <f t="shared" si="14"/>
        <v>100</v>
      </c>
      <c r="X41" s="779"/>
      <c r="Y41" s="3467"/>
      <c r="Z41" s="780" t="str">
        <f t="shared" si="18"/>
        <v>单套/主力户型建筑面积</v>
      </c>
      <c r="AA41" s="1809">
        <f t="shared" si="15"/>
        <v>1</v>
      </c>
      <c r="AB41" s="1809">
        <f t="shared" si="16"/>
        <v>1</v>
      </c>
      <c r="AC41" s="1809">
        <f t="shared" si="17"/>
        <v>1</v>
      </c>
    </row>
    <row r="42" spans="1:29" ht="15">
      <c r="A42" s="472"/>
      <c r="B42" s="422"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65"/>
      <c r="Q42" s="1808" t="str">
        <f t="shared" si="11"/>
        <v>内部装修</v>
      </c>
      <c r="R42" s="774" t="s">
        <v>21</v>
      </c>
      <c r="S42" s="775">
        <f t="shared" si="12"/>
        <v>100</v>
      </c>
      <c r="T42" s="774" t="s">
        <v>21</v>
      </c>
      <c r="U42" s="775">
        <f t="shared" si="13"/>
        <v>100</v>
      </c>
      <c r="V42" s="774" t="s">
        <v>21</v>
      </c>
      <c r="W42" s="775">
        <f t="shared" si="14"/>
        <v>100</v>
      </c>
      <c r="X42" s="1811"/>
      <c r="Y42" s="3467"/>
      <c r="Z42" s="1812" t="str">
        <f t="shared" si="18"/>
        <v>内部装修</v>
      </c>
      <c r="AA42" s="1809">
        <f t="shared" si="15"/>
        <v>1</v>
      </c>
      <c r="AB42" s="1809">
        <f t="shared" si="16"/>
        <v>1</v>
      </c>
      <c r="AC42" s="1809">
        <f t="shared" si="17"/>
        <v>1</v>
      </c>
    </row>
    <row r="43" spans="1:29" ht="15.75" thickBot="1">
      <c r="A43" s="472"/>
      <c r="B43" s="422"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65"/>
      <c r="Q43" s="1808" t="str">
        <f t="shared" si="11"/>
        <v>内部装修维护情况</v>
      </c>
      <c r="R43" s="774" t="s">
        <v>21</v>
      </c>
      <c r="S43" s="775">
        <f t="shared" si="12"/>
        <v>100</v>
      </c>
      <c r="T43" s="774" t="s">
        <v>21</v>
      </c>
      <c r="U43" s="775">
        <f t="shared" si="13"/>
        <v>100</v>
      </c>
      <c r="V43" s="774" t="s">
        <v>21</v>
      </c>
      <c r="W43" s="775">
        <f t="shared" si="14"/>
        <v>100</v>
      </c>
      <c r="X43" s="1811"/>
      <c r="Y43" s="3467"/>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65"/>
      <c r="Q44" s="1793">
        <f t="shared" si="11"/>
        <v>111</v>
      </c>
      <c r="R44" s="770" t="s">
        <v>21</v>
      </c>
      <c r="S44" s="771">
        <f t="shared" si="12"/>
        <v>100</v>
      </c>
      <c r="T44" s="770" t="s">
        <v>21</v>
      </c>
      <c r="U44" s="771">
        <f t="shared" si="13"/>
        <v>100</v>
      </c>
      <c r="V44" s="770" t="s">
        <v>21</v>
      </c>
      <c r="W44" s="771">
        <f t="shared" si="14"/>
        <v>100</v>
      </c>
      <c r="X44" s="772"/>
      <c r="Y44" s="3467"/>
      <c r="Z44" s="55">
        <f t="shared" si="18"/>
        <v>111</v>
      </c>
      <c r="AA44" s="773">
        <f t="shared" si="15"/>
        <v>1</v>
      </c>
      <c r="AB44" s="773">
        <f t="shared" si="16"/>
        <v>1</v>
      </c>
      <c r="AC44" s="773">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65"/>
      <c r="Q45" s="1808">
        <f t="shared" si="11"/>
        <v>111</v>
      </c>
      <c r="R45" s="774" t="s">
        <v>21</v>
      </c>
      <c r="S45" s="775">
        <f t="shared" si="12"/>
        <v>100</v>
      </c>
      <c r="T45" s="774" t="s">
        <v>21</v>
      </c>
      <c r="U45" s="775">
        <f t="shared" si="13"/>
        <v>100</v>
      </c>
      <c r="V45" s="774" t="s">
        <v>21</v>
      </c>
      <c r="W45" s="775">
        <f t="shared" si="14"/>
        <v>100</v>
      </c>
      <c r="X45" s="1811"/>
      <c r="Y45" s="3467"/>
      <c r="Z45" s="1812">
        <f t="shared" si="18"/>
        <v>111</v>
      </c>
      <c r="AA45" s="1809">
        <f t="shared" si="15"/>
        <v>1</v>
      </c>
      <c r="AB45" s="1809">
        <f t="shared" si="16"/>
        <v>1</v>
      </c>
      <c r="AC45" s="1809">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66"/>
      <c r="Q46" s="1808">
        <f t="shared" si="11"/>
        <v>111</v>
      </c>
      <c r="R46" s="774" t="s">
        <v>20</v>
      </c>
      <c r="S46" s="775">
        <f t="shared" si="12"/>
        <v>100</v>
      </c>
      <c r="T46" s="774" t="s">
        <v>20</v>
      </c>
      <c r="U46" s="775">
        <f t="shared" si="13"/>
        <v>100</v>
      </c>
      <c r="V46" s="774" t="s">
        <v>20</v>
      </c>
      <c r="W46" s="775">
        <f t="shared" si="14"/>
        <v>100</v>
      </c>
      <c r="X46" s="1811"/>
      <c r="Y46" s="3468"/>
      <c r="Z46" s="1812">
        <f t="shared" si="18"/>
        <v>111</v>
      </c>
      <c r="AA46" s="1809">
        <f t="shared" si="15"/>
        <v>1</v>
      </c>
      <c r="AB46" s="1809">
        <f t="shared" si="16"/>
        <v>1</v>
      </c>
      <c r="AC46" s="1809">
        <f t="shared" si="17"/>
        <v>1</v>
      </c>
    </row>
    <row r="47" spans="1:29" ht="15">
      <c r="A47" s="479" t="s">
        <v>2566</v>
      </c>
      <c r="B47" s="480"/>
      <c r="C47" s="1406" t="s">
        <v>19</v>
      </c>
      <c r="D47" s="1407"/>
      <c r="E47" s="1408">
        <f>市场案例!D4</f>
        <v>77002</v>
      </c>
      <c r="F47" s="1409"/>
      <c r="G47" s="1410">
        <f>市场案例!E4</f>
        <v>75406</v>
      </c>
      <c r="H47" s="1411"/>
      <c r="I47" s="1408">
        <f>市场案例!F4</f>
        <v>77834</v>
      </c>
      <c r="J47" s="1411"/>
      <c r="K47" s="2610"/>
      <c r="L47" s="1142"/>
      <c r="M47" s="1143"/>
      <c r="N47" s="1130"/>
      <c r="O47" s="1143"/>
      <c r="P47" s="3459" t="str">
        <f>A47</f>
        <v>成交单价（元/平方米）</v>
      </c>
      <c r="Q47" s="3459"/>
      <c r="R47" s="3460">
        <f>E47</f>
        <v>77002</v>
      </c>
      <c r="S47" s="3460"/>
      <c r="T47" s="3460">
        <f>G47</f>
        <v>75406</v>
      </c>
      <c r="U47" s="3460"/>
      <c r="V47" s="3460">
        <f>I47</f>
        <v>77834</v>
      </c>
      <c r="W47" s="3460"/>
      <c r="X47" s="759"/>
      <c r="Y47" s="781"/>
      <c r="Z47" s="759"/>
      <c r="AA47" s="759"/>
      <c r="AB47" s="759"/>
      <c r="AC47" s="759"/>
    </row>
    <row r="48" spans="1:29" ht="15.75" thickBot="1">
      <c r="A48" s="486" t="s">
        <v>2567</v>
      </c>
      <c r="B48" s="487"/>
      <c r="C48" s="1412">
        <f>R49</f>
        <v>78683</v>
      </c>
      <c r="D48" s="1413"/>
      <c r="E48" s="1414">
        <f>R48</f>
        <v>73335</v>
      </c>
      <c r="F48" s="1414"/>
      <c r="G48" s="1412">
        <f>T48</f>
        <v>75406</v>
      </c>
      <c r="H48" s="1413"/>
      <c r="I48" s="1414">
        <f>V48</f>
        <v>87309</v>
      </c>
      <c r="J48" s="1413"/>
      <c r="K48" s="2611"/>
      <c r="L48" s="1142"/>
      <c r="M48" s="1143"/>
      <c r="N48" s="1143"/>
      <c r="O48" s="1143"/>
      <c r="P48" s="3459" t="str">
        <f>A48</f>
        <v>比较价值（元/平方米）</v>
      </c>
      <c r="Q48" s="3459"/>
      <c r="R48" s="3460">
        <f>IF(F1="售价",ROUND(PRODUCT(R47,AA7:AA46),0),ROUND(PRODUCT(R47,AA7:AA46),1))</f>
        <v>73335</v>
      </c>
      <c r="S48" s="3460"/>
      <c r="T48" s="3460">
        <f>IF(F1="售价",ROUND(PRODUCT(T47,AB7:AB46),0),ROUND(PRODUCT(T47,AB7:AB46),1))</f>
        <v>75406</v>
      </c>
      <c r="U48" s="3460"/>
      <c r="V48" s="3460">
        <f>IF(F1="售价",ROUND(PRODUCT(V47,AC7:AC46),0),ROUND(PRODUCT(V47,AC7:AC46),1))</f>
        <v>87309</v>
      </c>
      <c r="W48" s="3460"/>
      <c r="X48" s="759"/>
      <c r="Y48" s="759"/>
      <c r="Z48" s="759"/>
      <c r="AA48" s="759"/>
      <c r="AB48" s="759"/>
      <c r="AC48" s="759"/>
    </row>
    <row r="49" spans="1:29" ht="15.75" thickBot="1">
      <c r="A49" s="492" t="s">
        <v>2568</v>
      </c>
      <c r="B49" s="493"/>
      <c r="C49" s="1415">
        <f>R49</f>
        <v>78683</v>
      </c>
      <c r="D49" s="1416"/>
      <c r="E49" s="1416"/>
      <c r="F49" s="1416"/>
      <c r="G49" s="1416"/>
      <c r="H49" s="1416"/>
      <c r="I49" s="1416"/>
      <c r="J49" s="1416"/>
      <c r="K49" s="2612"/>
      <c r="L49" s="1142"/>
      <c r="M49" s="1143"/>
      <c r="N49" s="1143"/>
      <c r="O49" s="1143"/>
      <c r="P49" s="3461" t="str">
        <f>A49</f>
        <v>估价对象XX用房的比较价值（楼面单价，元/平方米）</v>
      </c>
      <c r="Q49" s="3462"/>
      <c r="R49" s="3463">
        <f>IF(F1="售价",ROUND(AVERAGE(R48:V48),0),ROUND(AVERAGE(R48:V48),1))</f>
        <v>78683</v>
      </c>
      <c r="S49" s="3463"/>
      <c r="T49" s="3463"/>
      <c r="U49" s="3463"/>
      <c r="V49" s="3463"/>
      <c r="W49" s="346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5.0003409013431588E-2</v>
      </c>
      <c r="F52" s="500" t="str">
        <f>IF(OR(E52&gt;=0.3,E52&lt;=-0.3),"超过30%","")</f>
        <v/>
      </c>
      <c r="G52" s="499">
        <f>IF(G47&lt;G48,G48/G47-1,G47/G48-1)</f>
        <v>0</v>
      </c>
      <c r="H52" s="500" t="str">
        <f>IF(OR(G52&gt;=0.3,G52&lt;=-0.3),"超过30%","")</f>
        <v/>
      </c>
      <c r="I52" s="499">
        <f>IF(I47&lt;I48,I48/I47-1,I47/I48-1)</f>
        <v>0.12173343269008408</v>
      </c>
      <c r="J52" s="500" t="str">
        <f>IF(OR(I52&gt;=0.3,I52&lt;=-0.3),"超过30%","")</f>
        <v/>
      </c>
      <c r="K52" s="1104"/>
      <c r="L52" s="1105"/>
      <c r="M52" s="1143"/>
      <c r="N52" s="1143"/>
      <c r="O52" s="1143"/>
    </row>
    <row r="53" spans="1:29" ht="13.5" customHeight="1">
      <c r="A53" s="1143"/>
      <c r="B53" s="1143"/>
      <c r="C53" s="497" t="s">
        <v>2570</v>
      </c>
      <c r="D53" s="501"/>
      <c r="E53" s="499">
        <f>IF(E48&lt;G48,G48/E48-1,E48/G48-1)</f>
        <v>2.8240267266653074E-2</v>
      </c>
      <c r="F53" s="500" t="str">
        <f>IF(OR(E53&gt;=0.2,E53&lt;=-0.2),"超过20%","")</f>
        <v/>
      </c>
      <c r="G53" s="499">
        <f>IF(G48&lt;I48,I48/G48-1,G48/I48-1)</f>
        <v>0.15785216030554605</v>
      </c>
      <c r="H53" s="500" t="str">
        <f>IF(OR(G53&gt;=0.2,G53&lt;=-0.2),"超过20%","")</f>
        <v/>
      </c>
      <c r="I53" s="499">
        <f>IF(I48&lt;E48,E48/I48-1,I48/E48-1)</f>
        <v>0.19055021476784617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2.1165424502028962E-2</v>
      </c>
      <c r="F54" s="500" t="str">
        <f>IF(OR(E54&gt;=0.3,E54&lt;=-0.3),"超过30%","")</f>
        <v/>
      </c>
      <c r="G54" s="499">
        <f>IF(G47&lt;I47,I47/G47-1,G47/I47-1)</f>
        <v>3.2199029254966538E-2</v>
      </c>
      <c r="H54" s="500" t="str">
        <f>IF(OR(G54&gt;=0.3,G54&lt;=-0.3),"超过30%","")</f>
        <v/>
      </c>
      <c r="I54" s="499">
        <f>IF(I47&lt;E47,E47/I47-1,I47/E47-1)</f>
        <v>1.080491415807372E-2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2573</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3646</v>
      </c>
      <c r="D88" s="3250" t="s">
        <v>3648</v>
      </c>
      <c r="E88" s="3250" t="s">
        <v>3650</v>
      </c>
      <c r="F88" s="3251" t="s">
        <v>3644</v>
      </c>
      <c r="G88" s="3250" t="s">
        <v>3652</v>
      </c>
      <c r="H88" s="3250" t="s">
        <v>3653</v>
      </c>
      <c r="I88" s="3250"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3641</v>
      </c>
      <c r="D90" s="3250" t="s">
        <v>3642</v>
      </c>
      <c r="E90" s="3250"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3659</v>
      </c>
      <c r="D100" s="3255"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3661</v>
      </c>
      <c r="D122" s="3250" t="s">
        <v>3662</v>
      </c>
      <c r="E122" s="3250" t="s">
        <v>3663</v>
      </c>
      <c r="F122" s="3256"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7"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252790</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102146</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1" t="s">
        <v>2525</v>
      </c>
      <c r="D4" s="3492"/>
      <c r="E4" s="3493" t="s">
        <v>2526</v>
      </c>
      <c r="F4" s="3494"/>
      <c r="G4" s="3491" t="s">
        <v>2527</v>
      </c>
      <c r="H4" s="3492"/>
      <c r="I4" s="3491" t="s">
        <v>2528</v>
      </c>
      <c r="J4" s="3492"/>
      <c r="K4" s="2585" t="s">
        <v>2529</v>
      </c>
      <c r="L4" s="1129"/>
      <c r="M4" s="1130"/>
      <c r="N4" s="1130"/>
      <c r="O4" s="1130"/>
      <c r="P4" s="3495" t="s">
        <v>2530</v>
      </c>
      <c r="Q4" s="3496"/>
      <c r="R4" s="3481" t="s">
        <v>2526</v>
      </c>
      <c r="S4" s="3482"/>
      <c r="T4" s="3481" t="s">
        <v>2527</v>
      </c>
      <c r="U4" s="3482"/>
      <c r="V4" s="3487" t="s">
        <v>2528</v>
      </c>
      <c r="W4" s="3487"/>
      <c r="X4" s="2999"/>
      <c r="Y4" s="3481" t="s">
        <v>2530</v>
      </c>
      <c r="Z4" s="3482"/>
      <c r="AA4" s="3488" t="s">
        <v>2526</v>
      </c>
      <c r="AB4" s="3488" t="s">
        <v>2527</v>
      </c>
      <c r="AC4" s="3488" t="s">
        <v>2528</v>
      </c>
    </row>
    <row r="5" spans="1:29" ht="15">
      <c r="A5" s="404"/>
      <c r="B5" s="405"/>
      <c r="C5" s="3501" t="s">
        <v>3665</v>
      </c>
      <c r="D5" s="3502"/>
      <c r="E5" s="3503" t="s">
        <v>3666</v>
      </c>
      <c r="F5" s="3504"/>
      <c r="G5" s="3501" t="str">
        <f>E5</f>
        <v>棕榈泉</v>
      </c>
      <c r="H5" s="3502"/>
      <c r="I5" s="3505" t="str">
        <f>E5</f>
        <v>棕榈泉</v>
      </c>
      <c r="J5" s="3502"/>
      <c r="K5" s="2586"/>
      <c r="L5" s="1129"/>
      <c r="M5" s="1130"/>
      <c r="N5" s="1130"/>
      <c r="O5" s="1130"/>
      <c r="P5" s="3497"/>
      <c r="Q5" s="3498"/>
      <c r="R5" s="3483"/>
      <c r="S5" s="3484"/>
      <c r="T5" s="3483"/>
      <c r="U5" s="3484"/>
      <c r="V5" s="3487"/>
      <c r="W5" s="3487"/>
      <c r="X5" s="2999"/>
      <c r="Y5" s="3483"/>
      <c r="Z5" s="3484"/>
      <c r="AA5" s="3489"/>
      <c r="AB5" s="3489"/>
      <c r="AC5" s="3489"/>
    </row>
    <row r="6" spans="1:29" ht="15.75" thickBot="1">
      <c r="A6" s="406"/>
      <c r="B6" s="407"/>
      <c r="C6" s="3476" t="s">
        <v>2535</v>
      </c>
      <c r="D6" s="3477"/>
      <c r="E6" s="3478" t="s">
        <v>2535</v>
      </c>
      <c r="F6" s="3479"/>
      <c r="G6" s="3476" t="s">
        <v>2535</v>
      </c>
      <c r="H6" s="3477"/>
      <c r="I6" s="3476" t="s">
        <v>2535</v>
      </c>
      <c r="J6" s="3477"/>
      <c r="K6" s="2586" t="s">
        <v>2536</v>
      </c>
      <c r="L6" s="1129"/>
      <c r="M6" s="1130"/>
      <c r="N6" s="1130"/>
      <c r="O6" s="1130"/>
      <c r="P6" s="3499"/>
      <c r="Q6" s="3500"/>
      <c r="R6" s="3483"/>
      <c r="S6" s="3484"/>
      <c r="T6" s="3485"/>
      <c r="U6" s="3486"/>
      <c r="V6" s="3487"/>
      <c r="W6" s="3487"/>
      <c r="X6" s="2999"/>
      <c r="Y6" s="3485"/>
      <c r="Z6" s="3486"/>
      <c r="AA6" s="3490"/>
      <c r="AB6" s="3490"/>
      <c r="AC6" s="3490"/>
    </row>
    <row r="7" spans="1:29" s="117" customFormat="1" ht="15.75" thickBot="1">
      <c r="A7" s="408" t="s">
        <v>2537</v>
      </c>
      <c r="B7" s="409"/>
      <c r="C7" s="410">
        <f>'数据-取费表'!B2</f>
        <v>43670</v>
      </c>
      <c r="D7" s="411">
        <v>100</v>
      </c>
      <c r="E7" s="412">
        <f>市场案例!D11</f>
        <v>43617</v>
      </c>
      <c r="F7" s="413">
        <f>SUMIF(58:58,YEAR(E7)&amp;"-"&amp;MONTH(E7),59:59)</f>
        <v>100</v>
      </c>
      <c r="G7" s="412">
        <f>市场案例!E11</f>
        <v>43617</v>
      </c>
      <c r="H7" s="411">
        <f>SUMIF(58:58,YEAR(G7)&amp;"-"&amp;MONTH(G7),59:59)</f>
        <v>100</v>
      </c>
      <c r="I7" s="412">
        <f>市场案例!F11</f>
        <v>43586</v>
      </c>
      <c r="J7" s="411">
        <f>SUMIF(58:58,YEAR(I7)&amp;"-"&amp;MONTH(I7),59:59)</f>
        <v>100</v>
      </c>
      <c r="K7" s="2587"/>
      <c r="L7" s="1131"/>
      <c r="M7" s="1132"/>
      <c r="N7" s="1132"/>
      <c r="O7" s="1132"/>
      <c r="P7" s="3469" t="s">
        <v>2538</v>
      </c>
      <c r="Q7" s="3480"/>
      <c r="R7" s="770" t="s">
        <v>23</v>
      </c>
      <c r="S7" s="771">
        <f t="shared" ref="S7:S15" si="0">F7</f>
        <v>100</v>
      </c>
      <c r="T7" s="770" t="s">
        <v>23</v>
      </c>
      <c r="U7" s="771">
        <f t="shared" ref="U7:U15" si="1">H7</f>
        <v>100</v>
      </c>
      <c r="V7" s="770" t="s">
        <v>23</v>
      </c>
      <c r="W7" s="771">
        <f t="shared" ref="W7:W15" si="2">J7</f>
        <v>100</v>
      </c>
      <c r="X7" s="772"/>
      <c r="Y7" s="3469" t="s">
        <v>2538</v>
      </c>
      <c r="Z7" s="3470"/>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69" t="s">
        <v>2541</v>
      </c>
      <c r="Q8" s="3470"/>
      <c r="R8" s="770" t="s">
        <v>23</v>
      </c>
      <c r="S8" s="771">
        <f t="shared" si="0"/>
        <v>100</v>
      </c>
      <c r="T8" s="770" t="s">
        <v>23</v>
      </c>
      <c r="U8" s="771">
        <f t="shared" si="1"/>
        <v>100</v>
      </c>
      <c r="V8" s="770" t="s">
        <v>23</v>
      </c>
      <c r="W8" s="771">
        <f t="shared" si="2"/>
        <v>100</v>
      </c>
      <c r="X8" s="772"/>
      <c r="Y8" s="3469" t="s">
        <v>2541</v>
      </c>
      <c r="Z8" s="3470"/>
      <c r="AA8" s="773">
        <f t="shared" ref="AA8:AA19" si="3">D8/F8</f>
        <v>1</v>
      </c>
      <c r="AB8" s="773">
        <f t="shared" ref="AB8:AB19" si="4">D8/H8</f>
        <v>1</v>
      </c>
      <c r="AC8" s="773">
        <f t="shared" ref="AC8:AC19" si="5">D8/J8</f>
        <v>1</v>
      </c>
    </row>
    <row r="9" spans="1:29" s="117" customFormat="1">
      <c r="A9" s="415" t="s">
        <v>2542</v>
      </c>
      <c r="B9" s="71" t="s">
        <v>2543</v>
      </c>
      <c r="C9" s="3249"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71" t="s">
        <v>2544</v>
      </c>
      <c r="Q9" s="2993" t="str">
        <f t="shared" ref="Q9:Q15" si="6">B9</f>
        <v>用途</v>
      </c>
      <c r="R9" s="770" t="s">
        <v>17</v>
      </c>
      <c r="S9" s="771">
        <f t="shared" si="0"/>
        <v>100</v>
      </c>
      <c r="T9" s="770" t="s">
        <v>17</v>
      </c>
      <c r="U9" s="771">
        <f t="shared" si="1"/>
        <v>100</v>
      </c>
      <c r="V9" s="770" t="s">
        <v>17</v>
      </c>
      <c r="W9" s="771">
        <f t="shared" si="2"/>
        <v>100</v>
      </c>
      <c r="X9" s="772"/>
      <c r="Y9" s="3317" t="s">
        <v>2545</v>
      </c>
      <c r="Z9" s="2994" t="str">
        <f t="shared" ref="Z9:Z15" si="7">Q9</f>
        <v>用途</v>
      </c>
      <c r="AA9" s="773">
        <f t="shared" si="3"/>
        <v>1</v>
      </c>
      <c r="AB9" s="773">
        <f t="shared" si="4"/>
        <v>1</v>
      </c>
      <c r="AC9" s="773">
        <f t="shared" si="5"/>
        <v>1</v>
      </c>
    </row>
    <row r="10" spans="1:29" s="427" customFormat="1" ht="27">
      <c r="A10" s="421"/>
      <c r="B10" s="2995" t="s">
        <v>2546</v>
      </c>
      <c r="C10" s="423" t="s">
        <v>3639</v>
      </c>
      <c r="D10" s="136">
        <v>100</v>
      </c>
      <c r="E10" s="424" t="s">
        <v>3639</v>
      </c>
      <c r="F10" s="425">
        <f>SUMIF(65:65,E10,66:66)-SUMIF(65:65,C10,66:66)+100</f>
        <v>100</v>
      </c>
      <c r="G10" s="423" t="s">
        <v>3639</v>
      </c>
      <c r="H10" s="136">
        <f>SUMIF(65:65,G10,66:66)-SUMIF(65:65,C10,66:66)+100</f>
        <v>100</v>
      </c>
      <c r="I10" s="423" t="s">
        <v>3639</v>
      </c>
      <c r="J10" s="136">
        <f>SUMIF(65:65,I10,66:66)-SUMIF(65:65,C10,66:66)+100</f>
        <v>100</v>
      </c>
      <c r="K10" s="426">
        <v>2</v>
      </c>
      <c r="L10" s="1134"/>
      <c r="M10" s="1135"/>
      <c r="N10" s="1135"/>
      <c r="O10" s="1135"/>
      <c r="P10" s="3471"/>
      <c r="Q10" s="2993" t="str">
        <f t="shared" si="6"/>
        <v>土地使用年限（年）</v>
      </c>
      <c r="R10" s="770" t="s">
        <v>17</v>
      </c>
      <c r="S10" s="771">
        <f t="shared" si="0"/>
        <v>100</v>
      </c>
      <c r="T10" s="770" t="s">
        <v>17</v>
      </c>
      <c r="U10" s="771">
        <f t="shared" si="1"/>
        <v>100</v>
      </c>
      <c r="V10" s="770" t="s">
        <v>17</v>
      </c>
      <c r="W10" s="771">
        <f t="shared" si="2"/>
        <v>100</v>
      </c>
      <c r="X10" s="772"/>
      <c r="Y10" s="3317"/>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71"/>
      <c r="Q11" s="2993" t="str">
        <f t="shared" si="6"/>
        <v>容积率</v>
      </c>
      <c r="R11" s="770" t="s">
        <v>21</v>
      </c>
      <c r="S11" s="771">
        <f t="shared" si="0"/>
        <v>100</v>
      </c>
      <c r="T11" s="770" t="s">
        <v>21</v>
      </c>
      <c r="U11" s="771">
        <f t="shared" si="1"/>
        <v>100</v>
      </c>
      <c r="V11" s="770" t="s">
        <v>21</v>
      </c>
      <c r="W11" s="771">
        <f t="shared" si="2"/>
        <v>100</v>
      </c>
      <c r="X11" s="772"/>
      <c r="Y11" s="3317"/>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71"/>
      <c r="Q12" s="2993">
        <f t="shared" si="6"/>
        <v>111</v>
      </c>
      <c r="R12" s="770" t="s">
        <v>21</v>
      </c>
      <c r="S12" s="771">
        <f t="shared" si="0"/>
        <v>100</v>
      </c>
      <c r="T12" s="770" t="s">
        <v>21</v>
      </c>
      <c r="U12" s="771">
        <f t="shared" si="1"/>
        <v>100</v>
      </c>
      <c r="V12" s="770" t="s">
        <v>21</v>
      </c>
      <c r="W12" s="771">
        <f t="shared" si="2"/>
        <v>100</v>
      </c>
      <c r="X12" s="772"/>
      <c r="Y12" s="3317"/>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71"/>
      <c r="Q13" s="2993">
        <f t="shared" si="6"/>
        <v>111</v>
      </c>
      <c r="R13" s="770" t="s">
        <v>21</v>
      </c>
      <c r="S13" s="771">
        <f t="shared" si="0"/>
        <v>100</v>
      </c>
      <c r="T13" s="770" t="s">
        <v>21</v>
      </c>
      <c r="U13" s="771">
        <f t="shared" si="1"/>
        <v>100</v>
      </c>
      <c r="V13" s="770" t="s">
        <v>21</v>
      </c>
      <c r="W13" s="771">
        <f t="shared" si="2"/>
        <v>100</v>
      </c>
      <c r="X13" s="772"/>
      <c r="Y13" s="3317"/>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71"/>
      <c r="Q14" s="2993">
        <f t="shared" si="6"/>
        <v>111</v>
      </c>
      <c r="R14" s="770" t="s">
        <v>21</v>
      </c>
      <c r="S14" s="771">
        <f t="shared" si="0"/>
        <v>100</v>
      </c>
      <c r="T14" s="770" t="s">
        <v>21</v>
      </c>
      <c r="U14" s="771">
        <f t="shared" si="1"/>
        <v>100</v>
      </c>
      <c r="V14" s="770" t="s">
        <v>21</v>
      </c>
      <c r="W14" s="771">
        <f t="shared" si="2"/>
        <v>100</v>
      </c>
      <c r="X14" s="772"/>
      <c r="Y14" s="3317"/>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72" t="s">
        <v>2549</v>
      </c>
      <c r="Q15" s="2997" t="str">
        <f t="shared" si="6"/>
        <v>居住社区成熟度</v>
      </c>
      <c r="R15" s="774" t="s">
        <v>21</v>
      </c>
      <c r="S15" s="775">
        <f t="shared" si="0"/>
        <v>100</v>
      </c>
      <c r="T15" s="774" t="s">
        <v>21</v>
      </c>
      <c r="U15" s="775">
        <f t="shared" si="1"/>
        <v>100</v>
      </c>
      <c r="V15" s="774" t="s">
        <v>21</v>
      </c>
      <c r="W15" s="775">
        <f t="shared" si="2"/>
        <v>100</v>
      </c>
      <c r="X15" s="2999"/>
      <c r="Y15" s="3474" t="s">
        <v>2549</v>
      </c>
      <c r="Z15" s="3000" t="str">
        <f t="shared" si="7"/>
        <v>居住社区成熟度</v>
      </c>
      <c r="AA15" s="2998">
        <f t="shared" si="3"/>
        <v>1</v>
      </c>
      <c r="AB15" s="2998">
        <f t="shared" si="4"/>
        <v>1</v>
      </c>
      <c r="AC15" s="2998">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73"/>
      <c r="Q16" s="2997"/>
      <c r="R16" s="774"/>
      <c r="S16" s="775"/>
      <c r="T16" s="774"/>
      <c r="U16" s="775"/>
      <c r="V16" s="774"/>
      <c r="W16" s="775"/>
      <c r="X16" s="2999"/>
      <c r="Y16" s="3475"/>
      <c r="Z16" s="3000"/>
      <c r="AA16" s="2998">
        <v>1</v>
      </c>
      <c r="AB16" s="2998">
        <v>1</v>
      </c>
      <c r="AC16" s="2998">
        <v>1</v>
      </c>
    </row>
    <row r="17" spans="1:29" ht="15">
      <c r="A17" s="428"/>
      <c r="B17" s="3259"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73"/>
      <c r="Q17" s="2997" t="str">
        <f>B17</f>
        <v>交通便捷度</v>
      </c>
      <c r="R17" s="774" t="s">
        <v>21</v>
      </c>
      <c r="S17" s="775">
        <f>F17</f>
        <v>100</v>
      </c>
      <c r="T17" s="774" t="s">
        <v>21</v>
      </c>
      <c r="U17" s="775">
        <f>H17</f>
        <v>100</v>
      </c>
      <c r="V17" s="774" t="s">
        <v>21</v>
      </c>
      <c r="W17" s="775">
        <f>J17</f>
        <v>102</v>
      </c>
      <c r="X17" s="2999"/>
      <c r="Y17" s="3475"/>
      <c r="Z17" s="3000" t="str">
        <f>Q17</f>
        <v>交通便捷度</v>
      </c>
      <c r="AA17" s="2998">
        <f t="shared" si="3"/>
        <v>1</v>
      </c>
      <c r="AB17" s="2998">
        <f t="shared" si="4"/>
        <v>1</v>
      </c>
      <c r="AC17" s="2998">
        <f t="shared" si="5"/>
        <v>0.98039215686274506</v>
      </c>
    </row>
    <row r="18" spans="1:29" ht="15">
      <c r="A18" s="428"/>
      <c r="B18" s="456"/>
      <c r="C18" s="2597" t="s">
        <v>3108</v>
      </c>
      <c r="D18" s="450"/>
      <c r="E18" s="2598" t="s">
        <v>3108</v>
      </c>
      <c r="F18" s="450"/>
      <c r="G18" s="2599" t="s">
        <v>3108</v>
      </c>
      <c r="H18" s="448"/>
      <c r="I18" s="2599" t="s">
        <v>3109</v>
      </c>
      <c r="J18" s="448"/>
      <c r="K18" s="2595"/>
      <c r="L18" s="1139"/>
      <c r="M18" s="1130"/>
      <c r="N18" s="1130"/>
      <c r="O18" s="1130"/>
      <c r="P18" s="3473"/>
      <c r="Q18" s="2997"/>
      <c r="R18" s="774"/>
      <c r="S18" s="775"/>
      <c r="T18" s="774"/>
      <c r="U18" s="775"/>
      <c r="V18" s="774"/>
      <c r="W18" s="775"/>
      <c r="X18" s="2999"/>
      <c r="Y18" s="3475"/>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3"/>
      <c r="Q19" s="2997" t="str">
        <f>B19</f>
        <v>公共配套设施</v>
      </c>
      <c r="R19" s="774" t="s">
        <v>21</v>
      </c>
      <c r="S19" s="775">
        <f>F19</f>
        <v>100</v>
      </c>
      <c r="T19" s="774" t="s">
        <v>21</v>
      </c>
      <c r="U19" s="775">
        <f>H19</f>
        <v>100</v>
      </c>
      <c r="V19" s="774" t="s">
        <v>21</v>
      </c>
      <c r="W19" s="775">
        <f>J19</f>
        <v>100</v>
      </c>
      <c r="X19" s="2999"/>
      <c r="Y19" s="3475"/>
      <c r="Z19" s="3000" t="str">
        <f>Q19</f>
        <v>公共配套设施</v>
      </c>
      <c r="AA19" s="2998">
        <f t="shared" si="3"/>
        <v>1</v>
      </c>
      <c r="AB19" s="2998">
        <f t="shared" si="4"/>
        <v>1</v>
      </c>
      <c r="AC19" s="2998">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73"/>
      <c r="Q20" s="2997"/>
      <c r="R20" s="774"/>
      <c r="S20" s="775"/>
      <c r="T20" s="774"/>
      <c r="U20" s="775"/>
      <c r="V20" s="774"/>
      <c r="W20" s="775"/>
      <c r="X20" s="2999"/>
      <c r="Y20" s="3475"/>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3"/>
      <c r="Q21" s="2997" t="str">
        <f>B21</f>
        <v>基础设施水平</v>
      </c>
      <c r="R21" s="774" t="s">
        <v>17</v>
      </c>
      <c r="S21" s="775">
        <f>F21</f>
        <v>100</v>
      </c>
      <c r="T21" s="774" t="s">
        <v>17</v>
      </c>
      <c r="U21" s="775">
        <f>H21</f>
        <v>100</v>
      </c>
      <c r="V21" s="774" t="s">
        <v>17</v>
      </c>
      <c r="W21" s="775">
        <f>J21</f>
        <v>100</v>
      </c>
      <c r="X21" s="2999"/>
      <c r="Y21" s="3475"/>
      <c r="Z21" s="3000" t="str">
        <f>Q21</f>
        <v>基础设施水平</v>
      </c>
      <c r="AA21" s="2998">
        <f t="shared" ref="AA21" si="8">D21/F21</f>
        <v>1</v>
      </c>
      <c r="AB21" s="2998">
        <f t="shared" ref="AB21" si="9">D21/H21</f>
        <v>1</v>
      </c>
      <c r="AC21" s="2998">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73"/>
      <c r="Q22" s="2997"/>
      <c r="R22" s="774"/>
      <c r="S22" s="775"/>
      <c r="T22" s="774"/>
      <c r="U22" s="775"/>
      <c r="V22" s="774"/>
      <c r="W22" s="775"/>
      <c r="X22" s="2999"/>
      <c r="Y22" s="3475"/>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3"/>
      <c r="Q23" s="2997" t="str">
        <f>B23</f>
        <v>自然及人文环境</v>
      </c>
      <c r="R23" s="774" t="s">
        <v>21</v>
      </c>
      <c r="S23" s="775">
        <f>F23</f>
        <v>100</v>
      </c>
      <c r="T23" s="774" t="s">
        <v>21</v>
      </c>
      <c r="U23" s="775">
        <f>H23</f>
        <v>100</v>
      </c>
      <c r="V23" s="774" t="s">
        <v>21</v>
      </c>
      <c r="W23" s="775">
        <f>J23</f>
        <v>100</v>
      </c>
      <c r="X23" s="2999"/>
      <c r="Y23" s="3475"/>
      <c r="Z23" s="3000" t="str">
        <f>Q23</f>
        <v>自然及人文环境</v>
      </c>
      <c r="AA23" s="2998">
        <f>D23/F23</f>
        <v>1</v>
      </c>
      <c r="AB23" s="2998">
        <f>D23/H23</f>
        <v>1</v>
      </c>
      <c r="AC23" s="2998">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73"/>
      <c r="Q24" s="2997"/>
      <c r="R24" s="774"/>
      <c r="S24" s="775"/>
      <c r="T24" s="774"/>
      <c r="U24" s="775"/>
      <c r="V24" s="774"/>
      <c r="W24" s="775"/>
      <c r="X24" s="2999"/>
      <c r="Y24" s="3475"/>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3"/>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75"/>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3645</v>
      </c>
      <c r="D26" s="435">
        <v>100</v>
      </c>
      <c r="E26" s="2602" t="s">
        <v>3645</v>
      </c>
      <c r="F26" s="435">
        <f>SUMIF(88:88,E26,89:89)-SUMIF(88:88,C26,89:89)+100</f>
        <v>100</v>
      </c>
      <c r="G26" s="2603" t="s">
        <v>3649</v>
      </c>
      <c r="H26" s="435">
        <f>SUMIF(88:88,G26,89:89)-SUMIF(88:88,C26,89:89)+100</f>
        <v>96</v>
      </c>
      <c r="I26" s="2603" t="s">
        <v>3647</v>
      </c>
      <c r="J26" s="435">
        <f>SUMIF(88:88,I26,89:89)-SUMIF(88:88,C26,89:89)+100</f>
        <v>98</v>
      </c>
      <c r="K26" s="426">
        <v>2</v>
      </c>
      <c r="L26" s="1139"/>
      <c r="M26" s="1130"/>
      <c r="N26" s="1130"/>
      <c r="O26" s="1130"/>
      <c r="P26" s="3473"/>
      <c r="Q26" s="2997" t="str">
        <f t="shared" si="11"/>
        <v>朝向</v>
      </c>
      <c r="R26" s="774" t="s">
        <v>21</v>
      </c>
      <c r="S26" s="775">
        <f t="shared" si="12"/>
        <v>100</v>
      </c>
      <c r="T26" s="774" t="s">
        <v>21</v>
      </c>
      <c r="U26" s="775">
        <f t="shared" si="13"/>
        <v>96</v>
      </c>
      <c r="V26" s="774" t="s">
        <v>21</v>
      </c>
      <c r="W26" s="775">
        <f t="shared" si="14"/>
        <v>98</v>
      </c>
      <c r="X26" s="2999"/>
      <c r="Y26" s="3475"/>
      <c r="Z26" s="3000" t="str">
        <f>Q26</f>
        <v>朝向</v>
      </c>
      <c r="AA26" s="2998">
        <f t="shared" si="15"/>
        <v>1</v>
      </c>
      <c r="AB26" s="2998">
        <f t="shared" si="16"/>
        <v>1.0416666666666667</v>
      </c>
      <c r="AC26" s="2998">
        <f t="shared" si="17"/>
        <v>1.0204081632653061</v>
      </c>
    </row>
    <row r="27" spans="1:29" s="117" customFormat="1" ht="15.75" thickBot="1">
      <c r="A27" s="431"/>
      <c r="B27" s="3258" t="s">
        <v>3655</v>
      </c>
      <c r="C27" s="3252" t="s">
        <v>3642</v>
      </c>
      <c r="D27" s="462">
        <v>100</v>
      </c>
      <c r="E27" s="3253" t="s">
        <v>3668</v>
      </c>
      <c r="F27" s="462">
        <f>SUMIF(90:90,E27,91:91)-SUMIF(90:90,C27,91:91)+100</f>
        <v>100</v>
      </c>
      <c r="G27" s="3254" t="s">
        <v>3641</v>
      </c>
      <c r="H27" s="462">
        <f>SUMIF(90:90,G27,91:91)-SUMIF(90:90,C27,91:91)+100</f>
        <v>105</v>
      </c>
      <c r="I27" s="3254" t="s">
        <v>3641</v>
      </c>
      <c r="J27" s="462">
        <f>SUMIF(90:90,I27,91:91)-SUMIF(90:90,C27,91:91)+100</f>
        <v>105</v>
      </c>
      <c r="K27" s="2590"/>
      <c r="L27" s="1131"/>
      <c r="M27" s="1132"/>
      <c r="N27" s="1132"/>
      <c r="O27" s="1132"/>
      <c r="P27" s="3473"/>
      <c r="Q27" s="2993" t="str">
        <f t="shared" si="11"/>
        <v>楼层</v>
      </c>
      <c r="R27" s="770" t="s">
        <v>21</v>
      </c>
      <c r="S27" s="771">
        <f t="shared" si="12"/>
        <v>100</v>
      </c>
      <c r="T27" s="770" t="s">
        <v>21</v>
      </c>
      <c r="U27" s="771">
        <f t="shared" si="13"/>
        <v>105</v>
      </c>
      <c r="V27" s="770" t="s">
        <v>21</v>
      </c>
      <c r="W27" s="771">
        <f t="shared" si="14"/>
        <v>105</v>
      </c>
      <c r="X27" s="772"/>
      <c r="Y27" s="3475"/>
      <c r="Z27" s="2994" t="str">
        <f>Q27</f>
        <v>楼层</v>
      </c>
      <c r="AA27" s="2998">
        <f t="shared" si="15"/>
        <v>1</v>
      </c>
      <c r="AB27" s="2998">
        <f t="shared" si="16"/>
        <v>0.95238095238095233</v>
      </c>
      <c r="AC27" s="2998">
        <f t="shared" si="17"/>
        <v>0.95238095238095233</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3"/>
      <c r="Q28" s="2997">
        <f t="shared" si="11"/>
        <v>111</v>
      </c>
      <c r="R28" s="774" t="s">
        <v>21</v>
      </c>
      <c r="S28" s="775">
        <f t="shared" si="12"/>
        <v>100</v>
      </c>
      <c r="T28" s="774" t="s">
        <v>21</v>
      </c>
      <c r="U28" s="775">
        <f t="shared" si="13"/>
        <v>100</v>
      </c>
      <c r="V28" s="774" t="s">
        <v>21</v>
      </c>
      <c r="W28" s="775">
        <f t="shared" si="14"/>
        <v>100</v>
      </c>
      <c r="X28" s="2999"/>
      <c r="Y28" s="3475"/>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3"/>
      <c r="Q29" s="2997">
        <f t="shared" si="11"/>
        <v>111</v>
      </c>
      <c r="R29" s="774" t="s">
        <v>21</v>
      </c>
      <c r="S29" s="775">
        <f t="shared" si="12"/>
        <v>100</v>
      </c>
      <c r="T29" s="774" t="s">
        <v>21</v>
      </c>
      <c r="U29" s="775">
        <f t="shared" si="13"/>
        <v>100</v>
      </c>
      <c r="V29" s="774" t="s">
        <v>21</v>
      </c>
      <c r="W29" s="775">
        <f t="shared" si="14"/>
        <v>100</v>
      </c>
      <c r="X29" s="2999"/>
      <c r="Y29" s="3475"/>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3"/>
      <c r="Q30" s="2997">
        <f t="shared" si="11"/>
        <v>111</v>
      </c>
      <c r="R30" s="774" t="s">
        <v>21</v>
      </c>
      <c r="S30" s="775">
        <f t="shared" si="12"/>
        <v>100</v>
      </c>
      <c r="T30" s="774" t="s">
        <v>21</v>
      </c>
      <c r="U30" s="775">
        <f t="shared" si="13"/>
        <v>100</v>
      </c>
      <c r="V30" s="774" t="s">
        <v>21</v>
      </c>
      <c r="W30" s="775">
        <f t="shared" si="14"/>
        <v>100</v>
      </c>
      <c r="X30" s="2999"/>
      <c r="Y30" s="3475"/>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3"/>
      <c r="Q31" s="2997">
        <f t="shared" si="11"/>
        <v>111</v>
      </c>
      <c r="R31" s="774" t="s">
        <v>21</v>
      </c>
      <c r="S31" s="775">
        <f t="shared" si="12"/>
        <v>100</v>
      </c>
      <c r="T31" s="774" t="s">
        <v>21</v>
      </c>
      <c r="U31" s="775">
        <f t="shared" si="13"/>
        <v>100</v>
      </c>
      <c r="V31" s="774" t="s">
        <v>21</v>
      </c>
      <c r="W31" s="775">
        <f t="shared" si="14"/>
        <v>100</v>
      </c>
      <c r="X31" s="2999"/>
      <c r="Y31" s="3475"/>
      <c r="Z31" s="3000">
        <f t="shared" si="18"/>
        <v>111</v>
      </c>
      <c r="AA31" s="2998">
        <f t="shared" si="15"/>
        <v>1</v>
      </c>
      <c r="AB31" s="2998">
        <f t="shared" si="16"/>
        <v>1</v>
      </c>
      <c r="AC31" s="2998">
        <f t="shared" si="17"/>
        <v>1</v>
      </c>
    </row>
    <row r="32" spans="1:29" ht="15">
      <c r="A32" s="440" t="s">
        <v>2552</v>
      </c>
      <c r="B32" s="71" t="s">
        <v>2553</v>
      </c>
      <c r="C32" s="2606" t="s">
        <v>3640</v>
      </c>
      <c r="D32" s="467">
        <v>100</v>
      </c>
      <c r="E32" s="2607" t="s">
        <v>3640</v>
      </c>
      <c r="F32" s="461">
        <f>SUMIF(100:100,E32,101:101)-SUMIF(100:100,C32,101:101)+100</f>
        <v>100</v>
      </c>
      <c r="G32" s="2607" t="s">
        <v>3640</v>
      </c>
      <c r="H32" s="467">
        <f>SUMIF(100:100,G32,101:101)-SUMIF(100:100,C32,101:101)+100</f>
        <v>100</v>
      </c>
      <c r="I32" s="2607" t="s">
        <v>3640</v>
      </c>
      <c r="J32" s="435">
        <f>SUMIF(100:100,I32,101:101)-SUMIF(100:100,C32,101:101)+100</f>
        <v>100</v>
      </c>
      <c r="K32" s="426">
        <v>5</v>
      </c>
      <c r="L32" s="1139"/>
      <c r="M32" s="1130"/>
      <c r="N32" s="1130"/>
      <c r="O32" s="1130"/>
      <c r="P32" s="3464" t="s">
        <v>2554</v>
      </c>
      <c r="Q32" s="2997" t="str">
        <f t="shared" si="11"/>
        <v>建筑类型</v>
      </c>
      <c r="R32" s="774" t="s">
        <v>21</v>
      </c>
      <c r="S32" s="775">
        <f t="shared" si="12"/>
        <v>100</v>
      </c>
      <c r="T32" s="774" t="s">
        <v>21</v>
      </c>
      <c r="U32" s="775">
        <f t="shared" si="13"/>
        <v>100</v>
      </c>
      <c r="V32" s="774" t="s">
        <v>21</v>
      </c>
      <c r="W32" s="775">
        <f t="shared" si="14"/>
        <v>100</v>
      </c>
      <c r="X32" s="2999"/>
      <c r="Y32" s="3467" t="s">
        <v>2554</v>
      </c>
      <c r="Z32" s="3000" t="str">
        <f t="shared" si="18"/>
        <v>建筑类型</v>
      </c>
      <c r="AA32" s="2998">
        <f t="shared" si="15"/>
        <v>1</v>
      </c>
      <c r="AB32" s="2998">
        <f t="shared" si="16"/>
        <v>1</v>
      </c>
      <c r="AC32" s="2998">
        <f t="shared" si="17"/>
        <v>1</v>
      </c>
    </row>
    <row r="33" spans="1:29" s="471" customFormat="1" ht="15">
      <c r="A33" s="468"/>
      <c r="B33" s="3257" t="s">
        <v>2555</v>
      </c>
      <c r="C33" s="469">
        <v>170</v>
      </c>
      <c r="D33" s="136">
        <v>100</v>
      </c>
      <c r="E33" s="430">
        <f>市场案例!D13</f>
        <v>175.31</v>
      </c>
      <c r="F33" s="425">
        <f>LOOKUP(E33,103:103,104:104)-LOOKUP(C33,103:103,104:104)+100</f>
        <v>100</v>
      </c>
      <c r="G33" s="429">
        <f>市场案例!E13</f>
        <v>179.2</v>
      </c>
      <c r="H33" s="136">
        <f>LOOKUP(G33,103:103,104:104)-LOOKUP(C33,103:103,104:104)+100</f>
        <v>100</v>
      </c>
      <c r="I33" s="430">
        <f>市场案例!F13</f>
        <v>138.85</v>
      </c>
      <c r="J33" s="136">
        <f>LOOKUP(I33,103:103,104:104)-LOOKUP(C33,103:103,104:104)+100</f>
        <v>100</v>
      </c>
      <c r="K33" s="2590"/>
      <c r="L33" s="1137"/>
      <c r="M33" s="1140"/>
      <c r="N33" s="1140"/>
      <c r="O33" s="1140"/>
      <c r="P33" s="3465"/>
      <c r="Q33" s="776" t="str">
        <f t="shared" si="11"/>
        <v>项目建筑规模</v>
      </c>
      <c r="R33" s="777" t="s">
        <v>21</v>
      </c>
      <c r="S33" s="778">
        <f t="shared" si="12"/>
        <v>100</v>
      </c>
      <c r="T33" s="777" t="s">
        <v>21</v>
      </c>
      <c r="U33" s="778">
        <f t="shared" si="13"/>
        <v>100</v>
      </c>
      <c r="V33" s="777" t="s">
        <v>21</v>
      </c>
      <c r="W33" s="778">
        <f t="shared" si="14"/>
        <v>100</v>
      </c>
      <c r="X33" s="779"/>
      <c r="Y33" s="3467"/>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65"/>
      <c r="Q34" s="2997" t="str">
        <f t="shared" si="11"/>
        <v>建筑结构</v>
      </c>
      <c r="R34" s="774" t="s">
        <v>21</v>
      </c>
      <c r="S34" s="775">
        <f t="shared" si="12"/>
        <v>100</v>
      </c>
      <c r="T34" s="774" t="s">
        <v>21</v>
      </c>
      <c r="U34" s="775">
        <f t="shared" si="13"/>
        <v>100</v>
      </c>
      <c r="V34" s="774" t="s">
        <v>21</v>
      </c>
      <c r="W34" s="775">
        <f t="shared" si="14"/>
        <v>100</v>
      </c>
      <c r="X34" s="2999"/>
      <c r="Y34" s="3467"/>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65"/>
      <c r="Q35" s="2997" t="str">
        <f t="shared" si="11"/>
        <v>建筑品质</v>
      </c>
      <c r="R35" s="774" t="s">
        <v>21</v>
      </c>
      <c r="S35" s="775">
        <f t="shared" si="12"/>
        <v>100</v>
      </c>
      <c r="T35" s="774" t="s">
        <v>21</v>
      </c>
      <c r="U35" s="775">
        <f t="shared" si="13"/>
        <v>100</v>
      </c>
      <c r="V35" s="774" t="s">
        <v>21</v>
      </c>
      <c r="W35" s="775">
        <f t="shared" si="14"/>
        <v>100</v>
      </c>
      <c r="X35" s="2999"/>
      <c r="Y35" s="3467"/>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65"/>
      <c r="Q36" s="2997" t="str">
        <f t="shared" si="11"/>
        <v>公共部分装修</v>
      </c>
      <c r="R36" s="774" t="s">
        <v>21</v>
      </c>
      <c r="S36" s="775">
        <f t="shared" si="12"/>
        <v>100</v>
      </c>
      <c r="T36" s="774" t="s">
        <v>21</v>
      </c>
      <c r="U36" s="775">
        <f t="shared" si="13"/>
        <v>100</v>
      </c>
      <c r="V36" s="774" t="s">
        <v>21</v>
      </c>
      <c r="W36" s="775">
        <f t="shared" si="14"/>
        <v>100</v>
      </c>
      <c r="X36" s="2999"/>
      <c r="Y36" s="3467"/>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65"/>
      <c r="Q37" s="2993" t="str">
        <f t="shared" si="11"/>
        <v>成新度</v>
      </c>
      <c r="R37" s="770" t="s">
        <v>21</v>
      </c>
      <c r="S37" s="771">
        <f t="shared" si="12"/>
        <v>100</v>
      </c>
      <c r="T37" s="770" t="s">
        <v>21</v>
      </c>
      <c r="U37" s="771">
        <f t="shared" si="13"/>
        <v>100</v>
      </c>
      <c r="V37" s="770" t="s">
        <v>21</v>
      </c>
      <c r="W37" s="771">
        <f t="shared" si="14"/>
        <v>100</v>
      </c>
      <c r="X37" s="772"/>
      <c r="Y37" s="3467"/>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65" t="s">
        <v>2554</v>
      </c>
      <c r="Q38" s="2997" t="str">
        <f t="shared" si="11"/>
        <v>物业管理</v>
      </c>
      <c r="R38" s="774" t="s">
        <v>21</v>
      </c>
      <c r="S38" s="775">
        <f t="shared" si="12"/>
        <v>100</v>
      </c>
      <c r="T38" s="774" t="s">
        <v>21</v>
      </c>
      <c r="U38" s="775">
        <f t="shared" si="13"/>
        <v>100</v>
      </c>
      <c r="V38" s="774" t="s">
        <v>21</v>
      </c>
      <c r="W38" s="775">
        <f t="shared" si="14"/>
        <v>100</v>
      </c>
      <c r="X38" s="2999"/>
      <c r="Y38" s="3467"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65"/>
      <c r="Q39" s="2997" t="str">
        <f t="shared" si="11"/>
        <v>市政基础设施</v>
      </c>
      <c r="R39" s="774" t="s">
        <v>21</v>
      </c>
      <c r="S39" s="775">
        <f t="shared" si="12"/>
        <v>100</v>
      </c>
      <c r="T39" s="774" t="s">
        <v>21</v>
      </c>
      <c r="U39" s="775">
        <f t="shared" si="13"/>
        <v>100</v>
      </c>
      <c r="V39" s="774" t="s">
        <v>21</v>
      </c>
      <c r="W39" s="775">
        <f t="shared" si="14"/>
        <v>100</v>
      </c>
      <c r="X39" s="2999"/>
      <c r="Y39" s="3467"/>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65"/>
      <c r="Q40" s="2997" t="str">
        <f t="shared" si="11"/>
        <v>房型</v>
      </c>
      <c r="R40" s="774" t="s">
        <v>21</v>
      </c>
      <c r="S40" s="775">
        <f t="shared" si="12"/>
        <v>100</v>
      </c>
      <c r="T40" s="774" t="s">
        <v>21</v>
      </c>
      <c r="U40" s="775">
        <f t="shared" si="13"/>
        <v>100</v>
      </c>
      <c r="V40" s="774" t="s">
        <v>21</v>
      </c>
      <c r="W40" s="775">
        <f t="shared" si="14"/>
        <v>100</v>
      </c>
      <c r="X40" s="2999"/>
      <c r="Y40" s="3467"/>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65"/>
      <c r="Q41" s="776" t="str">
        <f t="shared" si="11"/>
        <v>单套/主力户型建筑面积</v>
      </c>
      <c r="R41" s="777" t="s">
        <v>21</v>
      </c>
      <c r="S41" s="778">
        <f t="shared" si="12"/>
        <v>100</v>
      </c>
      <c r="T41" s="777" t="s">
        <v>21</v>
      </c>
      <c r="U41" s="778">
        <f t="shared" si="13"/>
        <v>100</v>
      </c>
      <c r="V41" s="777" t="s">
        <v>21</v>
      </c>
      <c r="W41" s="778">
        <f t="shared" si="14"/>
        <v>100</v>
      </c>
      <c r="X41" s="779"/>
      <c r="Y41" s="3467"/>
      <c r="Z41" s="780" t="str">
        <f t="shared" si="18"/>
        <v>单套/主力户型建筑面积</v>
      </c>
      <c r="AA41" s="2998">
        <f t="shared" si="15"/>
        <v>1</v>
      </c>
      <c r="AB41" s="2998">
        <f t="shared" si="16"/>
        <v>1</v>
      </c>
      <c r="AC41" s="2998">
        <f t="shared" si="17"/>
        <v>1</v>
      </c>
    </row>
    <row r="42" spans="1:29" ht="15">
      <c r="A42" s="472"/>
      <c r="B42" s="2995"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65"/>
      <c r="Q42" s="2997" t="str">
        <f t="shared" si="11"/>
        <v>内部装修</v>
      </c>
      <c r="R42" s="774" t="s">
        <v>21</v>
      </c>
      <c r="S42" s="775">
        <f t="shared" si="12"/>
        <v>100</v>
      </c>
      <c r="T42" s="774" t="s">
        <v>21</v>
      </c>
      <c r="U42" s="775">
        <f t="shared" si="13"/>
        <v>100</v>
      </c>
      <c r="V42" s="774" t="s">
        <v>21</v>
      </c>
      <c r="W42" s="775">
        <f t="shared" si="14"/>
        <v>100</v>
      </c>
      <c r="X42" s="2999"/>
      <c r="Y42" s="3467"/>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65"/>
      <c r="Q43" s="2997" t="str">
        <f t="shared" si="11"/>
        <v>内部装修维护情况</v>
      </c>
      <c r="R43" s="774" t="s">
        <v>21</v>
      </c>
      <c r="S43" s="775">
        <f t="shared" si="12"/>
        <v>100</v>
      </c>
      <c r="T43" s="774" t="s">
        <v>21</v>
      </c>
      <c r="U43" s="775">
        <f t="shared" si="13"/>
        <v>100</v>
      </c>
      <c r="V43" s="774" t="s">
        <v>21</v>
      </c>
      <c r="W43" s="775">
        <f t="shared" si="14"/>
        <v>100</v>
      </c>
      <c r="X43" s="2999"/>
      <c r="Y43" s="3467"/>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65"/>
      <c r="Q44" s="2993">
        <f t="shared" si="11"/>
        <v>111</v>
      </c>
      <c r="R44" s="770" t="s">
        <v>21</v>
      </c>
      <c r="S44" s="771">
        <f t="shared" si="12"/>
        <v>100</v>
      </c>
      <c r="T44" s="770" t="s">
        <v>21</v>
      </c>
      <c r="U44" s="771">
        <f t="shared" si="13"/>
        <v>100</v>
      </c>
      <c r="V44" s="770" t="s">
        <v>21</v>
      </c>
      <c r="W44" s="771">
        <f t="shared" si="14"/>
        <v>100</v>
      </c>
      <c r="X44" s="772"/>
      <c r="Y44" s="3467"/>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65"/>
      <c r="Q45" s="2997">
        <f t="shared" si="11"/>
        <v>111</v>
      </c>
      <c r="R45" s="774" t="s">
        <v>21</v>
      </c>
      <c r="S45" s="775">
        <f t="shared" si="12"/>
        <v>100</v>
      </c>
      <c r="T45" s="774" t="s">
        <v>21</v>
      </c>
      <c r="U45" s="775">
        <f t="shared" si="13"/>
        <v>100</v>
      </c>
      <c r="V45" s="774" t="s">
        <v>21</v>
      </c>
      <c r="W45" s="775">
        <f t="shared" si="14"/>
        <v>100</v>
      </c>
      <c r="X45" s="2999"/>
      <c r="Y45" s="3467"/>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66"/>
      <c r="Q46" s="2997">
        <f t="shared" si="11"/>
        <v>111</v>
      </c>
      <c r="R46" s="774" t="s">
        <v>20</v>
      </c>
      <c r="S46" s="775">
        <f t="shared" si="12"/>
        <v>100</v>
      </c>
      <c r="T46" s="774" t="s">
        <v>20</v>
      </c>
      <c r="U46" s="775">
        <f t="shared" si="13"/>
        <v>100</v>
      </c>
      <c r="V46" s="774" t="s">
        <v>20</v>
      </c>
      <c r="W46" s="775">
        <f t="shared" si="14"/>
        <v>100</v>
      </c>
      <c r="X46" s="2999"/>
      <c r="Y46" s="3468"/>
      <c r="Z46" s="3000">
        <f t="shared" si="18"/>
        <v>111</v>
      </c>
      <c r="AA46" s="2998">
        <f t="shared" si="15"/>
        <v>1</v>
      </c>
      <c r="AB46" s="2998">
        <f t="shared" si="16"/>
        <v>1</v>
      </c>
      <c r="AC46" s="2998">
        <f t="shared" si="17"/>
        <v>1</v>
      </c>
    </row>
    <row r="47" spans="1:29" ht="15">
      <c r="A47" s="479" t="s">
        <v>2566</v>
      </c>
      <c r="B47" s="480"/>
      <c r="C47" s="1406" t="s">
        <v>1</v>
      </c>
      <c r="D47" s="1407"/>
      <c r="E47" s="1408">
        <f>市场案例!D12</f>
        <v>106669</v>
      </c>
      <c r="F47" s="1409"/>
      <c r="G47" s="1410">
        <f>市场案例!E12</f>
        <v>109375</v>
      </c>
      <c r="H47" s="1411"/>
      <c r="I47" s="1408">
        <f>市场案例!F12</f>
        <v>95787</v>
      </c>
      <c r="J47" s="1411"/>
      <c r="K47" s="2610"/>
      <c r="L47" s="1142"/>
      <c r="M47" s="1143"/>
      <c r="N47" s="1130"/>
      <c r="O47" s="1143"/>
      <c r="P47" s="3459" t="str">
        <f>A47</f>
        <v>成交单价（元/平方米）</v>
      </c>
      <c r="Q47" s="3459"/>
      <c r="R47" s="3460">
        <f>E47</f>
        <v>106669</v>
      </c>
      <c r="S47" s="3460"/>
      <c r="T47" s="3460">
        <f>G47</f>
        <v>109375</v>
      </c>
      <c r="U47" s="3460"/>
      <c r="V47" s="3460">
        <f>I47</f>
        <v>95787</v>
      </c>
      <c r="W47" s="3460"/>
      <c r="X47" s="759"/>
      <c r="Y47" s="781"/>
      <c r="Z47" s="759"/>
      <c r="AA47" s="759"/>
      <c r="AB47" s="759"/>
      <c r="AC47" s="759"/>
    </row>
    <row r="48" spans="1:29" ht="15.75" thickBot="1">
      <c r="A48" s="486" t="s">
        <v>2567</v>
      </c>
      <c r="B48" s="487"/>
      <c r="C48" s="1412">
        <f>R49</f>
        <v>102146</v>
      </c>
      <c r="D48" s="1413"/>
      <c r="E48" s="1414">
        <f>R48</f>
        <v>106669</v>
      </c>
      <c r="F48" s="1414"/>
      <c r="G48" s="1412">
        <f>T48</f>
        <v>108507</v>
      </c>
      <c r="H48" s="1413"/>
      <c r="I48" s="1414">
        <f>V48</f>
        <v>91262</v>
      </c>
      <c r="J48" s="1413"/>
      <c r="K48" s="2611"/>
      <c r="L48" s="1142"/>
      <c r="M48" s="1143"/>
      <c r="N48" s="1143"/>
      <c r="O48" s="1143"/>
      <c r="P48" s="3459" t="str">
        <f>A48</f>
        <v>比较价值（元/平方米）</v>
      </c>
      <c r="Q48" s="3459"/>
      <c r="R48" s="3460">
        <f>IF(F1="售价",ROUND(PRODUCT(R47,AA7:AA46),0),ROUND(PRODUCT(R47,AA7:AA46),1))</f>
        <v>106669</v>
      </c>
      <c r="S48" s="3460"/>
      <c r="T48" s="3460">
        <f>IF(F1="售价",ROUND(PRODUCT(T47,AB7:AB46),0),ROUND(PRODUCT(T47,AB7:AB46),1))</f>
        <v>108507</v>
      </c>
      <c r="U48" s="3460"/>
      <c r="V48" s="3460">
        <f>IF(F1="售价",ROUND(PRODUCT(V47,AC7:AC46),0),ROUND(PRODUCT(V47,AC7:AC46),1))</f>
        <v>91262</v>
      </c>
      <c r="W48" s="3460"/>
      <c r="X48" s="759"/>
      <c r="Y48" s="759"/>
      <c r="Z48" s="759"/>
      <c r="AA48" s="759"/>
      <c r="AB48" s="759"/>
      <c r="AC48" s="759"/>
    </row>
    <row r="49" spans="1:29" ht="15.75" thickBot="1">
      <c r="A49" s="492" t="s">
        <v>2568</v>
      </c>
      <c r="B49" s="493"/>
      <c r="C49" s="1415">
        <f>R49</f>
        <v>102146</v>
      </c>
      <c r="D49" s="1416"/>
      <c r="E49" s="1416"/>
      <c r="F49" s="1416"/>
      <c r="G49" s="1416"/>
      <c r="H49" s="1416"/>
      <c r="I49" s="1416"/>
      <c r="J49" s="1416"/>
      <c r="K49" s="2612"/>
      <c r="L49" s="1142"/>
      <c r="M49" s="1143"/>
      <c r="N49" s="1143"/>
      <c r="O49" s="1143"/>
      <c r="P49" s="3461" t="str">
        <f>A49</f>
        <v>估价对象XX用房的比较价值（楼面单价，元/平方米）</v>
      </c>
      <c r="Q49" s="3462"/>
      <c r="R49" s="3463">
        <f>IF(F1="售价",ROUND(AVERAGE(R48:V48),0),ROUND(AVERAGE(R48:V48),1))</f>
        <v>102146</v>
      </c>
      <c r="S49" s="3463"/>
      <c r="T49" s="3463"/>
      <c r="U49" s="3463"/>
      <c r="V49" s="3463"/>
      <c r="W49" s="346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7.999483904264304E-3</v>
      </c>
      <c r="H52" s="500" t="str">
        <f>IF(OR(G52&gt;=0.3,G52&lt;=-0.3),"超过30%","")</f>
        <v/>
      </c>
      <c r="I52" s="499">
        <f>IF(I47&lt;I48,I48/I47-1,I47/I48-1)</f>
        <v>4.9582520654817941E-2</v>
      </c>
      <c r="J52" s="500" t="str">
        <f>IF(OR(I52&gt;=0.3,I52&lt;=-0.3),"超过30%","")</f>
        <v/>
      </c>
      <c r="K52" s="1104"/>
      <c r="L52" s="1105"/>
      <c r="M52" s="1143"/>
      <c r="N52" s="1143"/>
      <c r="O52" s="1143"/>
    </row>
    <row r="53" spans="1:29" ht="13.5" customHeight="1">
      <c r="A53" s="1143"/>
      <c r="B53" s="1143"/>
      <c r="C53" s="497" t="s">
        <v>2570</v>
      </c>
      <c r="D53" s="501"/>
      <c r="E53" s="499">
        <f>IF(E48&lt;G48,G48/E48-1,E48/G48-1)</f>
        <v>1.7230873074651543E-2</v>
      </c>
      <c r="F53" s="500" t="str">
        <f>IF(OR(E53&gt;=0.2,E53&lt;=-0.2),"超过20%","")</f>
        <v/>
      </c>
      <c r="G53" s="499">
        <f>IF(G48&lt;I48,I48/G48-1,G48/I48-1)</f>
        <v>0.18896145164471512</v>
      </c>
      <c r="H53" s="500" t="str">
        <f>IF(OR(G53&gt;=0.2,G53&lt;=-0.2),"超过20%","")</f>
        <v/>
      </c>
      <c r="I53" s="499">
        <f>IF(I48&lt;E48,E48/I48-1,I48/E48-1)</f>
        <v>0.16882163441520026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2.5368195070732735E-2</v>
      </c>
      <c r="F54" s="500" t="str">
        <f>IF(OR(E54&gt;=0.3,E54&lt;=-0.3),"超过30%","")</f>
        <v/>
      </c>
      <c r="G54" s="499">
        <f>IF(G47&lt;I47,I47/G47-1,G47/I47-1)</f>
        <v>0.14185641057763587</v>
      </c>
      <c r="H54" s="500" t="str">
        <f>IF(OR(G54&gt;=0.3,G54&lt;=-0.3),"超过30%","")</f>
        <v/>
      </c>
      <c r="I54" s="499">
        <f>IF(I47&lt;E47,E47/I47-1,I47/E47-1)</f>
        <v>0.11360623049056762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3646</v>
      </c>
      <c r="D88" s="3250" t="s">
        <v>3648</v>
      </c>
      <c r="E88" s="3250" t="s">
        <v>3650</v>
      </c>
      <c r="F88" s="3251" t="s">
        <v>3644</v>
      </c>
      <c r="G88" s="3250" t="s">
        <v>3652</v>
      </c>
      <c r="H88" s="3250" t="s">
        <v>3653</v>
      </c>
      <c r="I88" s="3250"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3641</v>
      </c>
      <c r="D90" s="3250" t="s">
        <v>3642</v>
      </c>
      <c r="E90" s="3250"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3659</v>
      </c>
      <c r="D100" s="3255"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3661</v>
      </c>
      <c r="D122" s="3250" t="s">
        <v>3662</v>
      </c>
      <c r="E122" s="3250" t="s">
        <v>3663</v>
      </c>
      <c r="F122" s="3256"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I21" sqref="I21"/>
    </sheetView>
  </sheetViews>
  <sheetFormatPr defaultRowHeight="13.5"/>
  <cols>
    <col min="1" max="1" width="15" customWidth="1"/>
    <col min="2" max="2" width="10.5" bestFit="1" customWidth="1"/>
    <col min="3" max="3" width="10.5" style="3194" customWidth="1"/>
    <col min="4" max="4" width="11.625" customWidth="1"/>
    <col min="5" max="6" width="10.5" bestFit="1" customWidth="1"/>
    <col min="7" max="7" width="9.5" bestFit="1" customWidth="1"/>
    <col min="9" max="9" width="9.5" bestFit="1" customWidth="1"/>
    <col min="10" max="10" width="10.5" bestFit="1" customWidth="1"/>
    <col min="11" max="11" width="10.5" customWidth="1"/>
    <col min="13" max="13" width="10.5" bestFit="1" customWidth="1"/>
  </cols>
  <sheetData>
    <row r="1" spans="1:13">
      <c r="A1" s="3506"/>
      <c r="B1" s="3506"/>
    </row>
    <row r="2" spans="1:13" ht="12.75" customHeight="1">
      <c r="B2" s="3209">
        <v>43497</v>
      </c>
      <c r="C2" s="3211"/>
      <c r="D2" s="3507" t="s">
        <v>3585</v>
      </c>
      <c r="E2" s="3508"/>
      <c r="F2" s="3508"/>
      <c r="I2" s="3507" t="s">
        <v>3576</v>
      </c>
      <c r="J2" s="3507"/>
      <c r="K2" s="3507"/>
      <c r="L2" s="3507"/>
    </row>
    <row r="3" spans="1:13">
      <c r="A3" s="3206" t="s">
        <v>3578</v>
      </c>
      <c r="B3" s="3247">
        <v>83287</v>
      </c>
      <c r="D3" s="3215">
        <v>43617</v>
      </c>
      <c r="E3" s="3215">
        <v>43617</v>
      </c>
      <c r="F3" s="3215">
        <v>43525</v>
      </c>
      <c r="G3" s="3206" t="s">
        <v>3634</v>
      </c>
      <c r="I3" s="3215">
        <v>43525</v>
      </c>
      <c r="J3" s="3215">
        <v>43466</v>
      </c>
      <c r="K3" s="3215">
        <v>43435</v>
      </c>
      <c r="L3" s="3215"/>
      <c r="M3" s="3206" t="s">
        <v>3634</v>
      </c>
    </row>
    <row r="4" spans="1:13">
      <c r="A4" s="3206" t="s">
        <v>3574</v>
      </c>
      <c r="B4" s="3247">
        <v>93897</v>
      </c>
      <c r="D4" s="3216">
        <v>77002</v>
      </c>
      <c r="E4" s="3217">
        <f>ROUND(960/E5*10000,0)</f>
        <v>75406</v>
      </c>
      <c r="F4" s="3216">
        <v>77834</v>
      </c>
      <c r="G4">
        <v>78156</v>
      </c>
      <c r="I4" s="3217">
        <f>ROUND(730/I5*10000,0)</f>
        <v>101572</v>
      </c>
      <c r="J4" s="3217">
        <f>ROUND(750/J5*10000,0)</f>
        <v>96774</v>
      </c>
      <c r="K4" s="3217">
        <f t="shared" ref="K4" si="0">ROUND(730/K5*10000,0)</f>
        <v>101572</v>
      </c>
      <c r="L4" s="3217"/>
      <c r="M4">
        <v>99213</v>
      </c>
    </row>
    <row r="5" spans="1:13">
      <c r="A5" s="3206" t="s">
        <v>3593</v>
      </c>
      <c r="B5" s="3208">
        <v>85019</v>
      </c>
      <c r="C5" s="3212"/>
      <c r="D5" s="3216">
        <v>127.27</v>
      </c>
      <c r="E5" s="3216">
        <v>127.31</v>
      </c>
      <c r="F5" s="3216">
        <v>48.18</v>
      </c>
      <c r="I5" s="3216">
        <v>71.87</v>
      </c>
      <c r="J5" s="3216">
        <v>77.5</v>
      </c>
      <c r="K5" s="3216">
        <v>71.87</v>
      </c>
      <c r="L5" s="3218"/>
    </row>
    <row r="6" spans="1:13">
      <c r="A6" s="3206"/>
      <c r="B6" s="3208"/>
      <c r="C6" s="3212"/>
      <c r="D6" s="3214" t="s">
        <v>3579</v>
      </c>
      <c r="E6" s="3214" t="s">
        <v>3582</v>
      </c>
      <c r="F6" s="3214" t="s">
        <v>3583</v>
      </c>
      <c r="I6" s="3214" t="s">
        <v>3583</v>
      </c>
      <c r="J6" s="3214" t="s">
        <v>3596</v>
      </c>
      <c r="K6" s="3214" t="s">
        <v>3598</v>
      </c>
      <c r="L6" s="3219"/>
    </row>
    <row r="7" spans="1:13">
      <c r="A7" s="3206"/>
      <c r="B7" s="3208"/>
      <c r="C7" s="3212"/>
      <c r="D7" s="3214" t="s">
        <v>3580</v>
      </c>
      <c r="E7" s="3214" t="s">
        <v>3581</v>
      </c>
      <c r="F7" s="3214" t="s">
        <v>3584</v>
      </c>
      <c r="I7" s="3214" t="s">
        <v>3591</v>
      </c>
      <c r="J7" s="3214" t="s">
        <v>3597</v>
      </c>
      <c r="K7" s="3214" t="s">
        <v>3599</v>
      </c>
      <c r="L7" s="3219"/>
    </row>
    <row r="8" spans="1:13">
      <c r="A8" s="3206"/>
      <c r="B8" s="3208"/>
      <c r="C8" s="3212"/>
      <c r="D8" s="3214" t="s">
        <v>3586</v>
      </c>
      <c r="E8" s="3214" t="s">
        <v>3586</v>
      </c>
      <c r="F8" s="3214" t="s">
        <v>3586</v>
      </c>
      <c r="I8" s="3214" t="s">
        <v>3586</v>
      </c>
      <c r="J8" s="3214" t="s">
        <v>3586</v>
      </c>
      <c r="K8" s="3214" t="s">
        <v>3595</v>
      </c>
      <c r="L8" s="3214"/>
    </row>
    <row r="9" spans="1:13">
      <c r="A9" s="3206"/>
      <c r="B9" s="3208"/>
      <c r="C9" s="3212"/>
    </row>
    <row r="10" spans="1:13">
      <c r="B10" s="3210">
        <v>43435</v>
      </c>
      <c r="C10" s="3213"/>
      <c r="D10" s="3507" t="s">
        <v>3574</v>
      </c>
      <c r="E10" s="3507"/>
      <c r="F10" s="3507"/>
      <c r="G10" s="3507"/>
      <c r="I10" s="3507" t="s">
        <v>3633</v>
      </c>
      <c r="J10" s="3507"/>
      <c r="K10" s="3507"/>
      <c r="L10" s="3507"/>
      <c r="M10" s="3206" t="s">
        <v>3634</v>
      </c>
    </row>
    <row r="11" spans="1:13">
      <c r="A11" s="3206" t="s">
        <v>3576</v>
      </c>
      <c r="B11">
        <v>101748</v>
      </c>
      <c r="D11" s="3215">
        <v>43617</v>
      </c>
      <c r="E11" s="3215">
        <v>43617</v>
      </c>
      <c r="F11" s="3215">
        <v>43586</v>
      </c>
      <c r="G11" s="3215">
        <v>43586</v>
      </c>
      <c r="H11" s="3206" t="s">
        <v>3635</v>
      </c>
      <c r="I11" s="3221">
        <v>43466</v>
      </c>
      <c r="J11" s="3215">
        <v>43435</v>
      </c>
      <c r="K11" s="3215">
        <v>43435</v>
      </c>
      <c r="L11" s="3215"/>
      <c r="M11" s="3262">
        <v>98753</v>
      </c>
    </row>
    <row r="12" spans="1:13">
      <c r="A12" s="3220" t="s">
        <v>3600</v>
      </c>
      <c r="B12">
        <v>105449</v>
      </c>
      <c r="D12" s="3216">
        <v>106669</v>
      </c>
      <c r="E12" s="3217">
        <f>ROUND(1960/E13*10000,0)</f>
        <v>109375</v>
      </c>
      <c r="F12" s="3217">
        <f>ROUND(1330/F13*10000,0)</f>
        <v>95787</v>
      </c>
      <c r="G12" s="3217">
        <f>ROUND(1822/G13*10000,0)</f>
        <v>101941</v>
      </c>
      <c r="H12">
        <v>96079</v>
      </c>
      <c r="I12" s="3217">
        <f>ROUND(4252/I13*10000,0)</f>
        <v>96636</v>
      </c>
      <c r="J12" s="3217">
        <f>ROUND(4228/J13*10000,0)</f>
        <v>93956</v>
      </c>
      <c r="K12" s="3217">
        <f t="shared" ref="K12" si="1">ROUND(4252/K13*10000,0)</f>
        <v>94489</v>
      </c>
      <c r="L12" s="3217"/>
    </row>
    <row r="13" spans="1:13">
      <c r="A13" s="3206" t="s">
        <v>3577</v>
      </c>
      <c r="B13" s="3247">
        <v>88068</v>
      </c>
      <c r="D13" s="3216">
        <v>175.31</v>
      </c>
      <c r="E13" s="3216">
        <v>179.2</v>
      </c>
      <c r="F13" s="3216">
        <v>138.85</v>
      </c>
      <c r="G13" s="3218">
        <v>178.73</v>
      </c>
      <c r="I13" s="3216">
        <v>440</v>
      </c>
      <c r="J13" s="3216">
        <v>450</v>
      </c>
      <c r="K13" s="3216">
        <v>450</v>
      </c>
      <c r="L13" s="3218"/>
    </row>
    <row r="14" spans="1:13">
      <c r="D14" s="3214" t="s">
        <v>3587</v>
      </c>
      <c r="E14" s="3214" t="s">
        <v>3589</v>
      </c>
      <c r="F14" s="3214" t="s">
        <v>3590</v>
      </c>
      <c r="G14" s="3219" t="s">
        <v>3592</v>
      </c>
      <c r="I14" s="3214" t="s">
        <v>3587</v>
      </c>
      <c r="J14" s="3214" t="s">
        <v>3587</v>
      </c>
      <c r="K14" s="3214" t="s">
        <v>3587</v>
      </c>
      <c r="L14" s="3219"/>
    </row>
    <row r="15" spans="1:13">
      <c r="D15" s="3214" t="s">
        <v>3588</v>
      </c>
      <c r="E15" s="3214" t="s">
        <v>3580</v>
      </c>
      <c r="F15" s="3214" t="s">
        <v>3580</v>
      </c>
      <c r="G15" s="3219" t="s">
        <v>3591</v>
      </c>
      <c r="I15" s="3214" t="s">
        <v>3580</v>
      </c>
      <c r="J15" s="3214" t="s">
        <v>3581</v>
      </c>
      <c r="K15" s="3214" t="s">
        <v>3591</v>
      </c>
      <c r="L15" s="3219"/>
    </row>
    <row r="16" spans="1:13">
      <c r="D16" s="3214" t="s">
        <v>3586</v>
      </c>
      <c r="E16" s="3214" t="s">
        <v>3586</v>
      </c>
      <c r="F16" s="3214" t="s">
        <v>3586</v>
      </c>
      <c r="G16" s="3214" t="s">
        <v>3586</v>
      </c>
      <c r="I16" s="3214" t="s">
        <v>3601</v>
      </c>
      <c r="J16" s="3214" t="s">
        <v>3586</v>
      </c>
      <c r="K16" s="3214" t="s">
        <v>3595</v>
      </c>
      <c r="L16" s="3214"/>
    </row>
    <row r="18" spans="4:8">
      <c r="D18" s="3507" t="s">
        <v>3575</v>
      </c>
      <c r="E18" s="3507"/>
      <c r="F18" s="3507"/>
      <c r="G18" s="3507"/>
    </row>
    <row r="19" spans="4:8">
      <c r="D19" s="3215">
        <v>43586</v>
      </c>
      <c r="E19" s="3215">
        <v>43435</v>
      </c>
      <c r="F19" s="3215">
        <v>43221</v>
      </c>
      <c r="G19" s="3215"/>
      <c r="H19" s="3206" t="s">
        <v>3634</v>
      </c>
    </row>
    <row r="20" spans="4:8">
      <c r="D20" s="3216">
        <v>82657</v>
      </c>
      <c r="E20" s="3217">
        <f>ROUND(2200/E21*10000,0)</f>
        <v>83122</v>
      </c>
      <c r="F20" s="3217">
        <f>ROUND(2400/F21*10000,0)</f>
        <v>88541</v>
      </c>
      <c r="G20" s="3217"/>
      <c r="H20" s="3248">
        <v>82285</v>
      </c>
    </row>
    <row r="21" spans="4:8">
      <c r="D21" s="3216">
        <v>267.36</v>
      </c>
      <c r="E21" s="3216">
        <v>264.67</v>
      </c>
      <c r="F21" s="3216">
        <v>271.06</v>
      </c>
      <c r="G21" s="3218"/>
    </row>
    <row r="22" spans="4:8">
      <c r="D22" s="3214" t="s">
        <v>3579</v>
      </c>
      <c r="E22" s="3214" t="s">
        <v>3579</v>
      </c>
      <c r="F22" s="3214" t="s">
        <v>3587</v>
      </c>
      <c r="G22" s="3219"/>
    </row>
    <row r="23" spans="4:8">
      <c r="D23" s="3214" t="s">
        <v>3581</v>
      </c>
      <c r="E23" s="3214" t="s">
        <v>3580</v>
      </c>
      <c r="F23" s="3214" t="s">
        <v>3594</v>
      </c>
      <c r="G23" s="3219"/>
    </row>
    <row r="24" spans="4:8">
      <c r="D24" s="3214" t="s">
        <v>3586</v>
      </c>
      <c r="E24" s="3214" t="s">
        <v>3586</v>
      </c>
      <c r="F24" s="3214" t="s">
        <v>3595</v>
      </c>
      <c r="G24" s="3214"/>
    </row>
  </sheetData>
  <mergeCells count="6">
    <mergeCell ref="A1:B1"/>
    <mergeCell ref="D2:F2"/>
    <mergeCell ref="D10:G10"/>
    <mergeCell ref="D18:G18"/>
    <mergeCell ref="I2:L2"/>
    <mergeCell ref="I10:L10"/>
  </mergeCells>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3046</v>
      </c>
      <c r="C1" s="242"/>
      <c r="D1" s="242"/>
      <c r="E1" s="242"/>
      <c r="F1" s="242"/>
      <c r="G1" s="1378">
        <f>MATCH(B1,'数据-取费表'!A6:A16,0)+5</f>
        <v>6</v>
      </c>
    </row>
    <row r="2" spans="1:9" s="244" customFormat="1" ht="18" customHeight="1">
      <c r="A2" s="245" t="s">
        <v>2316</v>
      </c>
      <c r="B2" s="246">
        <f ca="1">IF(D2="——",C52,C52-E2)</f>
        <v>190534</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94371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121830</v>
      </c>
      <c r="D5" s="255" t="s">
        <v>2323</v>
      </c>
      <c r="E5" s="256" t="s">
        <v>2324</v>
      </c>
      <c r="F5" s="256" t="s">
        <v>2325</v>
      </c>
      <c r="G5" s="257"/>
    </row>
    <row r="6" spans="1:9" s="258" customFormat="1" ht="13.5" customHeight="1">
      <c r="A6" s="949" t="s">
        <v>2326</v>
      </c>
      <c r="B6" s="259" t="s">
        <v>2327</v>
      </c>
      <c r="C6" s="260">
        <f ca="1">'基准地价修正（住宅）'!E29</f>
        <v>117905</v>
      </c>
      <c r="D6" s="261"/>
      <c r="E6" s="262"/>
      <c r="F6" s="262"/>
      <c r="G6" s="263"/>
    </row>
    <row r="7" spans="1:9" s="258" customFormat="1" ht="13.5" customHeight="1">
      <c r="A7" s="949" t="s">
        <v>2328</v>
      </c>
      <c r="B7" s="259" t="s">
        <v>2329</v>
      </c>
      <c r="C7" s="264">
        <f ca="1">ROUND(C6*F7,0)</f>
        <v>3596</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329</v>
      </c>
      <c r="D8" s="266"/>
      <c r="E8" s="264"/>
      <c r="F8" s="265"/>
      <c r="G8" s="2539" t="s">
        <v>3110</v>
      </c>
    </row>
    <row r="9" spans="1:9" s="258" customFormat="1" ht="13.5" customHeight="1">
      <c r="A9" s="950" t="s">
        <v>800</v>
      </c>
      <c r="B9" s="268" t="s">
        <v>2332</v>
      </c>
      <c r="C9" s="269">
        <f ca="1">ROUND(D9*E9/10000,0)</f>
        <v>323</v>
      </c>
      <c r="D9" s="1032">
        <f ca="1">IF(B1="",'数据-汇总表'!E5,IF(INDIRECT("'数据-取费表'!c"&amp;$G$1)="住宅",INDIRECT("'数据-取费表'!k"&amp;$G$1),0))</f>
        <v>20189.89</v>
      </c>
      <c r="E9" s="269">
        <f>'数据-取费表'!B27</f>
        <v>160</v>
      </c>
      <c r="F9" s="265"/>
      <c r="G9" s="2540" t="s">
        <v>3111</v>
      </c>
      <c r="H9" s="1389"/>
      <c r="I9" s="2541" t="s">
        <v>2333</v>
      </c>
    </row>
    <row r="10" spans="1:9" s="258" customFormat="1" ht="13.5" customHeight="1">
      <c r="A10" s="950" t="s">
        <v>801</v>
      </c>
      <c r="B10" s="268" t="s">
        <v>2334</v>
      </c>
      <c r="C10" s="269">
        <f ca="1">ROUND(D10*E10/10000,0)</f>
        <v>6</v>
      </c>
      <c r="D10" s="1032">
        <f ca="1">IF(B1="",'数据-汇总表'!E6,IF(INDIRECT("'数据-取费表'!c"&amp;$G$1)="住宅",INDIRECT("'数据-取费表'!s"&amp;$G$1),INDIRECT("'数据-取费表'!k"&amp;$G$1)+INDIRECT("'数据-取费表'!s"&amp;$G$1)))</f>
        <v>315.76</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20505.649999999998</v>
      </c>
      <c r="E19" s="255">
        <f>'数据-取费表'!B31</f>
        <v>200</v>
      </c>
      <c r="F19" s="275"/>
      <c r="G19" s="2539" t="s">
        <v>3112</v>
      </c>
    </row>
    <row r="20" spans="1:7" s="258" customFormat="1" ht="13.5" customHeight="1">
      <c r="A20" s="299" t="s">
        <v>2347</v>
      </c>
      <c r="B20" s="254" t="s">
        <v>2348</v>
      </c>
      <c r="C20" s="276">
        <f ca="1">ROUND((C5+C19)*F20,0)</f>
        <v>2437</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11965</v>
      </c>
      <c r="D22" s="279">
        <f ca="1">C26</f>
        <v>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11849</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116</v>
      </c>
      <c r="D25" s="282"/>
      <c r="E25" s="285"/>
      <c r="F25" s="283"/>
      <c r="G25" s="286" t="s">
        <v>2364</v>
      </c>
    </row>
    <row r="26" spans="1:7" s="258" customFormat="1">
      <c r="A26" s="951"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24853</v>
      </c>
      <c r="D27" s="279">
        <f ca="1">C29</f>
        <v>4.0000000000000001E-3</v>
      </c>
      <c r="E27" s="280" t="s">
        <v>2352</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24853</v>
      </c>
      <c r="D28" s="279"/>
      <c r="E28" s="280"/>
      <c r="F28" s="290"/>
      <c r="G28" s="291"/>
    </row>
    <row r="29" spans="1:7" s="258" customFormat="1" ht="13.5" customHeight="1">
      <c r="A29" s="951"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174769</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13758</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12193</v>
      </c>
      <c r="D34" s="261"/>
      <c r="E34" s="264"/>
      <c r="F34" s="301">
        <f ca="1">IF('数据-取费表'!B24=0,1,IF(B1="",'数据-取费表'!N16,INDIRECT("'数据-取费表'!n"&amp;$G$1)))</f>
        <v>1</v>
      </c>
      <c r="G34" s="263" t="s">
        <v>2380</v>
      </c>
    </row>
    <row r="35" spans="1:7" ht="13.5" customHeight="1">
      <c r="A35" s="951" t="s">
        <v>796</v>
      </c>
      <c r="B35" s="259" t="s">
        <v>2381</v>
      </c>
      <c r="C35" s="264">
        <f ca="1">ROUND(C34*F35,0)</f>
        <v>366</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606</v>
      </c>
      <c r="D36" s="264"/>
      <c r="E36" s="264"/>
      <c r="F36" s="303">
        <f>'数据-取费表'!B34</f>
        <v>0.05</v>
      </c>
      <c r="G36" s="304" t="s">
        <v>2384</v>
      </c>
    </row>
    <row r="37" spans="1:7" s="302" customFormat="1" ht="13.5" customHeight="1">
      <c r="A37" s="951" t="s">
        <v>798</v>
      </c>
      <c r="B37" s="259" t="s">
        <v>2385</v>
      </c>
      <c r="C37" s="293">
        <f ca="1">ROUND(E37*D37*F34/10000,0)</f>
        <v>410</v>
      </c>
      <c r="D37" s="261">
        <f ca="1">D19</f>
        <v>20505.649999999998</v>
      </c>
      <c r="E37" s="293">
        <f>'数据-取费表'!B35</f>
        <v>200</v>
      </c>
      <c r="F37" s="303"/>
      <c r="G37" s="305" t="s">
        <v>2386</v>
      </c>
    </row>
    <row r="38" spans="1:7" ht="13.5" customHeight="1">
      <c r="A38" s="951" t="s">
        <v>799</v>
      </c>
      <c r="B38" s="259" t="s">
        <v>2387</v>
      </c>
      <c r="C38" s="264">
        <f ca="1">ROUND(C34*F38,0)</f>
        <v>183</v>
      </c>
      <c r="D38" s="264"/>
      <c r="E38" s="264"/>
      <c r="F38" s="303">
        <f>'数据-取费表'!B36</f>
        <v>1.4999999999999999E-2</v>
      </c>
      <c r="G38" s="263" t="s">
        <v>2382</v>
      </c>
    </row>
    <row r="39" spans="1:7" s="258" customFormat="1" ht="13.5" customHeight="1">
      <c r="A39" s="299" t="s">
        <v>2345</v>
      </c>
      <c r="B39" s="254" t="s">
        <v>2348</v>
      </c>
      <c r="C39" s="276">
        <f ca="1">ROUND(C33*F20,0)</f>
        <v>275</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667</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654</v>
      </c>
      <c r="D42" s="282"/>
      <c r="E42" s="282"/>
      <c r="F42" s="283"/>
      <c r="G42" s="3509" t="s">
        <v>2398</v>
      </c>
    </row>
    <row r="43" spans="1:7" ht="13.5" customHeight="1">
      <c r="A43" s="951" t="s">
        <v>792</v>
      </c>
      <c r="B43" s="259" t="s">
        <v>2399</v>
      </c>
      <c r="C43" s="282">
        <f ca="1">ROUND(IF('数据-取费表'!B22&lt;=1,C39*F22*'数据-取费表'!B21/2,C39*(POWER((1+F22),'数据-取费表'!B21/2)-1)),0)</f>
        <v>13</v>
      </c>
      <c r="D43" s="282"/>
      <c r="E43" s="282"/>
      <c r="F43" s="283"/>
      <c r="G43" s="3510"/>
    </row>
    <row r="44" spans="1:7" ht="13.5" customHeight="1">
      <c r="A44" s="951" t="s">
        <v>793</v>
      </c>
      <c r="B44" s="259" t="s">
        <v>2363</v>
      </c>
      <c r="C44" s="282">
        <f ca="1">ROUND(IF('数据-取费表'!B22&lt;=1,C40*F22*'数据-取费表'!B21/2,C40*(POWER((1+F22),'数据-取费表'!B21/2)-1)),4)</f>
        <v>1E-3</v>
      </c>
      <c r="D44" s="282"/>
      <c r="E44" s="282"/>
      <c r="F44" s="283"/>
      <c r="G44" s="3511"/>
    </row>
    <row r="45" spans="1:7" s="258" customFormat="1" ht="13.5" customHeight="1">
      <c r="A45" s="299" t="s">
        <v>2401</v>
      </c>
      <c r="B45" s="288" t="s">
        <v>2367</v>
      </c>
      <c r="C45" s="289">
        <f ca="1">C46</f>
        <v>2807</v>
      </c>
      <c r="D45" s="279">
        <f ca="1">C47</f>
        <v>4.0000000000000001E-3</v>
      </c>
      <c r="E45" s="280" t="s">
        <v>2393</v>
      </c>
      <c r="F45" s="290"/>
      <c r="G45" s="291" t="s">
        <v>2402</v>
      </c>
    </row>
    <row r="46" spans="1:7" s="258" customFormat="1" ht="13.5" customHeight="1">
      <c r="A46" s="951" t="s">
        <v>791</v>
      </c>
      <c r="B46" s="292" t="s">
        <v>2403</v>
      </c>
      <c r="C46" s="293">
        <f ca="1">ROUND((C33+C39)*F27,0)</f>
        <v>2807</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18994</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15765</v>
      </c>
      <c r="D51" s="276"/>
      <c r="E51" s="276"/>
      <c r="F51" s="308"/>
      <c r="G51" s="278" t="s">
        <v>2414</v>
      </c>
    </row>
    <row r="52" spans="1:7" s="252" customFormat="1" ht="16.5" thickBot="1">
      <c r="A52" s="309" t="s">
        <v>2415</v>
      </c>
      <c r="B52" s="310"/>
      <c r="C52" s="311">
        <f ca="1">C31+C51</f>
        <v>190534</v>
      </c>
      <c r="D52" s="310"/>
      <c r="E52" s="310"/>
      <c r="F52" s="310"/>
      <c r="G52" s="312"/>
    </row>
    <row r="55" spans="1:7" ht="15">
      <c r="B55" s="314" t="s">
        <v>2416</v>
      </c>
      <c r="C55" s="315"/>
    </row>
    <row r="56" spans="1:7">
      <c r="B56" s="317" t="s">
        <v>1508</v>
      </c>
      <c r="C56" s="319">
        <f ca="1">1-C57</f>
        <v>0.91700000000000004</v>
      </c>
    </row>
    <row r="57" spans="1:7">
      <c r="B57" s="317" t="s">
        <v>1509</v>
      </c>
      <c r="C57" s="318">
        <f ca="1">ROUND(C51/C52,3)</f>
        <v>8.3000000000000004E-2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E29" sqref="E29"/>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23572.18</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120928</v>
      </c>
      <c r="C2" s="2710" t="s">
        <v>2802</v>
      </c>
      <c r="D2" s="2711" t="s">
        <v>2803</v>
      </c>
      <c r="E2" s="2712" t="s">
        <v>3046</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23860</v>
      </c>
      <c r="N2" s="1082">
        <f>SUMPRODUCT((因素修正幅度!B10:B28=I2)*(因素修正幅度!C3:F3=E2)*(因素修正幅度!C10:F28))</f>
        <v>7.0000000000000007E-2</v>
      </c>
      <c r="O2" s="1369"/>
      <c r="P2" s="1369"/>
      <c r="Q2" s="1369"/>
      <c r="R2" s="1600">
        <v>1</v>
      </c>
      <c r="S2" s="1600">
        <f>ROUND(IF(G3&gt;1,IF(R2&lt;7,SUMPRODUCT((B93:B98=R2)*(C92:N92=G2)*(C93:N98)),SUMIF(C92:N92,G2,C100:N100)),IF(R2&lt;7,SUMPRODUCT((B102:B107=R2)*(C92:N92=G2)*(C102:N107)),SUMIF(C92:N92,G2,C109:N109))),4)</f>
        <v>1.9361999999999999</v>
      </c>
      <c r="T2" s="1600">
        <f ca="1">ROUND($C$5*$C$18*$C$19*$C$20*S2*$C$24,0)</f>
        <v>108638</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51301</v>
      </c>
      <c r="C3" s="2710" t="s">
        <v>2808</v>
      </c>
      <c r="D3" s="2711" t="s">
        <v>2809</v>
      </c>
      <c r="E3" s="2716" t="s">
        <v>3123</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79664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25"/>
      <c r="B4" s="3526"/>
      <c r="C4" s="3526"/>
      <c r="D4" s="3527"/>
      <c r="E4" s="3527"/>
      <c r="F4" s="3527"/>
      <c r="G4" s="3527"/>
      <c r="H4" s="3527"/>
      <c r="I4" s="3527"/>
      <c r="J4" s="3528"/>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65053</v>
      </c>
      <c r="U4" s="1601"/>
      <c r="V4" s="1600">
        <f t="shared" ca="1" si="1"/>
        <v>0</v>
      </c>
      <c r="W4" s="1604"/>
      <c r="X4" s="1604"/>
      <c r="Y4" s="1604"/>
      <c r="Z4" s="1604"/>
      <c r="AA4" s="1604"/>
      <c r="AB4" s="1604"/>
      <c r="AC4" s="1605"/>
      <c r="AD4" s="1606"/>
      <c r="AE4" s="1606"/>
      <c r="AF4" s="1606"/>
      <c r="AG4" s="1606"/>
      <c r="AH4" s="1606"/>
      <c r="AI4" s="1606"/>
      <c r="AJ4" s="1607"/>
    </row>
    <row r="5" spans="1:36" s="2727" customFormat="1" ht="13.5" customHeight="1" thickBot="1">
      <c r="A5" s="2718" t="s">
        <v>807</v>
      </c>
      <c r="B5" s="2719" t="s">
        <v>2815</v>
      </c>
      <c r="C5" s="917">
        <f>ROUND(IF(E2="商业",C6*C7+C16,(IF(E2="住宅",C6*C12+C16,C6+C16))),0)</f>
        <v>34645</v>
      </c>
      <c r="D5" s="1785">
        <f>ROUND(C6+C16,0)</f>
        <v>23860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53988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23860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47227</v>
      </c>
      <c r="U6" s="1601"/>
      <c r="V6" s="1600">
        <f t="shared" ca="1" si="1"/>
        <v>0</v>
      </c>
      <c r="W6" s="1604"/>
      <c r="X6" s="1604"/>
      <c r="Y6" s="1604"/>
      <c r="Z6" s="1604"/>
      <c r="AA6" s="1604"/>
      <c r="AB6" s="1604"/>
      <c r="AC6" s="2724"/>
      <c r="AD6" s="2725"/>
      <c r="AE6" s="2725"/>
      <c r="AF6" s="2725"/>
      <c r="AG6" s="2725"/>
      <c r="AH6" s="2725"/>
      <c r="AI6" s="2725"/>
      <c r="AJ6" s="2726"/>
    </row>
    <row r="7" spans="1:36" ht="24">
      <c r="A7" s="3516"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42688</v>
      </c>
      <c r="U7" s="1601"/>
      <c r="V7" s="1600">
        <f t="shared" ca="1" si="1"/>
        <v>0</v>
      </c>
      <c r="W7" s="2962" t="s">
        <v>2824</v>
      </c>
      <c r="X7" s="1602" t="str">
        <f>G2</f>
        <v>二级</v>
      </c>
      <c r="Y7" s="1602" t="s">
        <v>2825</v>
      </c>
      <c r="Z7" s="1603">
        <f>G3</f>
        <v>2.13</v>
      </c>
      <c r="AA7" s="1604"/>
      <c r="AB7" s="1604"/>
      <c r="AC7" s="1605"/>
      <c r="AD7" s="1606"/>
      <c r="AE7" s="1606"/>
      <c r="AF7" s="1606"/>
      <c r="AG7" s="1606"/>
      <c r="AH7" s="1606"/>
      <c r="AI7" s="1606"/>
      <c r="AJ7" s="1607"/>
    </row>
    <row r="8" spans="1:36" ht="25.5">
      <c r="A8" s="3529"/>
      <c r="B8" s="198" t="s">
        <v>2826</v>
      </c>
      <c r="C8" s="2739" t="s">
        <v>3104</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30" t="s">
        <v>2829</v>
      </c>
      <c r="X8" s="3531"/>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529"/>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32"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529"/>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3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529"/>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32"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thickBot="1">
      <c r="A12" s="3516" t="s">
        <v>2855</v>
      </c>
      <c r="B12" s="2747" t="s">
        <v>2856</v>
      </c>
      <c r="C12" s="919">
        <f>ROUND(C15*D15*E15*F15*G15*H15*I15*J15,4)</f>
        <v>1.452</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32"/>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533"/>
      <c r="B13" s="2753" t="s">
        <v>2860</v>
      </c>
      <c r="C13" s="2754" t="s">
        <v>2861</v>
      </c>
      <c r="D13" s="2954" t="s">
        <v>2862</v>
      </c>
      <c r="E13" s="2954"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32"/>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c r="A14" s="3533"/>
      <c r="B14" s="2757"/>
      <c r="C14" s="2758" t="s">
        <v>3124</v>
      </c>
      <c r="D14" s="3205" t="s">
        <v>3124</v>
      </c>
      <c r="E14" s="2759" t="s">
        <v>3125</v>
      </c>
      <c r="F14" s="2760" t="s">
        <v>3126</v>
      </c>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534"/>
      <c r="B15" s="2765" t="s">
        <v>2867</v>
      </c>
      <c r="C15" s="229">
        <f>IF(C14="有",1.1,1)</f>
        <v>1.1000000000000001</v>
      </c>
      <c r="D15" s="229">
        <f>IF(D14="有",1.1,1)</f>
        <v>1.1000000000000001</v>
      </c>
      <c r="E15" s="229">
        <f>IF(E14="有",1.1,1)</f>
        <v>1</v>
      </c>
      <c r="F15" s="229">
        <f>IF(F14="500米范围内",1.2,IF(F14="500-1000米",1.1,1))</f>
        <v>1.2</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16" t="s">
        <v>2872</v>
      </c>
      <c r="B16" s="2734" t="s">
        <v>2873</v>
      </c>
      <c r="C16" s="2947">
        <f>ROUND(IF(F17="与级别开发程度一致",0,(G17-E17)/C17),0)</f>
        <v>0</v>
      </c>
      <c r="D16" s="3518" t="s">
        <v>2877</v>
      </c>
      <c r="E16" s="3519"/>
      <c r="F16" s="3518" t="s">
        <v>2874</v>
      </c>
      <c r="G16" s="3519"/>
      <c r="H16" s="2768" t="s">
        <v>3079</v>
      </c>
      <c r="I16" s="2768" t="s">
        <v>3080</v>
      </c>
      <c r="J16" s="2925" t="s">
        <v>3081</v>
      </c>
      <c r="K16" s="2768" t="s">
        <v>3082</v>
      </c>
      <c r="L16" s="2768" t="s">
        <v>3083</v>
      </c>
      <c r="M16" s="2768" t="s">
        <v>3084</v>
      </c>
      <c r="N16" s="2768" t="s">
        <v>3086</v>
      </c>
      <c r="O16" s="2769" t="s">
        <v>3085</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17"/>
      <c r="B17" s="2932" t="s">
        <v>2876</v>
      </c>
      <c r="C17" s="2933">
        <f>SUMPRODUCT((修正!A2:A5=E2)*(修正!B1:M1=G2)*(修正!B2:M5))</f>
        <v>2.5</v>
      </c>
      <c r="D17" s="229" t="str">
        <f>IF(OR(G2="八级",G2="九级",G2="十级",G2="十一级",G2="十二级"),"五通一平","七通一平")</f>
        <v>七通一平</v>
      </c>
      <c r="E17" s="2922">
        <f>SUMPRODUCT((修正!B1:M1=G2)*(修正!B15:M15))</f>
        <v>375</v>
      </c>
      <c r="F17" s="2923" t="s">
        <v>3105</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1.6028</v>
      </c>
      <c r="D19" s="2778" t="s">
        <v>2881</v>
      </c>
      <c r="E19" s="925">
        <v>41640</v>
      </c>
      <c r="F19" s="2778" t="s">
        <v>2882</v>
      </c>
      <c r="G19" s="926">
        <f>'数据-取费表'!B2</f>
        <v>43670</v>
      </c>
      <c r="H19" s="2779" t="s">
        <v>3106</v>
      </c>
      <c r="I19" s="927" t="str">
        <f>IF(H19="季度增幅（自定义）",SUMIF(N21:N24,E2,O21:O24),"")</f>
        <v/>
      </c>
      <c r="J19" s="2776"/>
      <c r="K19" s="1376"/>
      <c r="L19" s="2780" t="s">
        <v>2883</v>
      </c>
      <c r="M19" s="1732">
        <f>ROUND(SUMIF(地价!B2:F2,E2,地价!B27:F27),0)</f>
        <v>423</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0.96050000000000002</v>
      </c>
      <c r="D20" s="2787" t="s">
        <v>2886</v>
      </c>
      <c r="E20" s="1766">
        <f ca="1">存贷款利率!D4/100</f>
        <v>4.3499999999999997E-2</v>
      </c>
      <c r="F20" s="2787" t="s">
        <v>2878</v>
      </c>
      <c r="G20" s="934">
        <f ca="1">SUMIF(M26:P26,E2,M28:P28)</f>
        <v>0.05</v>
      </c>
      <c r="H20" s="2787" t="s">
        <v>2887</v>
      </c>
      <c r="I20" s="2966">
        <f>SUMIF('数据-取费表'!C6:C15,E2,'数据-取费表'!F6:F15)/COUNTIF('数据-取费表'!C6:C15,E2)</f>
        <v>54.19</v>
      </c>
      <c r="J20" s="936">
        <f>IF(E2="住宅",70,IF(E2="商业",40,50))</f>
        <v>70</v>
      </c>
      <c r="K20" s="1376"/>
      <c r="L20" s="2788" t="s">
        <v>2888</v>
      </c>
      <c r="M20" s="1733">
        <f>ROUND(SUMPRODUCT((地价!A4:A27=YEAR(G19)&amp;"-"&amp;ROUNDUP(MONTH(G19)/3,0))*(地价!B2:F2=E2)*(地价!B4:F27)),0)</f>
        <v>678</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3107</v>
      </c>
      <c r="C21" s="2961">
        <f>IF(B21="容积率修正",IF(G3&lt;=10,D22,J22),C23)</f>
        <v>1.0407999999999999</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2960" t="s">
        <v>2895</v>
      </c>
      <c r="D22" s="2960">
        <f>IF(E22=G22,F22,IF(G3&lt;=10,ROUND(F22+(H22-F22)*(G3-E22)/(G22-E22),4),"——"))</f>
        <v>1.0407999999999999</v>
      </c>
      <c r="E22" s="916">
        <f>ROUNDDOWN(G3,1)</f>
        <v>2.1</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6">
        <f>ROUNDUP(G3,1)</f>
        <v>2.2000000000000002</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1.0325</v>
      </c>
      <c r="I22" s="2960"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1.052</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120928</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756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58398</v>
      </c>
      <c r="D29" s="2826">
        <f>'数据-汇总表'!F19</f>
        <v>20189.89</v>
      </c>
      <c r="E29" s="2965">
        <f ca="1">ROUND(C29*D29/10000,0)</f>
        <v>117905</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14600</v>
      </c>
      <c r="D30" s="2832"/>
      <c r="E30" s="2965">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20" t="s">
        <v>2918</v>
      </c>
      <c r="B33" s="2842" t="s">
        <v>2919</v>
      </c>
      <c r="C33" s="206">
        <f ca="1">ROUND(D5*C19*C20*C24*F33,0)</f>
        <v>30914</v>
      </c>
      <c r="D33" s="2826"/>
      <c r="E33" s="200">
        <f ca="1">ROUND(C33*D33/10000,0)</f>
        <v>0</v>
      </c>
      <c r="F33" s="200">
        <f>SUMIF(修正!A45:A56,G2,修正!B45:B56)</f>
        <v>0.8</v>
      </c>
      <c r="G33" s="200">
        <f t="shared" ref="G33" ca="1" si="6">ROUND(IF(E2="工业",C33*$M$39,C33*$M$38),0)</f>
        <v>7729</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21"/>
      <c r="B34" s="2754" t="s">
        <v>2920</v>
      </c>
      <c r="C34" s="206">
        <f ca="1">ROUND(D5*C19*C20*C24*F34,0)</f>
        <v>19321</v>
      </c>
      <c r="D34" s="2826"/>
      <c r="E34" s="200">
        <f t="shared" ref="E34:E39" ca="1" si="7">ROUND(C34*D34/10000,0)</f>
        <v>0</v>
      </c>
      <c r="F34" s="200">
        <f>SUMIF(修正!A45:A56,G2,修正!C45:C56)</f>
        <v>0.5</v>
      </c>
      <c r="G34" s="200">
        <f ca="1">ROUND(IF(E2="工业",C34*$M$39,C34*$M$38),0)</f>
        <v>4830</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21"/>
      <c r="B35" s="2754" t="s">
        <v>2921</v>
      </c>
      <c r="C35" s="206">
        <f ca="1">ROUND(D5*C19*C20*C24*F35,0)</f>
        <v>13911</v>
      </c>
      <c r="D35" s="2826"/>
      <c r="E35" s="200">
        <f t="shared" ca="1" si="7"/>
        <v>0</v>
      </c>
      <c r="F35" s="200">
        <f>SUMIF(修正!A45:A56,G2,修正!D45:D56)</f>
        <v>0.36</v>
      </c>
      <c r="G35" s="200">
        <f ca="1">ROUND(IF(E2="工业",C35*$M$39,C35*$M$38),0)</f>
        <v>3478</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22"/>
      <c r="B36" s="2754" t="s">
        <v>2922</v>
      </c>
      <c r="C36" s="206">
        <f ca="1">ROUND(D5*C19*C20*C24*F36,0)</f>
        <v>11593</v>
      </c>
      <c r="D36" s="2826"/>
      <c r="E36" s="200">
        <f t="shared" ca="1" si="7"/>
        <v>0</v>
      </c>
      <c r="F36" s="200">
        <f>SUMIF(修正!A45:A56,G2,修正!E45:E56)</f>
        <v>0.3</v>
      </c>
      <c r="G36" s="200">
        <f ca="1">ROUND(IF(E2="工业",C36*$M$39,C36*$M$38),0)</f>
        <v>2898</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11593</v>
      </c>
      <c r="D37" s="2826"/>
      <c r="E37" s="200">
        <f t="shared" ca="1" si="7"/>
        <v>0</v>
      </c>
      <c r="F37" s="206">
        <f>SUMIF(修正!A45:A56,G2,修正!F45:F56)</f>
        <v>0.3</v>
      </c>
      <c r="G37" s="200">
        <f ca="1">ROUND(IF(E2="工业",C37*$M$39,C37*$M$38),0)</f>
        <v>2898</v>
      </c>
      <c r="H37" s="200">
        <f t="shared" si="8"/>
        <v>0</v>
      </c>
      <c r="I37" s="200">
        <f t="shared" ca="1" si="9"/>
        <v>0</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10727</v>
      </c>
      <c r="D38" s="2826"/>
      <c r="E38" s="200">
        <f t="shared" ca="1" si="7"/>
        <v>0</v>
      </c>
      <c r="F38" s="206">
        <f>SUMIF(修正!A45:A56,G2,修正!G45:G56)</f>
        <v>0.3</v>
      </c>
      <c r="G38" s="200">
        <f ca="1">ROUND(IF(E2="工业",C38*$M$39,C38*$M$38),0)</f>
        <v>2682</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8939</v>
      </c>
      <c r="D39" s="2832">
        <f>'数据-汇总表'!G21</f>
        <v>3382.29</v>
      </c>
      <c r="E39" s="229">
        <f t="shared" ca="1" si="7"/>
        <v>3023</v>
      </c>
      <c r="F39" s="932">
        <f>SUMIF(修正!A45:A56,G2,修正!H45:H56)</f>
        <v>0.25</v>
      </c>
      <c r="G39" s="229">
        <f ca="1">ROUND(IF(E2="工业",C39*$M$39,C39*$M$38),0)</f>
        <v>2235</v>
      </c>
      <c r="H39" s="229">
        <f t="shared" si="8"/>
        <v>3382.29</v>
      </c>
      <c r="I39" s="229">
        <f t="shared" ca="1" si="9"/>
        <v>756</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0.88880000000000003</v>
      </c>
      <c r="D41" s="200" t="s">
        <v>2878</v>
      </c>
      <c r="E41" s="2918">
        <f ca="1">G20</f>
        <v>0.05</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2952" t="s">
        <v>2931</v>
      </c>
      <c r="C47" s="2952" t="s">
        <v>2932</v>
      </c>
      <c r="D47" s="2952" t="s">
        <v>2933</v>
      </c>
      <c r="E47" s="819" t="s">
        <v>2934</v>
      </c>
      <c r="F47" s="2860" t="s">
        <v>2935</v>
      </c>
      <c r="G47" s="2952" t="s">
        <v>754</v>
      </c>
      <c r="H47" s="2861" t="s">
        <v>2936</v>
      </c>
      <c r="I47" s="2952"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t="e">
        <f>1+E59</f>
        <v>#VALUE!</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2952"/>
      <c r="C58" s="2952" t="s">
        <v>2932</v>
      </c>
      <c r="D58" s="2952" t="s">
        <v>2933</v>
      </c>
      <c r="E58" s="819" t="s">
        <v>2934</v>
      </c>
      <c r="F58" s="2860" t="s">
        <v>2950</v>
      </c>
      <c r="G58" s="2952" t="s">
        <v>754</v>
      </c>
      <c r="H58" s="2861" t="s">
        <v>2936</v>
      </c>
      <c r="I58" s="2952"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3108</v>
      </c>
      <c r="D59" s="1285" t="e">
        <f t="shared" ref="D59:D67" si="15">SUMIF($J$58:$N$58,C59,J59:N59)</f>
        <v>#VALUE!</v>
      </c>
      <c r="E59" s="821" t="e">
        <f>ROUND(SUM(D59:D67),4)</f>
        <v>#VALUE!</v>
      </c>
      <c r="F59" s="2490" t="str">
        <f>IF(E2="办公",SUMIF(L1:L12,G2,N1:N12),"——")</f>
        <v>——</v>
      </c>
      <c r="G59" s="1283" t="str">
        <f>H59</f>
        <v>——</v>
      </c>
      <c r="H59" s="1287" t="str">
        <f t="shared" ref="H59:H67" si="16">IFERROR(ROUNDDOWN($F$59*I59/2,4),"——")</f>
        <v>——</v>
      </c>
      <c r="I59" s="820">
        <v>0.24</v>
      </c>
      <c r="J59" s="1284" t="e">
        <f t="shared" ref="J59:J67" si="17">K59+$G59</f>
        <v>#VALUE!</v>
      </c>
      <c r="K59" s="1284" t="e">
        <f t="shared" ref="K59:K67" si="18">$L59+$G59</f>
        <v>#VALUE!</v>
      </c>
      <c r="L59" s="1284">
        <v>0</v>
      </c>
      <c r="M59" s="1284" t="e">
        <f t="shared" ref="M59:N67" si="19">L59-$G59</f>
        <v>#VALUE!</v>
      </c>
      <c r="N59" s="1284" t="e">
        <f t="shared" si="19"/>
        <v>#VALUE!</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3109</v>
      </c>
      <c r="D60" s="1285" t="e">
        <f t="shared" si="15"/>
        <v>#VALUE!</v>
      </c>
      <c r="E60" s="822"/>
      <c r="F60" s="2490"/>
      <c r="G60" s="1283" t="str">
        <f t="shared" ref="G60:G67" si="20">H60</f>
        <v>——</v>
      </c>
      <c r="H60" s="1287" t="str">
        <f t="shared" si="16"/>
        <v>——</v>
      </c>
      <c r="I60" s="820">
        <v>0.3</v>
      </c>
      <c r="J60" s="1284" t="e">
        <f t="shared" si="17"/>
        <v>#VALUE!</v>
      </c>
      <c r="K60" s="1284" t="e">
        <f t="shared" si="18"/>
        <v>#VALUE!</v>
      </c>
      <c r="L60" s="1284">
        <v>0</v>
      </c>
      <c r="M60" s="1284" t="e">
        <f t="shared" si="19"/>
        <v>#VALUE!</v>
      </c>
      <c r="N60" s="1284" t="e">
        <f t="shared" si="19"/>
        <v>#VALUE!</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3109</v>
      </c>
      <c r="D61" s="1285" t="e">
        <f t="shared" si="15"/>
        <v>#VALUE!</v>
      </c>
      <c r="E61" s="822"/>
      <c r="F61" s="2490"/>
      <c r="G61" s="1283" t="str">
        <f t="shared" si="20"/>
        <v>——</v>
      </c>
      <c r="H61" s="1287" t="str">
        <f t="shared" si="16"/>
        <v>——</v>
      </c>
      <c r="I61" s="820">
        <v>0.08</v>
      </c>
      <c r="J61" s="1284" t="e">
        <f t="shared" si="17"/>
        <v>#VALUE!</v>
      </c>
      <c r="K61" s="1284" t="e">
        <f t="shared" si="18"/>
        <v>#VALUE!</v>
      </c>
      <c r="L61" s="1284">
        <v>0</v>
      </c>
      <c r="M61" s="1284" t="e">
        <f t="shared" si="19"/>
        <v>#VALUE!</v>
      </c>
      <c r="N61" s="1284" t="e">
        <f t="shared" si="19"/>
        <v>#VALUE!</v>
      </c>
      <c r="AA61" s="1370"/>
      <c r="AB61" s="1370"/>
      <c r="AC61" s="1370"/>
      <c r="AD61" s="1370"/>
      <c r="AE61" s="1370"/>
      <c r="AF61" s="1370"/>
      <c r="AG61" s="1370"/>
      <c r="AH61" s="1370"/>
      <c r="AI61" s="1370"/>
      <c r="AJ61" s="1370"/>
      <c r="AK61" s="1370"/>
    </row>
    <row r="62" spans="1:37" s="1369" customFormat="1" ht="36.75">
      <c r="A62" s="2859" t="s">
        <v>2941</v>
      </c>
      <c r="B62" s="2864" t="s">
        <v>2942</v>
      </c>
      <c r="C62" s="2759" t="s">
        <v>3108</v>
      </c>
      <c r="D62" s="1285" t="e">
        <f t="shared" si="15"/>
        <v>#VALUE!</v>
      </c>
      <c r="E62" s="822"/>
      <c r="F62" s="2490"/>
      <c r="G62" s="1283" t="str">
        <f t="shared" si="20"/>
        <v>——</v>
      </c>
      <c r="H62" s="1287" t="str">
        <f t="shared" si="16"/>
        <v>——</v>
      </c>
      <c r="I62" s="820">
        <v>0.04</v>
      </c>
      <c r="J62" s="1284" t="e">
        <f t="shared" si="17"/>
        <v>#VALUE!</v>
      </c>
      <c r="K62" s="1284" t="e">
        <f t="shared" si="18"/>
        <v>#VALUE!</v>
      </c>
      <c r="L62" s="1284">
        <v>0</v>
      </c>
      <c r="M62" s="1284" t="e">
        <f t="shared" si="19"/>
        <v>#VALUE!</v>
      </c>
      <c r="N62" s="1284" t="e">
        <f t="shared" si="19"/>
        <v>#VALUE!</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3108</v>
      </c>
      <c r="D63" s="1285" t="e">
        <f t="shared" si="15"/>
        <v>#VALUE!</v>
      </c>
      <c r="E63" s="822"/>
      <c r="F63" s="2490"/>
      <c r="G63" s="1283" t="str">
        <f t="shared" si="20"/>
        <v>——</v>
      </c>
      <c r="H63" s="1287" t="str">
        <f t="shared" si="16"/>
        <v>——</v>
      </c>
      <c r="I63" s="820">
        <v>0.05</v>
      </c>
      <c r="J63" s="1284" t="e">
        <f t="shared" si="17"/>
        <v>#VALUE!</v>
      </c>
      <c r="K63" s="1284" t="e">
        <f t="shared" si="18"/>
        <v>#VALUE!</v>
      </c>
      <c r="L63" s="1284">
        <v>0</v>
      </c>
      <c r="M63" s="1284" t="e">
        <f t="shared" si="19"/>
        <v>#VALUE!</v>
      </c>
      <c r="N63" s="1284" t="e">
        <f t="shared" si="19"/>
        <v>#VALUE!</v>
      </c>
      <c r="AA63" s="1370"/>
      <c r="AB63" s="1370"/>
      <c r="AC63" s="1370"/>
      <c r="AD63" s="1370"/>
      <c r="AE63" s="1370"/>
      <c r="AF63" s="1370"/>
      <c r="AG63" s="1370"/>
      <c r="AH63" s="1370"/>
      <c r="AI63" s="1370"/>
      <c r="AJ63" s="1370"/>
      <c r="AK63" s="1370"/>
    </row>
    <row r="64" spans="1:37" s="1369" customFormat="1" ht="24">
      <c r="A64" s="2859" t="s">
        <v>2944</v>
      </c>
      <c r="B64" s="2865" t="s">
        <v>2945</v>
      </c>
      <c r="C64" s="2759" t="s">
        <v>3108</v>
      </c>
      <c r="D64" s="1285" t="e">
        <f t="shared" si="15"/>
        <v>#VALUE!</v>
      </c>
      <c r="E64" s="822"/>
      <c r="F64" s="2490"/>
      <c r="G64" s="1283" t="str">
        <f t="shared" si="20"/>
        <v>——</v>
      </c>
      <c r="H64" s="1287" t="str">
        <f t="shared" si="16"/>
        <v>——</v>
      </c>
      <c r="I64" s="820">
        <v>0.05</v>
      </c>
      <c r="J64" s="1284" t="e">
        <f t="shared" si="17"/>
        <v>#VALUE!</v>
      </c>
      <c r="K64" s="1284" t="e">
        <f t="shared" si="18"/>
        <v>#VALUE!</v>
      </c>
      <c r="L64" s="1284">
        <v>0</v>
      </c>
      <c r="M64" s="1284" t="e">
        <f t="shared" si="19"/>
        <v>#VALUE!</v>
      </c>
      <c r="N64" s="1284" t="e">
        <f t="shared" si="19"/>
        <v>#VALUE!</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3108</v>
      </c>
      <c r="D65" s="1285" t="e">
        <f t="shared" si="15"/>
        <v>#VALUE!</v>
      </c>
      <c r="E65" s="822"/>
      <c r="F65" s="2490"/>
      <c r="G65" s="1283" t="str">
        <f t="shared" si="20"/>
        <v>——</v>
      </c>
      <c r="H65" s="1287" t="str">
        <f t="shared" si="16"/>
        <v>——</v>
      </c>
      <c r="I65" s="820">
        <v>0.06</v>
      </c>
      <c r="J65" s="1284" t="e">
        <f t="shared" si="17"/>
        <v>#VALUE!</v>
      </c>
      <c r="K65" s="1284" t="e">
        <f t="shared" si="18"/>
        <v>#VALUE!</v>
      </c>
      <c r="L65" s="1284">
        <v>0</v>
      </c>
      <c r="M65" s="1284" t="e">
        <f t="shared" si="19"/>
        <v>#VALUE!</v>
      </c>
      <c r="N65" s="1284" t="e">
        <f t="shared" si="19"/>
        <v>#VALUE!</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3109</v>
      </c>
      <c r="D66" s="1285" t="e">
        <f t="shared" si="15"/>
        <v>#VALUE!</v>
      </c>
      <c r="E66" s="822"/>
      <c r="F66" s="2490"/>
      <c r="G66" s="1283" t="str">
        <f t="shared" si="20"/>
        <v>——</v>
      </c>
      <c r="H66" s="1287" t="str">
        <f t="shared" si="16"/>
        <v>——</v>
      </c>
      <c r="I66" s="820">
        <v>0.12</v>
      </c>
      <c r="J66" s="1284" t="e">
        <f t="shared" si="17"/>
        <v>#VALUE!</v>
      </c>
      <c r="K66" s="1284" t="e">
        <f t="shared" si="18"/>
        <v>#VALUE!</v>
      </c>
      <c r="L66" s="1284">
        <v>0</v>
      </c>
      <c r="M66" s="1284" t="e">
        <f t="shared" si="19"/>
        <v>#VALUE!</v>
      </c>
      <c r="N66" s="1284" t="e">
        <f t="shared" si="19"/>
        <v>#VALUE!</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3108</v>
      </c>
      <c r="D67" s="1285" t="e">
        <f t="shared" si="15"/>
        <v>#VALUE!</v>
      </c>
      <c r="E67" s="825"/>
      <c r="F67" s="2490"/>
      <c r="G67" s="1283" t="str">
        <f t="shared" si="20"/>
        <v>——</v>
      </c>
      <c r="H67" s="1287" t="str">
        <f t="shared" si="16"/>
        <v>——</v>
      </c>
      <c r="I67" s="824">
        <v>0.06</v>
      </c>
      <c r="J67" s="1284" t="e">
        <f t="shared" si="17"/>
        <v>#VALUE!</v>
      </c>
      <c r="K67" s="1284" t="e">
        <f t="shared" si="18"/>
        <v>#VALUE!</v>
      </c>
      <c r="L67" s="1284">
        <v>0</v>
      </c>
      <c r="M67" s="1284" t="e">
        <f t="shared" si="19"/>
        <v>#VALUE!</v>
      </c>
      <c r="N67" s="1284" t="e">
        <f t="shared" si="19"/>
        <v>#VALUE!</v>
      </c>
      <c r="AA67" s="1370"/>
      <c r="AB67" s="1370"/>
      <c r="AC67" s="1370"/>
      <c r="AD67" s="1370"/>
      <c r="AE67" s="1370"/>
      <c r="AF67" s="1370"/>
      <c r="AG67" s="1370"/>
      <c r="AH67" s="1370"/>
      <c r="AI67" s="1370"/>
      <c r="AJ67" s="1370"/>
      <c r="AK67" s="1370"/>
    </row>
    <row r="68" spans="1:37" s="1369" customFormat="1" ht="15">
      <c r="A68" s="2855" t="s">
        <v>2952</v>
      </c>
      <c r="B68" s="2856">
        <f>1+E70</f>
        <v>1.052</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2952"/>
      <c r="C69" s="2952" t="s">
        <v>2932</v>
      </c>
      <c r="D69" s="2952" t="s">
        <v>2933</v>
      </c>
      <c r="E69" s="819" t="s">
        <v>2934</v>
      </c>
      <c r="F69" s="2860" t="s">
        <v>2950</v>
      </c>
      <c r="G69" s="2952" t="s">
        <v>754</v>
      </c>
      <c r="H69" s="2861" t="s">
        <v>2936</v>
      </c>
      <c r="I69" s="2952"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t="s">
        <v>3109</v>
      </c>
      <c r="D70" s="1285">
        <f t="shared" ref="D70:D78" si="21">SUMIF($J$69:$N$69,C70,J70:N70)</f>
        <v>9.7999999999999997E-3</v>
      </c>
      <c r="E70" s="821">
        <f>ROUND(SUM(D70:D78),4)</f>
        <v>5.1999999999999998E-2</v>
      </c>
      <c r="F70" s="2490">
        <f>IF(E2="住宅",SUMIF(L1:L12,G2,N1:N12),"——")</f>
        <v>7.0000000000000007E-2</v>
      </c>
      <c r="G70" s="1283">
        <f>H70</f>
        <v>4.8999999999999998E-3</v>
      </c>
      <c r="H70" s="1287">
        <f t="shared" ref="H70:H78" si="22">IFERROR(ROUNDDOWN($F$70*I70/2,4),"——")</f>
        <v>4.8999999999999998E-3</v>
      </c>
      <c r="I70" s="820">
        <v>0.14000000000000001</v>
      </c>
      <c r="J70" s="1284">
        <f t="shared" ref="J70:J78" si="23">K70+$G70</f>
        <v>9.7999999999999997E-3</v>
      </c>
      <c r="K70" s="1284">
        <f t="shared" ref="K70:K78" si="24">$L70+$G70</f>
        <v>4.8999999999999998E-3</v>
      </c>
      <c r="L70" s="1284">
        <v>0</v>
      </c>
      <c r="M70" s="1284">
        <f t="shared" ref="M70:N78" si="25">L70-$G70</f>
        <v>-4.8999999999999998E-3</v>
      </c>
      <c r="N70" s="1284">
        <f t="shared" si="25"/>
        <v>-9.7999999999999997E-3</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t="s">
        <v>3108</v>
      </c>
      <c r="D71" s="1285">
        <f t="shared" si="21"/>
        <v>1.0500000000000001E-2</v>
      </c>
      <c r="E71" s="826"/>
      <c r="F71" s="2490"/>
      <c r="G71" s="1283">
        <f t="shared" ref="G71:G78" si="26">H71</f>
        <v>1.0500000000000001E-2</v>
      </c>
      <c r="H71" s="1287">
        <f t="shared" si="22"/>
        <v>1.0500000000000001E-2</v>
      </c>
      <c r="I71" s="820">
        <v>0.3</v>
      </c>
      <c r="J71" s="1284">
        <f t="shared" si="23"/>
        <v>2.1000000000000001E-2</v>
      </c>
      <c r="K71" s="1284">
        <f t="shared" si="24"/>
        <v>1.0500000000000001E-2</v>
      </c>
      <c r="L71" s="1284">
        <v>0</v>
      </c>
      <c r="M71" s="1284">
        <f t="shared" si="25"/>
        <v>-1.0500000000000001E-2</v>
      </c>
      <c r="N71" s="1284">
        <f t="shared" si="25"/>
        <v>-2.1000000000000001E-2</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t="s">
        <v>3109</v>
      </c>
      <c r="D72" s="1285">
        <f t="shared" si="21"/>
        <v>5.5999999999999999E-3</v>
      </c>
      <c r="E72" s="826"/>
      <c r="F72" s="2490"/>
      <c r="G72" s="1283">
        <f t="shared" si="26"/>
        <v>2.8E-3</v>
      </c>
      <c r="H72" s="1287">
        <f t="shared" si="22"/>
        <v>2.8E-3</v>
      </c>
      <c r="I72" s="820">
        <v>0.08</v>
      </c>
      <c r="J72" s="1284">
        <f t="shared" si="23"/>
        <v>5.5999999999999999E-3</v>
      </c>
      <c r="K72" s="1284">
        <f t="shared" si="24"/>
        <v>2.8E-3</v>
      </c>
      <c r="L72" s="1284">
        <v>0</v>
      </c>
      <c r="M72" s="1284">
        <f t="shared" si="25"/>
        <v>-2.8E-3</v>
      </c>
      <c r="N72" s="1284">
        <f t="shared" si="25"/>
        <v>-5.5999999999999999E-3</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t="s">
        <v>3122</v>
      </c>
      <c r="D73" s="1285">
        <f t="shared" si="21"/>
        <v>-1.4E-3</v>
      </c>
      <c r="E73" s="826"/>
      <c r="F73" s="2490"/>
      <c r="G73" s="1283">
        <f t="shared" si="26"/>
        <v>1.4E-3</v>
      </c>
      <c r="H73" s="1287">
        <f t="shared" si="22"/>
        <v>1.4E-3</v>
      </c>
      <c r="I73" s="820">
        <v>0.04</v>
      </c>
      <c r="J73" s="1284">
        <f t="shared" si="23"/>
        <v>2.8E-3</v>
      </c>
      <c r="K73" s="1284">
        <f t="shared" si="24"/>
        <v>1.4E-3</v>
      </c>
      <c r="L73" s="1284">
        <v>0</v>
      </c>
      <c r="M73" s="1284">
        <f t="shared" si="25"/>
        <v>-1.4E-3</v>
      </c>
      <c r="N73" s="1284">
        <f t="shared" si="25"/>
        <v>-2.8E-3</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t="s">
        <v>3109</v>
      </c>
      <c r="D74" s="1285">
        <f t="shared" si="21"/>
        <v>5.5999999999999999E-3</v>
      </c>
      <c r="E74" s="826"/>
      <c r="F74" s="2490"/>
      <c r="G74" s="1283">
        <f t="shared" si="26"/>
        <v>2.8E-3</v>
      </c>
      <c r="H74" s="1287">
        <f t="shared" si="22"/>
        <v>2.8E-3</v>
      </c>
      <c r="I74" s="820">
        <v>0.08</v>
      </c>
      <c r="J74" s="1284">
        <f t="shared" si="23"/>
        <v>5.5999999999999999E-3</v>
      </c>
      <c r="K74" s="1284">
        <f t="shared" si="24"/>
        <v>2.8E-3</v>
      </c>
      <c r="L74" s="1284">
        <v>0</v>
      </c>
      <c r="M74" s="1284">
        <f t="shared" si="25"/>
        <v>-2.8E-3</v>
      </c>
      <c r="N74" s="1284">
        <f t="shared" si="25"/>
        <v>-5.5999999999999999E-3</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t="s">
        <v>3109</v>
      </c>
      <c r="D75" s="1285">
        <f t="shared" si="21"/>
        <v>8.3999999999999995E-3</v>
      </c>
      <c r="E75" s="826"/>
      <c r="F75" s="2490"/>
      <c r="G75" s="1283">
        <f t="shared" si="26"/>
        <v>4.1999999999999997E-3</v>
      </c>
      <c r="H75" s="1287">
        <f t="shared" si="22"/>
        <v>4.1999999999999997E-3</v>
      </c>
      <c r="I75" s="820">
        <v>0.12</v>
      </c>
      <c r="J75" s="1284">
        <f t="shared" si="23"/>
        <v>8.3999999999999995E-3</v>
      </c>
      <c r="K75" s="1284">
        <f t="shared" si="24"/>
        <v>4.1999999999999997E-3</v>
      </c>
      <c r="L75" s="1284">
        <v>0</v>
      </c>
      <c r="M75" s="1284">
        <f t="shared" si="25"/>
        <v>-4.1999999999999997E-3</v>
      </c>
      <c r="N75" s="1284">
        <f t="shared" si="25"/>
        <v>-8.3999999999999995E-3</v>
      </c>
      <c r="AA75" s="1370"/>
      <c r="AB75" s="1370"/>
      <c r="AC75" s="1370"/>
      <c r="AD75" s="1370"/>
      <c r="AE75" s="1370"/>
      <c r="AF75" s="1370"/>
      <c r="AG75" s="1370"/>
      <c r="AH75" s="1370"/>
      <c r="AI75" s="1370"/>
      <c r="AJ75" s="1370"/>
      <c r="AK75" s="1370"/>
    </row>
    <row r="76" spans="1:37" s="2708" customFormat="1" ht="24">
      <c r="A76" s="2859" t="s">
        <v>2944</v>
      </c>
      <c r="B76" s="2990" t="s">
        <v>3127</v>
      </c>
      <c r="C76" s="2759" t="s">
        <v>3108</v>
      </c>
      <c r="D76" s="1285">
        <f t="shared" si="21"/>
        <v>1.6999999999999999E-3</v>
      </c>
      <c r="E76" s="826"/>
      <c r="F76" s="2490"/>
      <c r="G76" s="1283">
        <f t="shared" si="26"/>
        <v>1.6999999999999999E-3</v>
      </c>
      <c r="H76" s="1287">
        <f t="shared" si="22"/>
        <v>1.6999999999999999E-3</v>
      </c>
      <c r="I76" s="820">
        <v>0.05</v>
      </c>
      <c r="J76" s="1284">
        <f t="shared" si="23"/>
        <v>3.3999999999999998E-3</v>
      </c>
      <c r="K76" s="1284">
        <f t="shared" si="24"/>
        <v>1.6999999999999999E-3</v>
      </c>
      <c r="L76" s="1284">
        <v>0</v>
      </c>
      <c r="M76" s="1284">
        <f t="shared" si="25"/>
        <v>-1.6999999999999999E-3</v>
      </c>
      <c r="N76" s="1284">
        <f t="shared" si="25"/>
        <v>-3.3999999999999998E-3</v>
      </c>
      <c r="AA76" s="2870"/>
      <c r="AB76" s="1370"/>
      <c r="AC76" s="1370"/>
      <c r="AD76" s="1370"/>
      <c r="AE76" s="1370"/>
      <c r="AF76" s="1370"/>
      <c r="AG76" s="1370"/>
      <c r="AH76" s="2870"/>
      <c r="AI76" s="2870"/>
      <c r="AJ76" s="2870"/>
      <c r="AK76" s="2870"/>
    </row>
    <row r="77" spans="1:37" ht="24">
      <c r="A77" s="2859" t="s">
        <v>2948</v>
      </c>
      <c r="B77" s="2862" t="str">
        <f>估价对象房地状况!C20</f>
        <v>好</v>
      </c>
      <c r="C77" s="2759" t="s">
        <v>3109</v>
      </c>
      <c r="D77" s="1285">
        <f t="shared" si="21"/>
        <v>1.04E-2</v>
      </c>
      <c r="E77" s="826"/>
      <c r="F77" s="2490"/>
      <c r="G77" s="1283">
        <f t="shared" si="26"/>
        <v>5.1999999999999998E-3</v>
      </c>
      <c r="H77" s="1287">
        <f t="shared" si="22"/>
        <v>5.1999999999999998E-3</v>
      </c>
      <c r="I77" s="820">
        <v>0.15</v>
      </c>
      <c r="J77" s="1284">
        <f t="shared" si="23"/>
        <v>1.04E-2</v>
      </c>
      <c r="K77" s="1284">
        <f t="shared" si="24"/>
        <v>5.1999999999999998E-3</v>
      </c>
      <c r="L77" s="1284">
        <v>0</v>
      </c>
      <c r="M77" s="1284">
        <f t="shared" si="25"/>
        <v>-5.1999999999999998E-3</v>
      </c>
      <c r="N77" s="1284">
        <f t="shared" si="25"/>
        <v>-1.04E-2</v>
      </c>
      <c r="Z77" s="2709"/>
      <c r="AA77" s="2777"/>
      <c r="AG77" s="1371"/>
      <c r="AK77" s="2777"/>
    </row>
    <row r="78" spans="1:37" ht="24.75" thickBot="1">
      <c r="A78" s="2867" t="s">
        <v>2955</v>
      </c>
      <c r="B78" s="2991" t="s">
        <v>3128</v>
      </c>
      <c r="C78" s="2759" t="s">
        <v>3108</v>
      </c>
      <c r="D78" s="1285">
        <f t="shared" si="21"/>
        <v>1.4E-3</v>
      </c>
      <c r="E78" s="827"/>
      <c r="F78" s="2490"/>
      <c r="G78" s="1283">
        <f t="shared" si="26"/>
        <v>1.4E-3</v>
      </c>
      <c r="H78" s="1287">
        <f t="shared" si="22"/>
        <v>1.4E-3</v>
      </c>
      <c r="I78" s="824">
        <v>0.04</v>
      </c>
      <c r="J78" s="1284">
        <f t="shared" si="23"/>
        <v>2.8E-3</v>
      </c>
      <c r="K78" s="1284">
        <f t="shared" si="24"/>
        <v>1.4E-3</v>
      </c>
      <c r="L78" s="1284">
        <v>0</v>
      </c>
      <c r="M78" s="1284">
        <f t="shared" si="25"/>
        <v>-1.4E-3</v>
      </c>
      <c r="N78" s="1284">
        <f t="shared" si="25"/>
        <v>-2.8E-3</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2952"/>
      <c r="C80" s="2952" t="s">
        <v>2932</v>
      </c>
      <c r="D80" s="2952" t="s">
        <v>2933</v>
      </c>
      <c r="E80" s="819" t="s">
        <v>2934</v>
      </c>
      <c r="F80" s="2860" t="s">
        <v>2950</v>
      </c>
      <c r="G80" s="2952" t="s">
        <v>754</v>
      </c>
      <c r="H80" s="2861" t="s">
        <v>2936</v>
      </c>
      <c r="I80" s="2952"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7">SUMIF($J$80:$N$80,C81,J81:N81)</f>
        <v>0</v>
      </c>
      <c r="E81" s="821">
        <f>ROUND(SUM(D81:D88),4)</f>
        <v>0</v>
      </c>
      <c r="F81" s="2490" t="str">
        <f>IF(E2="工业",SUMIF(L1:L12,G2,N1:N12),"——")</f>
        <v>——</v>
      </c>
      <c r="G81" s="1283"/>
      <c r="H81" s="1287" t="str">
        <f t="shared" ref="H81:H88" si="28">IFERROR(ROUNDDOWN($F$81*I81/2,4),"——")</f>
        <v>——</v>
      </c>
      <c r="I81" s="820">
        <v>0.26</v>
      </c>
      <c r="J81" s="1284">
        <f t="shared" ref="J81:J88" si="29">K81+$G81</f>
        <v>0</v>
      </c>
      <c r="K81" s="1284">
        <f t="shared" ref="K81:K88" si="30">$L81+$G81</f>
        <v>0</v>
      </c>
      <c r="L81" s="1284">
        <v>0</v>
      </c>
      <c r="M81" s="1284">
        <f t="shared" ref="M81:N88" si="31">L81-$G81</f>
        <v>0</v>
      </c>
      <c r="N81" s="1284">
        <f t="shared" si="31"/>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7"/>
        <v>0</v>
      </c>
      <c r="E82" s="826"/>
      <c r="F82" s="2490"/>
      <c r="G82" s="1283"/>
      <c r="H82" s="1287" t="str">
        <f t="shared" si="28"/>
        <v>——</v>
      </c>
      <c r="I82" s="820">
        <v>0.33</v>
      </c>
      <c r="J82" s="1284">
        <f t="shared" si="29"/>
        <v>0</v>
      </c>
      <c r="K82" s="1284">
        <f t="shared" si="30"/>
        <v>0</v>
      </c>
      <c r="L82" s="1284">
        <v>0</v>
      </c>
      <c r="M82" s="1284">
        <f t="shared" si="31"/>
        <v>0</v>
      </c>
      <c r="N82" s="1284">
        <f t="shared" si="31"/>
        <v>0</v>
      </c>
      <c r="Z82" s="2709"/>
      <c r="AA82" s="2777"/>
      <c r="AG82" s="1371"/>
      <c r="AK82" s="2777"/>
    </row>
    <row r="83" spans="1:37" ht="24">
      <c r="A83" s="2859" t="s">
        <v>2940</v>
      </c>
      <c r="B83" s="2863">
        <f>估价对象房地状况!G17</f>
        <v>0</v>
      </c>
      <c r="C83" s="2759"/>
      <c r="D83" s="1285">
        <f t="shared" si="27"/>
        <v>0</v>
      </c>
      <c r="E83" s="826"/>
      <c r="F83" s="2490"/>
      <c r="G83" s="1283"/>
      <c r="H83" s="1287" t="str">
        <f t="shared" si="28"/>
        <v>——</v>
      </c>
      <c r="I83" s="820">
        <v>0.05</v>
      </c>
      <c r="J83" s="1284">
        <f t="shared" si="29"/>
        <v>0</v>
      </c>
      <c r="K83" s="1284">
        <f t="shared" si="30"/>
        <v>0</v>
      </c>
      <c r="L83" s="1284">
        <v>0</v>
      </c>
      <c r="M83" s="1284">
        <f t="shared" si="31"/>
        <v>0</v>
      </c>
      <c r="N83" s="1284">
        <f t="shared" si="31"/>
        <v>0</v>
      </c>
      <c r="Z83" s="2709"/>
      <c r="AA83" s="2777"/>
      <c r="AG83" s="1371"/>
      <c r="AK83" s="2777"/>
    </row>
    <row r="84" spans="1:37" ht="14.25">
      <c r="A84" s="2859" t="s">
        <v>2954</v>
      </c>
      <c r="B84" s="2863">
        <f>估价对象房地状况!G22</f>
        <v>0</v>
      </c>
      <c r="C84" s="2759"/>
      <c r="D84" s="1285">
        <f t="shared" si="27"/>
        <v>0</v>
      </c>
      <c r="E84" s="826"/>
      <c r="F84" s="2490"/>
      <c r="G84" s="1283"/>
      <c r="H84" s="1287" t="str">
        <f t="shared" si="28"/>
        <v>——</v>
      </c>
      <c r="I84" s="820">
        <v>0.04</v>
      </c>
      <c r="J84" s="1284">
        <f t="shared" si="29"/>
        <v>0</v>
      </c>
      <c r="K84" s="1284">
        <f t="shared" si="30"/>
        <v>0</v>
      </c>
      <c r="L84" s="1284">
        <v>0</v>
      </c>
      <c r="M84" s="1284">
        <f t="shared" si="31"/>
        <v>0</v>
      </c>
      <c r="N84" s="1284">
        <f t="shared" si="31"/>
        <v>0</v>
      </c>
      <c r="Z84" s="2709"/>
      <c r="AA84" s="2777"/>
      <c r="AG84" s="1371"/>
      <c r="AK84" s="2777"/>
    </row>
    <row r="85" spans="1:37" ht="25.5">
      <c r="A85" s="2859" t="s">
        <v>2946</v>
      </c>
      <c r="B85" s="1723" t="str">
        <f>估价对象房地状况!G19</f>
        <v>估价对象所在区域公共配套设施齐备情况</v>
      </c>
      <c r="C85" s="2759"/>
      <c r="D85" s="1285">
        <f t="shared" si="27"/>
        <v>0</v>
      </c>
      <c r="E85" s="826"/>
      <c r="F85" s="2490"/>
      <c r="G85" s="1283"/>
      <c r="H85" s="1287" t="str">
        <f t="shared" si="28"/>
        <v>——</v>
      </c>
      <c r="I85" s="820">
        <v>0.06</v>
      </c>
      <c r="J85" s="1284">
        <f t="shared" si="29"/>
        <v>0</v>
      </c>
      <c r="K85" s="1284">
        <f t="shared" si="30"/>
        <v>0</v>
      </c>
      <c r="L85" s="1284">
        <v>0</v>
      </c>
      <c r="M85" s="1284">
        <f t="shared" si="31"/>
        <v>0</v>
      </c>
      <c r="N85" s="1284">
        <f t="shared" si="31"/>
        <v>0</v>
      </c>
      <c r="Z85" s="2709"/>
      <c r="AA85" s="2777"/>
      <c r="AG85" s="1371"/>
      <c r="AK85" s="2777"/>
    </row>
    <row r="86" spans="1:37" ht="25.5">
      <c r="A86" s="2859" t="s">
        <v>2947</v>
      </c>
      <c r="B86" s="1723" t="str">
        <f>估价对象房地状况!G20</f>
        <v>估价对象所在区域基础设施水平</v>
      </c>
      <c r="C86" s="2759"/>
      <c r="D86" s="1285">
        <f t="shared" si="27"/>
        <v>0</v>
      </c>
      <c r="E86" s="826"/>
      <c r="F86" s="2490"/>
      <c r="G86" s="1283"/>
      <c r="H86" s="1287" t="str">
        <f t="shared" si="28"/>
        <v>——</v>
      </c>
      <c r="I86" s="820">
        <v>0.15</v>
      </c>
      <c r="J86" s="1284">
        <f t="shared" si="29"/>
        <v>0</v>
      </c>
      <c r="K86" s="1284">
        <f t="shared" si="30"/>
        <v>0</v>
      </c>
      <c r="L86" s="1284">
        <v>0</v>
      </c>
      <c r="M86" s="1284">
        <f t="shared" si="31"/>
        <v>0</v>
      </c>
      <c r="N86" s="1284">
        <f t="shared" si="31"/>
        <v>0</v>
      </c>
      <c r="Z86" s="2709"/>
      <c r="AA86" s="2777"/>
      <c r="AG86" s="1371"/>
      <c r="AK86" s="2777"/>
    </row>
    <row r="87" spans="1:37" ht="24">
      <c r="A87" s="2859" t="s">
        <v>2944</v>
      </c>
      <c r="B87" s="2865" t="s">
        <v>2958</v>
      </c>
      <c r="C87" s="2759"/>
      <c r="D87" s="1285">
        <f t="shared" si="27"/>
        <v>0</v>
      </c>
      <c r="E87" s="826"/>
      <c r="F87" s="2490"/>
      <c r="G87" s="1283"/>
      <c r="H87" s="1287" t="str">
        <f t="shared" si="28"/>
        <v>——</v>
      </c>
      <c r="I87" s="820">
        <v>0.05</v>
      </c>
      <c r="J87" s="1284">
        <f t="shared" si="29"/>
        <v>0</v>
      </c>
      <c r="K87" s="1284">
        <f t="shared" si="30"/>
        <v>0</v>
      </c>
      <c r="L87" s="1284">
        <v>0</v>
      </c>
      <c r="M87" s="1284">
        <f t="shared" si="31"/>
        <v>0</v>
      </c>
      <c r="N87" s="1284">
        <f t="shared" si="31"/>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7"/>
        <v>0</v>
      </c>
      <c r="E88" s="827"/>
      <c r="F88" s="2490"/>
      <c r="G88" s="1283"/>
      <c r="H88" s="1287" t="str">
        <f t="shared" si="28"/>
        <v>——</v>
      </c>
      <c r="I88" s="824">
        <v>0.06</v>
      </c>
      <c r="J88" s="1284">
        <f t="shared" si="29"/>
        <v>0</v>
      </c>
      <c r="K88" s="1284">
        <f t="shared" si="30"/>
        <v>0</v>
      </c>
      <c r="L88" s="1284">
        <v>0</v>
      </c>
      <c r="M88" s="1284">
        <f t="shared" si="31"/>
        <v>0</v>
      </c>
      <c r="N88" s="1284">
        <f t="shared" si="31"/>
        <v>0</v>
      </c>
      <c r="Z88" s="2709"/>
      <c r="AA88" s="2777"/>
      <c r="AG88" s="1371"/>
      <c r="AK88" s="2777"/>
    </row>
    <row r="90" spans="1:37">
      <c r="A90" s="3523" t="s">
        <v>2960</v>
      </c>
      <c r="B90" s="3523"/>
      <c r="C90" s="3523"/>
      <c r="D90" s="3523"/>
      <c r="E90" s="3523"/>
      <c r="F90" s="3523"/>
      <c r="G90" s="3523"/>
      <c r="H90" s="3523"/>
      <c r="I90" s="3523"/>
      <c r="J90" s="3523"/>
      <c r="K90" s="2963"/>
      <c r="L90" s="2963"/>
      <c r="M90" s="2963"/>
      <c r="N90" s="2963"/>
    </row>
    <row r="91" spans="1:37">
      <c r="A91" s="3524" t="s">
        <v>2961</v>
      </c>
      <c r="B91" s="3524" t="s">
        <v>2962</v>
      </c>
      <c r="C91" s="2827" t="s">
        <v>2963</v>
      </c>
      <c r="D91" s="2828"/>
      <c r="E91" s="2828"/>
      <c r="F91" s="2828"/>
      <c r="G91" s="2828"/>
      <c r="H91" s="2828"/>
      <c r="I91" s="2828"/>
      <c r="J91" s="2874"/>
      <c r="K91" s="2875"/>
      <c r="L91" s="2875"/>
      <c r="M91" s="2875"/>
      <c r="N91" s="2875"/>
    </row>
    <row r="92" spans="1:37">
      <c r="A92" s="3524"/>
      <c r="B92" s="3524"/>
      <c r="C92" s="2965" t="s">
        <v>2830</v>
      </c>
      <c r="D92" s="2965" t="s">
        <v>2831</v>
      </c>
      <c r="E92" s="2965" t="s">
        <v>2832</v>
      </c>
      <c r="F92" s="2965" t="s">
        <v>2833</v>
      </c>
      <c r="G92" s="2965" t="s">
        <v>2834</v>
      </c>
      <c r="H92" s="2965" t="s">
        <v>2835</v>
      </c>
      <c r="I92" s="2965" t="s">
        <v>2836</v>
      </c>
      <c r="J92" s="2965" t="s">
        <v>2837</v>
      </c>
      <c r="K92" s="2965" t="s">
        <v>2838</v>
      </c>
      <c r="L92" s="2965" t="s">
        <v>2839</v>
      </c>
      <c r="M92" s="2965" t="s">
        <v>2840</v>
      </c>
      <c r="N92" s="2965" t="s">
        <v>2841</v>
      </c>
    </row>
    <row r="93" spans="1:37">
      <c r="A93" s="3512"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13"/>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13"/>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13"/>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13"/>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13"/>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13"/>
      <c r="B99" s="2876" t="s">
        <v>2846</v>
      </c>
      <c r="C99" s="2878">
        <f>$I$3</f>
        <v>0</v>
      </c>
      <c r="D99" s="2878">
        <f t="shared" ref="D99:M99" si="32">$I$3</f>
        <v>0</v>
      </c>
      <c r="E99" s="2878">
        <f t="shared" si="32"/>
        <v>0</v>
      </c>
      <c r="F99" s="2878">
        <f t="shared" si="32"/>
        <v>0</v>
      </c>
      <c r="G99" s="2878">
        <f t="shared" si="32"/>
        <v>0</v>
      </c>
      <c r="H99" s="2878">
        <f t="shared" si="32"/>
        <v>0</v>
      </c>
      <c r="I99" s="2878">
        <f t="shared" si="32"/>
        <v>0</v>
      </c>
      <c r="J99" s="2878">
        <f t="shared" si="32"/>
        <v>0</v>
      </c>
      <c r="K99" s="2878">
        <f t="shared" si="32"/>
        <v>0</v>
      </c>
      <c r="L99" s="2878">
        <f t="shared" si="32"/>
        <v>0</v>
      </c>
      <c r="M99" s="2878">
        <f t="shared" si="32"/>
        <v>0</v>
      </c>
      <c r="N99" s="2878">
        <f>$I$3</f>
        <v>0</v>
      </c>
    </row>
    <row r="100" spans="1:14">
      <c r="A100" s="3514"/>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12" t="s">
        <v>2965</v>
      </c>
      <c r="B101" s="2880" t="s">
        <v>2966</v>
      </c>
      <c r="C101" s="2881">
        <f>$G$3</f>
        <v>2.13</v>
      </c>
      <c r="D101" s="2881">
        <f t="shared" ref="D101:N101" si="33">$G$3</f>
        <v>2.13</v>
      </c>
      <c r="E101" s="2881">
        <f t="shared" si="33"/>
        <v>2.13</v>
      </c>
      <c r="F101" s="2881">
        <f t="shared" si="33"/>
        <v>2.13</v>
      </c>
      <c r="G101" s="2881">
        <f t="shared" si="33"/>
        <v>2.13</v>
      </c>
      <c r="H101" s="2881">
        <f t="shared" si="33"/>
        <v>2.13</v>
      </c>
      <c r="I101" s="2881">
        <f t="shared" si="33"/>
        <v>2.13</v>
      </c>
      <c r="J101" s="2881">
        <f t="shared" si="33"/>
        <v>2.13</v>
      </c>
      <c r="K101" s="2881">
        <f t="shared" si="33"/>
        <v>2.13</v>
      </c>
      <c r="L101" s="2881">
        <f t="shared" si="33"/>
        <v>2.13</v>
      </c>
      <c r="M101" s="2881">
        <f t="shared" si="33"/>
        <v>2.13</v>
      </c>
      <c r="N101" s="2881">
        <f t="shared" si="33"/>
        <v>2.13</v>
      </c>
    </row>
    <row r="102" spans="1:14">
      <c r="A102" s="3513"/>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13"/>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13"/>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13"/>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13"/>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13"/>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13"/>
      <c r="B108" s="3432" t="s">
        <v>2967</v>
      </c>
      <c r="C108" s="2878">
        <f>C99</f>
        <v>0</v>
      </c>
      <c r="D108" s="2878">
        <f t="shared" ref="D108:N108" si="34">D99</f>
        <v>0</v>
      </c>
      <c r="E108" s="2878">
        <f t="shared" si="34"/>
        <v>0</v>
      </c>
      <c r="F108" s="2878">
        <f t="shared" si="34"/>
        <v>0</v>
      </c>
      <c r="G108" s="2878">
        <f t="shared" si="34"/>
        <v>0</v>
      </c>
      <c r="H108" s="2878">
        <f t="shared" si="34"/>
        <v>0</v>
      </c>
      <c r="I108" s="2878">
        <f t="shared" si="34"/>
        <v>0</v>
      </c>
      <c r="J108" s="2878">
        <f t="shared" si="34"/>
        <v>0</v>
      </c>
      <c r="K108" s="2878">
        <f t="shared" si="34"/>
        <v>0</v>
      </c>
      <c r="L108" s="2878">
        <f t="shared" si="34"/>
        <v>0</v>
      </c>
      <c r="M108" s="2878">
        <f t="shared" si="34"/>
        <v>0</v>
      </c>
      <c r="N108" s="2878">
        <f t="shared" si="34"/>
        <v>0</v>
      </c>
    </row>
    <row r="109" spans="1:14">
      <c r="A109" s="3514"/>
      <c r="B109" s="3433"/>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15" t="s">
        <v>2968</v>
      </c>
      <c r="B110" s="3515"/>
      <c r="C110" s="3515"/>
      <c r="D110" s="3515"/>
      <c r="E110" s="3515"/>
      <c r="F110" s="3515"/>
      <c r="G110" s="3515"/>
      <c r="H110" s="3515"/>
      <c r="I110" s="3515"/>
      <c r="J110" s="3515"/>
      <c r="K110" s="2964"/>
      <c r="L110" s="2964"/>
      <c r="M110" s="2964"/>
      <c r="N110" s="2964"/>
    </row>
    <row r="112" spans="1:14" ht="13.5" thickBot="1"/>
    <row r="113" spans="1:13" ht="25.5" thickBot="1">
      <c r="A113" s="903" t="s">
        <v>2969</v>
      </c>
      <c r="B113" s="1286">
        <f>G3</f>
        <v>2.13</v>
      </c>
      <c r="C113" s="904" t="s">
        <v>2970</v>
      </c>
      <c r="D113" s="905">
        <f>SUMPRODUCT((A115:A118=F113)*(B114:M114=H113)*B115:M118)</f>
        <v>0.86799999999999999</v>
      </c>
      <c r="E113" s="2713" t="s">
        <v>2803</v>
      </c>
      <c r="F113" s="2884" t="str">
        <f>E2</f>
        <v>住宅</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5">I115</f>
        <v>0.65600000000000003</v>
      </c>
      <c r="K115" s="910">
        <f t="shared" si="35"/>
        <v>0.65600000000000003</v>
      </c>
      <c r="L115" s="910">
        <f t="shared" si="35"/>
        <v>0.65600000000000003</v>
      </c>
      <c r="M115" s="911">
        <f t="shared" si="35"/>
        <v>0.65600000000000003</v>
      </c>
    </row>
    <row r="116" spans="1:13">
      <c r="A116" s="909" t="s">
        <v>2869</v>
      </c>
      <c r="B116" s="910">
        <f>ROUND(0.949-0.012*B113,4)</f>
        <v>0.9234</v>
      </c>
      <c r="C116" s="910">
        <f>B116</f>
        <v>0.9234</v>
      </c>
      <c r="D116" s="910">
        <f>ROUND(0.8567-0.013*B113,4)</f>
        <v>0.82899999999999996</v>
      </c>
      <c r="E116" s="910">
        <f t="shared" ref="E116:H117" si="36">D116</f>
        <v>0.82899999999999996</v>
      </c>
      <c r="F116" s="910">
        <f t="shared" si="36"/>
        <v>0.82899999999999996</v>
      </c>
      <c r="G116" s="910">
        <f t="shared" si="36"/>
        <v>0.82899999999999996</v>
      </c>
      <c r="H116" s="910">
        <f t="shared" si="36"/>
        <v>0.82899999999999996</v>
      </c>
      <c r="I116" s="910">
        <f>ROUND(0.7694-0.014*B113,4)</f>
        <v>0.73960000000000004</v>
      </c>
      <c r="J116" s="910">
        <f t="shared" si="35"/>
        <v>0.73960000000000004</v>
      </c>
      <c r="K116" s="910">
        <f t="shared" si="35"/>
        <v>0.73960000000000004</v>
      </c>
      <c r="L116" s="910">
        <f t="shared" si="35"/>
        <v>0.73960000000000004</v>
      </c>
      <c r="M116" s="911">
        <f t="shared" si="35"/>
        <v>0.73960000000000004</v>
      </c>
    </row>
    <row r="117" spans="1:13">
      <c r="A117" s="909" t="s">
        <v>2870</v>
      </c>
      <c r="B117" s="910">
        <f>ROUND(0.8808-0.006*B113,4)</f>
        <v>0.86799999999999999</v>
      </c>
      <c r="C117" s="910">
        <f>B117</f>
        <v>0.86799999999999999</v>
      </c>
      <c r="D117" s="910">
        <f>ROUND(0.8748-0.008*B113,4)</f>
        <v>0.85780000000000001</v>
      </c>
      <c r="E117" s="910">
        <f t="shared" si="36"/>
        <v>0.85780000000000001</v>
      </c>
      <c r="F117" s="910">
        <f t="shared" si="36"/>
        <v>0.85780000000000001</v>
      </c>
      <c r="G117" s="910">
        <f t="shared" si="36"/>
        <v>0.85780000000000001</v>
      </c>
      <c r="H117" s="910">
        <f t="shared" si="36"/>
        <v>0.85780000000000001</v>
      </c>
      <c r="I117" s="910">
        <f>ROUND(0.7412-0.0095*B113,4)</f>
        <v>0.72099999999999997</v>
      </c>
      <c r="J117" s="910">
        <f t="shared" si="35"/>
        <v>0.72099999999999997</v>
      </c>
      <c r="K117" s="910">
        <f t="shared" si="35"/>
        <v>0.72099999999999997</v>
      </c>
      <c r="L117" s="910">
        <f t="shared" si="35"/>
        <v>0.72099999999999997</v>
      </c>
      <c r="M117" s="911">
        <f t="shared" si="35"/>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5"/>
        <v>0.53769999999999996</v>
      </c>
      <c r="K118" s="912">
        <f t="shared" si="35"/>
        <v>0.53769999999999996</v>
      </c>
      <c r="L118" s="912">
        <f t="shared" si="35"/>
        <v>0.53769999999999996</v>
      </c>
      <c r="M118" s="913">
        <f t="shared" si="35"/>
        <v>0.53769999999999996</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53" priority="5" stopIfTrue="1" operator="notEqual">
      <formula>"——"</formula>
    </cfRule>
  </conditionalFormatting>
  <conditionalFormatting sqref="F59">
    <cfRule type="cellIs" dxfId="152" priority="4" stopIfTrue="1" operator="notEqual">
      <formula>"——"</formula>
    </cfRule>
  </conditionalFormatting>
  <conditionalFormatting sqref="F70">
    <cfRule type="cellIs" dxfId="151" priority="3" stopIfTrue="1" operator="notEqual">
      <formula>"——"</formula>
    </cfRule>
  </conditionalFormatting>
  <conditionalFormatting sqref="F81">
    <cfRule type="cellIs" dxfId="150" priority="2" stopIfTrue="1" operator="notEqual">
      <formula>"——"</formula>
    </cfRule>
  </conditionalFormatting>
  <conditionalFormatting sqref="H48:H56 H59:H67 H70:H78 H81:H88">
    <cfRule type="cellIs" dxfId="14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3046</v>
      </c>
      <c r="D1" s="1818" t="s">
        <v>70</v>
      </c>
      <c r="E1" s="1819" t="s">
        <v>1382</v>
      </c>
      <c r="F1" s="1282">
        <f ca="1">J53</f>
        <v>54.19</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119848</v>
      </c>
      <c r="C2" s="1843" t="s">
        <v>1511</v>
      </c>
      <c r="D2" s="1843"/>
      <c r="E2" s="1844"/>
      <c r="F2" s="1845"/>
      <c r="G2" s="1846"/>
      <c r="H2" s="1838"/>
      <c r="I2" s="1838"/>
      <c r="J2" s="1838"/>
      <c r="K2" s="1839"/>
      <c r="L2" s="1838"/>
      <c r="M2" s="1838"/>
    </row>
    <row r="3" spans="1:37" ht="18" customHeight="1" thickBot="1">
      <c r="A3" s="1847" t="s">
        <v>1512</v>
      </c>
      <c r="B3" s="1848">
        <f ca="1">IF(ISERROR(B2*10000/F43),0,ROUND(B2*10000/F43,0))</f>
        <v>59360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5011</v>
      </c>
      <c r="D5" s="1820" t="s">
        <v>1397</v>
      </c>
      <c r="E5" s="1292"/>
      <c r="F5" s="1293"/>
      <c r="G5" s="1849"/>
      <c r="H5" s="344">
        <v>1</v>
      </c>
      <c r="I5" s="345" t="s">
        <v>1396</v>
      </c>
      <c r="J5" s="1291">
        <f ca="1">J6+J10+J12</f>
        <v>0</v>
      </c>
      <c r="K5" s="1820" t="s">
        <v>1397</v>
      </c>
      <c r="L5" s="1292"/>
      <c r="M5" s="1293"/>
    </row>
    <row r="6" spans="1:37" ht="18" customHeight="1">
      <c r="A6" s="1290" t="s">
        <v>1032</v>
      </c>
      <c r="B6" s="3537" t="s">
        <v>1398</v>
      </c>
      <c r="C6" s="1295">
        <f ca="1">ROUND(F6*F8*F7*(1-F9)/10000,0)</f>
        <v>4901</v>
      </c>
      <c r="D6" s="164" t="s">
        <v>3020</v>
      </c>
      <c r="E6" s="347" t="s">
        <v>1400</v>
      </c>
      <c r="F6" s="348">
        <f ca="1">INDIRECT("'数据-取费表'!u"&amp;$G$1)</f>
        <v>7</v>
      </c>
      <c r="G6" s="1849"/>
      <c r="H6" s="1290" t="s">
        <v>1032</v>
      </c>
      <c r="I6" s="3537" t="s">
        <v>1398</v>
      </c>
      <c r="J6" s="346">
        <f ca="1">ROUND(M6*M8*M7*(1-M9)/10000,0)</f>
        <v>0</v>
      </c>
      <c r="K6" s="164" t="s">
        <v>3019</v>
      </c>
      <c r="L6" s="347" t="s">
        <v>1400</v>
      </c>
      <c r="M6" s="348">
        <f ca="1">INDIRECT("'数据-取费表'!z"&amp;$G$1)</f>
        <v>0</v>
      </c>
    </row>
    <row r="7" spans="1:37" ht="18" customHeight="1">
      <c r="A7" s="1294"/>
      <c r="B7" s="3538"/>
      <c r="C7" s="1296"/>
      <c r="D7" s="352"/>
      <c r="E7" s="1297" t="s">
        <v>1401</v>
      </c>
      <c r="F7" s="348">
        <f ca="1">IF(INDIRECT("'数据-取费表'!ah"&amp;$G$1)="",INDIRECT("'数据-取费表'!k"&amp;$G$1),INDIRECT("'数据-取费表'!ah"&amp;$G$1))</f>
        <v>20189.89</v>
      </c>
      <c r="G7" s="1849"/>
      <c r="H7" s="349"/>
      <c r="I7" s="3538"/>
      <c r="J7" s="351"/>
      <c r="K7" s="352"/>
      <c r="L7" s="347" t="s">
        <v>1401</v>
      </c>
      <c r="M7" s="348">
        <f ca="1">F7</f>
        <v>20189.89</v>
      </c>
    </row>
    <row r="8" spans="1:37" ht="18" customHeight="1">
      <c r="A8" s="349"/>
      <c r="B8" s="3538"/>
      <c r="C8" s="351"/>
      <c r="D8" s="352"/>
      <c r="E8" s="347" t="s">
        <v>1402</v>
      </c>
      <c r="F8" s="348">
        <f ca="1">INDIRECT("'数据-取费表'!ai"&amp;$G$1)</f>
        <v>365</v>
      </c>
      <c r="G8" s="1849"/>
      <c r="H8" s="349"/>
      <c r="I8" s="3538"/>
      <c r="J8" s="351"/>
      <c r="K8" s="352"/>
      <c r="L8" s="347" t="s">
        <v>1402</v>
      </c>
      <c r="M8" s="348">
        <f ca="1">INDIRECT("'数据-取费表'!ai"&amp;$G$1)</f>
        <v>365</v>
      </c>
    </row>
    <row r="9" spans="1:37" ht="18" customHeight="1">
      <c r="A9" s="349"/>
      <c r="B9" s="3539"/>
      <c r="C9" s="351"/>
      <c r="D9" s="352"/>
      <c r="E9" s="347" t="s">
        <v>1403</v>
      </c>
      <c r="F9" s="357">
        <f ca="1">INDIRECT("'数据-取费表'!w"&amp;$G$1)</f>
        <v>0.05</v>
      </c>
      <c r="G9" s="1849"/>
      <c r="H9" s="349"/>
      <c r="I9" s="3539"/>
      <c r="J9" s="351"/>
      <c r="K9" s="352"/>
      <c r="L9" s="358" t="s">
        <v>1403</v>
      </c>
      <c r="M9" s="359">
        <f ca="1">INDIRECT("'数据-取费表'!ab"&amp;$G$1)</f>
        <v>0</v>
      </c>
    </row>
    <row r="10" spans="1:37" ht="18" customHeight="1">
      <c r="A10" s="1290" t="s">
        <v>1036</v>
      </c>
      <c r="B10" s="1821" t="s">
        <v>1404</v>
      </c>
      <c r="C10" s="361">
        <f ca="1">ROUND(IF(F10="押一",C6/12*F11,IF(F10="押二",C6/12*2*F11,IF(F10="押三",C6/12*3*F11,C11*F11))),0)</f>
        <v>12</v>
      </c>
      <c r="D10" s="1822" t="s">
        <v>3029</v>
      </c>
      <c r="E10" s="358" t="s">
        <v>1405</v>
      </c>
      <c r="F10" s="1365" t="s">
        <v>3090</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f ca="1">ROUND(C6*0.02,0)</f>
        <v>98</v>
      </c>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15765</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12193</v>
      </c>
      <c r="D14" s="1798" t="s">
        <v>1413</v>
      </c>
      <c r="E14" s="1792"/>
      <c r="F14" s="364"/>
      <c r="G14" s="1849"/>
      <c r="H14" s="1200" t="s">
        <v>1032</v>
      </c>
      <c r="I14" s="347" t="s">
        <v>1414</v>
      </c>
      <c r="J14" s="24">
        <f ca="1">C29</f>
        <v>18994</v>
      </c>
      <c r="K14" s="15"/>
      <c r="L14" s="979"/>
      <c r="M14" s="980"/>
    </row>
    <row r="15" spans="1:37" s="1856" customFormat="1" ht="18" customHeight="1" thickBot="1">
      <c r="A15" s="1200" t="s">
        <v>1033</v>
      </c>
      <c r="B15" s="347" t="s">
        <v>1415</v>
      </c>
      <c r="C15" s="24">
        <f ca="1">ROUND(C14*F15,0)</f>
        <v>366</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606</v>
      </c>
      <c r="D16" s="347" t="s">
        <v>1416</v>
      </c>
      <c r="E16" s="347" t="s">
        <v>1417</v>
      </c>
      <c r="F16" s="367">
        <f ca="1">IF(INDIRECT("'数据-取费表'!c"&amp;$G$1)="住宅",'数据-取费表'!B34,0)</f>
        <v>0.05</v>
      </c>
      <c r="G16" s="1849"/>
      <c r="H16" s="1328" t="s">
        <v>1027</v>
      </c>
      <c r="I16" s="1329" t="s">
        <v>1419</v>
      </c>
      <c r="J16" s="355">
        <f ca="1">ROUND(J17+J22+J23+J24,0)</f>
        <v>748</v>
      </c>
      <c r="K16" s="1336" t="s">
        <v>1420</v>
      </c>
      <c r="L16" s="1337"/>
      <c r="M16" s="1293"/>
    </row>
    <row r="17" spans="1:37" s="1856" customFormat="1" ht="18" customHeight="1">
      <c r="A17" s="1200" t="s">
        <v>1385</v>
      </c>
      <c r="B17" s="347" t="s">
        <v>1421</v>
      </c>
      <c r="C17" s="24">
        <f ca="1">ROUND(F17*(F43+INDIRECT("'数据-取费表'!S"&amp;$G$1))/10000,0)</f>
        <v>410</v>
      </c>
      <c r="D17" s="347" t="s">
        <v>1422</v>
      </c>
      <c r="E17" s="347" t="s">
        <v>1423</v>
      </c>
      <c r="F17" s="26">
        <f>'数据-取费表'!B35</f>
        <v>200</v>
      </c>
      <c r="G17" s="1852"/>
      <c r="H17" s="1200" t="s">
        <v>1032</v>
      </c>
      <c r="I17" s="347" t="s">
        <v>1424</v>
      </c>
      <c r="J17" s="24">
        <f ca="1">ROUND(IF(项目基本情况!B11="自然人",J6*M17/(1+'数据-取费表'!C42),J18+J19+J20),1)</f>
        <v>178.4</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183</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13758</v>
      </c>
      <c r="D19" s="140" t="s">
        <v>1431</v>
      </c>
      <c r="E19" s="1816"/>
      <c r="F19" s="26"/>
      <c r="G19" s="1849"/>
      <c r="H19" s="1200" t="s">
        <v>1033</v>
      </c>
      <c r="I19" s="347" t="s">
        <v>1432</v>
      </c>
      <c r="J19" s="24">
        <f ca="1">IF(K19="按租金收入计税",ROUND(J6*M19/(1+'数据-取费表'!C42),2),ROUND(C29*M19*0.7,2))</f>
        <v>159.55000000000001</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275</v>
      </c>
      <c r="D20" s="369" t="s">
        <v>1435</v>
      </c>
      <c r="E20" s="347" t="s">
        <v>1417</v>
      </c>
      <c r="F20" s="367">
        <f>'数据-取费表'!B37</f>
        <v>0.02</v>
      </c>
      <c r="G20" s="1852"/>
      <c r="H20" s="1200" t="s">
        <v>1384</v>
      </c>
      <c r="I20" s="164" t="s">
        <v>1436</v>
      </c>
      <c r="J20" s="25">
        <f ca="1">ROUND(M20*M21/10000,2)</f>
        <v>18.82</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7841.73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569.79999999999995</v>
      </c>
      <c r="K22" s="1796" t="s">
        <v>1445</v>
      </c>
      <c r="L22" s="347" t="s">
        <v>1417</v>
      </c>
      <c r="M22" s="374">
        <f ca="1">INDIRECT("'数据-取费表'!Ak"&amp;$G$1)</f>
        <v>0.03</v>
      </c>
    </row>
    <row r="23" spans="1:37" s="1856" customFormat="1" ht="18" customHeight="1">
      <c r="A23" s="1200" t="s">
        <v>1031</v>
      </c>
      <c r="B23" s="347" t="s">
        <v>1446</v>
      </c>
      <c r="C23" s="24">
        <f ca="1">IF('数据-取费表'!B22&lt;=1,ROUND(C19*F24*F23/2,0)+ROUND(C20*F24*F23/2,0),ROUND(C19*(POWER((1+F24),F23/2)-1),0)+ROUND(C20*(POWER((1+F24),F23/2)-1),0))</f>
        <v>667</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-748</v>
      </c>
      <c r="K25" s="1344" t="s">
        <v>1459</v>
      </c>
      <c r="L25" s="1345"/>
      <c r="M25" s="1346"/>
    </row>
    <row r="26" spans="1:37">
      <c r="A26" s="1200" t="s">
        <v>1031</v>
      </c>
      <c r="B26" s="347" t="s">
        <v>1460</v>
      </c>
      <c r="C26" s="24">
        <f ca="1">ROUND((C19+C20)*F26,0)</f>
        <v>2807</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18994</v>
      </c>
      <c r="D29" s="1341"/>
      <c r="E29" s="1339"/>
      <c r="F29" s="1342"/>
      <c r="G29" s="1852"/>
      <c r="H29" s="380" t="s">
        <v>1030</v>
      </c>
      <c r="I29" s="381" t="s">
        <v>1474</v>
      </c>
      <c r="J29" s="382">
        <f ca="1">ROUND(J26/(1+F40)^F41,0)</f>
        <v>0</v>
      </c>
      <c r="K29" s="383" t="s">
        <v>1475</v>
      </c>
      <c r="L29" s="384"/>
      <c r="M29" s="385">
        <f ca="1">INDIRECT("'数据-取费表'!k"&amp;$G$1)</f>
        <v>20189.89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1308</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439.8</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261.39</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159.55000000000001</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18.82</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7841.73</v>
      </c>
      <c r="G35" s="1849"/>
      <c r="H35" s="745"/>
      <c r="I35" s="1858"/>
      <c r="J35" s="1859"/>
      <c r="K35" s="1860"/>
      <c r="L35" s="1857"/>
      <c r="M35" s="1857"/>
    </row>
    <row r="36" spans="1:18" ht="18" customHeight="1">
      <c r="A36" s="1351" t="s">
        <v>1036</v>
      </c>
      <c r="B36" s="347" t="s">
        <v>1444</v>
      </c>
      <c r="C36" s="24">
        <f ca="1">ROUND(C29*F36,1)</f>
        <v>569.79999999999995</v>
      </c>
      <c r="D36" s="1796" t="s">
        <v>1477</v>
      </c>
      <c r="E36" s="347" t="s">
        <v>1417</v>
      </c>
      <c r="F36" s="374">
        <f ca="1">INDIRECT("'数据-取费表'!Ak"&amp;$G$1)</f>
        <v>0.03</v>
      </c>
      <c r="G36" s="1849"/>
      <c r="H36" s="1857"/>
      <c r="I36" s="1858"/>
      <c r="J36" s="1859"/>
      <c r="K36" s="751"/>
      <c r="L36" s="1857"/>
      <c r="M36" s="1857"/>
    </row>
    <row r="37" spans="1:18" ht="18" customHeight="1">
      <c r="A37" s="1200" t="s">
        <v>1072</v>
      </c>
      <c r="B37" s="347" t="s">
        <v>1448</v>
      </c>
      <c r="C37" s="24">
        <f ca="1">ROUND(C13*F37,1)</f>
        <v>47.3</v>
      </c>
      <c r="D37" s="1796" t="s">
        <v>1449</v>
      </c>
      <c r="E37" s="347" t="s">
        <v>1450</v>
      </c>
      <c r="F37" s="376">
        <f ca="1">INDIRECT("'数据-取费表'!Al"&amp;$G$1)</f>
        <v>3.0000000000000001E-3</v>
      </c>
      <c r="G37" s="1849"/>
      <c r="H37" s="1857"/>
      <c r="I37" s="1858"/>
      <c r="J37" s="1859"/>
      <c r="K37" s="751"/>
      <c r="L37" s="1857"/>
      <c r="M37" s="1857"/>
    </row>
    <row r="38" spans="1:18" ht="18" customHeight="1" thickBot="1">
      <c r="A38" s="1338" t="s">
        <v>1388</v>
      </c>
      <c r="B38" s="1339" t="s">
        <v>1434</v>
      </c>
      <c r="C38" s="1340">
        <f ca="1">ROUND(C5*F38,1)</f>
        <v>250.6</v>
      </c>
      <c r="D38" s="1341" t="s">
        <v>1454</v>
      </c>
      <c r="E38" s="1339" t="s">
        <v>1450</v>
      </c>
      <c r="F38" s="1335">
        <f ca="1">INDIRECT("'数据-取费表'!Am"&amp;$G$1)</f>
        <v>0.05</v>
      </c>
      <c r="G38" s="1849"/>
      <c r="H38" s="1857"/>
      <c r="I38" s="1858"/>
      <c r="J38" s="1859"/>
      <c r="K38" s="1863"/>
      <c r="L38" s="1857"/>
      <c r="M38" s="1857"/>
    </row>
    <row r="39" spans="1:18" ht="24.6" customHeight="1" thickTop="1">
      <c r="A39" s="1328" t="s">
        <v>1028</v>
      </c>
      <c r="B39" s="1343" t="s">
        <v>1478</v>
      </c>
      <c r="C39" s="355">
        <f ca="1">C5-C30</f>
        <v>3703</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119848</v>
      </c>
      <c r="D40" s="370" t="s">
        <v>1464</v>
      </c>
      <c r="E40" s="347" t="s">
        <v>1465</v>
      </c>
      <c r="F40" s="320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54.19</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59360</v>
      </c>
      <c r="D43" s="383" t="s">
        <v>1483</v>
      </c>
      <c r="E43" s="384" t="s">
        <v>1484</v>
      </c>
      <c r="F43" s="385">
        <f ca="1">INDIRECT("'数据-取费表'!k"&amp;$G$1)</f>
        <v>20189.89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-134636</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3088</v>
      </c>
      <c r="K47" s="1880" t="s">
        <v>1522</v>
      </c>
      <c r="L47" s="1881">
        <f ca="1">INDIRECT("'数据-取费表'!d"&amp;$G$1)</f>
        <v>70</v>
      </c>
      <c r="M47" s="1836" t="str">
        <f>IF(ISNUMBER(FIND("住宅",C1)),"住宅","非住宅")</f>
        <v>住宅</v>
      </c>
      <c r="O47" s="1882" t="s">
        <v>1037</v>
      </c>
      <c r="P47" s="1883" t="s">
        <v>1523</v>
      </c>
      <c r="Q47" s="1884">
        <f ca="1">C40+J29</f>
        <v>119848</v>
      </c>
      <c r="R47" s="1884" t="s">
        <v>1524</v>
      </c>
    </row>
    <row r="48" spans="1:18" s="1840" customFormat="1" ht="28.5" thickBot="1">
      <c r="A48" s="1359" t="s">
        <v>1132</v>
      </c>
      <c r="B48" s="345" t="s">
        <v>1396</v>
      </c>
      <c r="C48" s="1815">
        <f ca="1">C49+C53+C55</f>
        <v>0</v>
      </c>
      <c r="D48" s="1361"/>
      <c r="E48" s="1362"/>
      <c r="F48" s="1180"/>
      <c r="G48" s="792"/>
      <c r="H48" s="793"/>
      <c r="I48" s="1885" t="s">
        <v>1525</v>
      </c>
      <c r="J48" s="1886" t="s">
        <v>3089</v>
      </c>
      <c r="K48" s="1887" t="s">
        <v>1526</v>
      </c>
      <c r="L48" s="1888">
        <f ca="1">INDIRECT("'数据-取费表'!f"&amp;$G$1)</f>
        <v>54.19</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3021</v>
      </c>
      <c r="E49" s="1828" t="s">
        <v>1486</v>
      </c>
      <c r="F49" s="1280"/>
      <c r="G49" s="1889"/>
      <c r="H49" s="793"/>
      <c r="I49" s="1885" t="s">
        <v>1529</v>
      </c>
      <c r="J49" s="1890">
        <v>2004</v>
      </c>
      <c r="K49" s="1887" t="s">
        <v>1530</v>
      </c>
      <c r="L49" s="1891"/>
      <c r="O49" s="1892" t="s">
        <v>1039</v>
      </c>
      <c r="P49" s="1883" t="s">
        <v>1531</v>
      </c>
      <c r="Q49" s="1884">
        <f ca="1">C29</f>
        <v>18994</v>
      </c>
      <c r="R49" s="1884" t="s">
        <v>1524</v>
      </c>
    </row>
    <row r="50" spans="1:18" s="1840" customFormat="1" ht="13.5" thickBot="1">
      <c r="A50" s="1194"/>
      <c r="B50" s="1197"/>
      <c r="C50" s="1367"/>
      <c r="D50" s="1171"/>
      <c r="E50" s="1276" t="s">
        <v>1401</v>
      </c>
      <c r="F50" s="1277">
        <f ca="1">F7</f>
        <v>20189.89</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45</v>
      </c>
      <c r="K51" s="1898" t="s">
        <v>1536</v>
      </c>
      <c r="L51" s="1899">
        <f ca="1">ROUND(-PV(INDIRECT("'数据-取费表'!h"&amp;$G$1),L48,(C39-C13*C76),0),0)</f>
        <v>47676</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54.19</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54.19</v>
      </c>
      <c r="K53" s="3535" t="s">
        <v>1543</v>
      </c>
      <c r="L53" s="3536"/>
      <c r="O53" s="1882" t="s">
        <v>1043</v>
      </c>
      <c r="P53" s="1883" t="s">
        <v>1544</v>
      </c>
      <c r="Q53" s="1884">
        <f ca="1">Q47+Q48</f>
        <v>119848</v>
      </c>
      <c r="R53" s="1884" t="s">
        <v>1044</v>
      </c>
    </row>
    <row r="54" spans="1:18" s="1840" customFormat="1" ht="13.5" thickBot="1">
      <c r="A54" s="1405"/>
      <c r="B54" s="1823" t="s">
        <v>1383</v>
      </c>
      <c r="C54" s="1177"/>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15765</v>
      </c>
      <c r="D56" s="1911"/>
      <c r="E56" s="1912"/>
      <c r="F56" s="1904"/>
      <c r="I56" s="1913" t="s">
        <v>1549</v>
      </c>
      <c r="J56" s="1914" t="s">
        <v>3047</v>
      </c>
      <c r="K56" s="1885" t="s">
        <v>1550</v>
      </c>
      <c r="L56" s="1888">
        <f ca="1">IF(L48&lt;J51,"——",L48-J53)</f>
        <v>0</v>
      </c>
      <c r="O56" s="1882" t="s">
        <v>1037</v>
      </c>
      <c r="P56" s="1883" t="s">
        <v>1523</v>
      </c>
      <c r="Q56" s="1884">
        <f ca="1">C40+J29</f>
        <v>119848</v>
      </c>
      <c r="R56" s="1884" t="s">
        <v>1524</v>
      </c>
    </row>
    <row r="57" spans="1:18" s="1840" customFormat="1" ht="24.75" thickBot="1">
      <c r="A57" s="1915"/>
      <c r="B57" s="1168" t="s">
        <v>1473</v>
      </c>
      <c r="C57" s="282">
        <f ca="1">C29</f>
        <v>18994</v>
      </c>
      <c r="D57" s="1916"/>
      <c r="E57" s="1917"/>
      <c r="F57" s="1918"/>
      <c r="I57" s="1919" t="s">
        <v>1551</v>
      </c>
      <c r="J57" s="1920" t="str">
        <f ca="1">IF(OR(M47="住宅",J51&lt;L48,J56="是"),"——",J51-L48)</f>
        <v>——</v>
      </c>
      <c r="K57" s="1885" t="s">
        <v>1552</v>
      </c>
      <c r="L57" s="1888">
        <f ca="1">IF(L48&lt;J51,"——",IF(L55="比较法",L49,IF(L55="基准地价",L50,L51)))</f>
        <v>47676</v>
      </c>
      <c r="O57" s="1882" t="s">
        <v>1038</v>
      </c>
      <c r="P57" s="1883" t="s">
        <v>1553</v>
      </c>
      <c r="Q57" s="1884">
        <f ca="1">L60</f>
        <v>0</v>
      </c>
      <c r="R57" s="1884" t="s">
        <v>1554</v>
      </c>
    </row>
    <row r="58" spans="1:18" s="1840" customFormat="1" ht="24.75" thickBot="1">
      <c r="A58" s="360" t="s">
        <v>1027</v>
      </c>
      <c r="B58" s="1176" t="s">
        <v>1419</v>
      </c>
      <c r="C58" s="361">
        <f ca="1">ROUND(C59+C64+C65+C66,0)</f>
        <v>796</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178.4</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159.55000000000001</v>
      </c>
      <c r="D61" s="1826" t="s">
        <v>1433</v>
      </c>
      <c r="E61" s="1168" t="s">
        <v>1489</v>
      </c>
      <c r="F61" s="367">
        <f t="shared" si="0"/>
        <v>1.2E-2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18.82</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119848</v>
      </c>
      <c r="R62" s="1884" t="s">
        <v>1044</v>
      </c>
    </row>
    <row r="63" spans="1:18" s="1840" customFormat="1" ht="13.5" thickBot="1">
      <c r="A63" s="372"/>
      <c r="B63" s="1174"/>
      <c r="C63" s="29"/>
      <c r="D63" s="1184"/>
      <c r="E63" s="1168" t="s">
        <v>1494</v>
      </c>
      <c r="F63" s="348">
        <f t="shared" ca="1" si="0"/>
        <v>7841.73</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569.79999999999995</v>
      </c>
      <c r="D64" s="1182" t="s">
        <v>1497</v>
      </c>
      <c r="E64" s="1168" t="s">
        <v>1489</v>
      </c>
      <c r="F64" s="374">
        <f t="shared" ca="1" si="0"/>
        <v>0.03</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47.3</v>
      </c>
      <c r="D65" s="1182" t="s">
        <v>1449</v>
      </c>
      <c r="E65" s="1168" t="s">
        <v>1450</v>
      </c>
      <c r="F65" s="376">
        <f t="shared" ca="1" si="0"/>
        <v>3.0000000000000001E-3</v>
      </c>
      <c r="I65" s="1926" t="s">
        <v>1574</v>
      </c>
      <c r="J65" s="1927">
        <v>40</v>
      </c>
      <c r="K65" s="1927">
        <v>30</v>
      </c>
      <c r="L65" s="1927">
        <v>50</v>
      </c>
      <c r="M65" s="1929">
        <v>0.02</v>
      </c>
      <c r="O65" s="1882" t="s">
        <v>1037</v>
      </c>
      <c r="P65" s="1883" t="s">
        <v>1575</v>
      </c>
      <c r="Q65" s="1884">
        <f ca="1">C40+J29</f>
        <v>119848</v>
      </c>
      <c r="R65" s="1884" t="s">
        <v>1524</v>
      </c>
    </row>
    <row r="66" spans="1:18" s="1840" customFormat="1" ht="16.5" thickBot="1">
      <c r="A66" s="1200" t="s">
        <v>1499</v>
      </c>
      <c r="B66" s="1168" t="s">
        <v>1434</v>
      </c>
      <c r="C66" s="24">
        <f ca="1">ROUND(C48*F66,1)</f>
        <v>0</v>
      </c>
      <c r="D66" s="1182" t="s">
        <v>1500</v>
      </c>
      <c r="E66" s="1168" t="s">
        <v>1417</v>
      </c>
      <c r="F66" s="357">
        <f t="shared" ca="1" si="0"/>
        <v>0.05</v>
      </c>
      <c r="O66" s="1882" t="s">
        <v>1038</v>
      </c>
      <c r="P66" s="1883" t="s">
        <v>1553</v>
      </c>
      <c r="Q66" s="1884">
        <f ca="1">L60</f>
        <v>0</v>
      </c>
      <c r="R66" s="1884" t="s">
        <v>1576</v>
      </c>
    </row>
    <row r="67" spans="1:18" s="1840" customFormat="1" ht="16.5" thickBot="1">
      <c r="A67" s="1175" t="s">
        <v>1028</v>
      </c>
      <c r="B67" s="1185" t="s">
        <v>1458</v>
      </c>
      <c r="C67" s="361">
        <f ca="1">C48-C58</f>
        <v>-796</v>
      </c>
      <c r="D67" s="1181" t="s">
        <v>1459</v>
      </c>
      <c r="E67" s="1186"/>
      <c r="F67" s="1187"/>
      <c r="O67" s="1892" t="s">
        <v>1039</v>
      </c>
      <c r="P67" s="1883" t="s">
        <v>1557</v>
      </c>
      <c r="Q67" s="1930">
        <f ca="1">L51</f>
        <v>47676</v>
      </c>
      <c r="R67" s="1884" t="s">
        <v>1577</v>
      </c>
    </row>
    <row r="68" spans="1:18" s="1840" customFormat="1" ht="16.5" thickBot="1">
      <c r="A68" s="1165" t="s">
        <v>1029</v>
      </c>
      <c r="B68" s="1166" t="s">
        <v>1480</v>
      </c>
      <c r="C68" s="346">
        <f ca="1">ROUND(C67*(1-((1+F70)/(1+F68))^F69)/(F68-F70),0)</f>
        <v>-14788</v>
      </c>
      <c r="D68" s="1183" t="s">
        <v>1464</v>
      </c>
      <c r="E68" s="1168" t="s">
        <v>1465</v>
      </c>
      <c r="F68" s="357">
        <f ca="1">F40</f>
        <v>0.05</v>
      </c>
      <c r="O68" s="1892" t="s">
        <v>1040</v>
      </c>
      <c r="P68" s="1931" t="s">
        <v>1578</v>
      </c>
      <c r="Q68" s="1884">
        <f ca="1">ROUND(Q69-Q70*Q71,0)</f>
        <v>2363</v>
      </c>
      <c r="R68" s="1884" t="s">
        <v>1048</v>
      </c>
    </row>
    <row r="69" spans="1:18" s="1840" customFormat="1" ht="13.5" thickBot="1">
      <c r="A69" s="1169"/>
      <c r="B69" s="1170"/>
      <c r="C69" s="351"/>
      <c r="D69" s="1188" t="s">
        <v>1468</v>
      </c>
      <c r="E69" s="1168" t="s">
        <v>1469</v>
      </c>
      <c r="F69" s="379">
        <f ca="1">F41</f>
        <v>54.19</v>
      </c>
      <c r="O69" s="1892" t="s">
        <v>1045</v>
      </c>
      <c r="P69" s="1931" t="s">
        <v>1579</v>
      </c>
      <c r="Q69" s="1884">
        <f ca="1">C39</f>
        <v>3703</v>
      </c>
      <c r="R69" s="1884" t="s">
        <v>1524</v>
      </c>
    </row>
    <row r="70" spans="1:18" s="1840" customFormat="1" ht="13.5" thickBot="1">
      <c r="A70" s="1172"/>
      <c r="B70" s="1173"/>
      <c r="C70" s="355"/>
      <c r="D70" s="1184"/>
      <c r="E70" s="1168" t="s">
        <v>1472</v>
      </c>
      <c r="F70" s="1274"/>
      <c r="O70" s="1892" t="s">
        <v>1046</v>
      </c>
      <c r="P70" s="1931" t="s">
        <v>1580</v>
      </c>
      <c r="Q70" s="1884">
        <f ca="1">C13</f>
        <v>15765</v>
      </c>
      <c r="R70" s="1884" t="s">
        <v>1524</v>
      </c>
    </row>
    <row r="71" spans="1:18" s="1840" customFormat="1" ht="13.5" thickBot="1">
      <c r="A71" s="1189" t="s">
        <v>1030</v>
      </c>
      <c r="B71" s="1190" t="s">
        <v>1482</v>
      </c>
      <c r="C71" s="382">
        <f ca="1">ROUND(C68*10000/F71,0)</f>
        <v>-7324</v>
      </c>
      <c r="D71" s="1191" t="s">
        <v>1483</v>
      </c>
      <c r="E71" s="1192" t="s">
        <v>1484</v>
      </c>
      <c r="F71" s="385">
        <f ca="1">F43</f>
        <v>20189.89</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1340</v>
      </c>
      <c r="D75" s="1840"/>
      <c r="E75" s="1840"/>
      <c r="F75" s="1840"/>
      <c r="K75" s="1866"/>
      <c r="L75" s="1840"/>
      <c r="O75" s="1882" t="s">
        <v>1043</v>
      </c>
      <c r="P75" s="1883" t="s">
        <v>1544</v>
      </c>
      <c r="Q75" s="1884">
        <f ca="1">Q65+Q66</f>
        <v>119848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0.63800000000000001</v>
      </c>
    </row>
    <row r="80" spans="1:18">
      <c r="B80" s="386" t="s">
        <v>1506</v>
      </c>
      <c r="C80" s="318">
        <f ca="1">ROUND(C75/C39,3)</f>
        <v>0.36199999999999999</v>
      </c>
    </row>
    <row r="81" spans="2:3">
      <c r="B81" s="314" t="s">
        <v>1507</v>
      </c>
      <c r="C81" s="282"/>
    </row>
    <row r="82" spans="2:3">
      <c r="B82" s="317" t="s">
        <v>1508</v>
      </c>
      <c r="C82" s="319">
        <f ca="1">1-C83</f>
        <v>0.86799999999999999</v>
      </c>
    </row>
    <row r="83" spans="2:3">
      <c r="B83" s="317" t="s">
        <v>1509</v>
      </c>
      <c r="C83" s="318">
        <f ca="1">ROUND(C13/C40,3)</f>
        <v>0.13200000000000001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33"/>
  <sheetViews>
    <sheetView topLeftCell="A166" workbookViewId="0">
      <selection activeCell="G182" sqref="G182"/>
    </sheetView>
  </sheetViews>
  <sheetFormatPr defaultRowHeight="13.5"/>
  <cols>
    <col min="1" max="1" width="4.875" style="3171" customWidth="1"/>
    <col min="2" max="2" width="10.75" style="3171" customWidth="1"/>
    <col min="3" max="3" width="18.625" style="3172" customWidth="1"/>
    <col min="4" max="4" width="6.125" style="3171" customWidth="1"/>
    <col min="5" max="5" width="10.25" style="3192" customWidth="1"/>
    <col min="6" max="6" width="12.875" style="3171" customWidth="1"/>
    <col min="7" max="7" width="10.875" style="3171" customWidth="1"/>
    <col min="8" max="8" width="12.375" style="3171" customWidth="1"/>
    <col min="9" max="9" width="16.5" style="3171" customWidth="1"/>
    <col min="10" max="10" width="12.75" style="3171" customWidth="1"/>
    <col min="11" max="11" width="7.375" style="3171" customWidth="1"/>
    <col min="12" max="12" width="7" style="3175" customWidth="1"/>
    <col min="13" max="13" width="27.875" style="3175" customWidth="1"/>
    <col min="14" max="14" width="12.125" style="3175" customWidth="1"/>
    <col min="15" max="15" width="11.875" style="3175" customWidth="1"/>
    <col min="16" max="16" width="11.875" style="3175" hidden="1" customWidth="1"/>
    <col min="17" max="17" width="11.75" style="3175" hidden="1" customWidth="1"/>
    <col min="18" max="26" width="11.875" style="3175" hidden="1" customWidth="1"/>
    <col min="27" max="27" width="12.625" style="3176" customWidth="1"/>
    <col min="28" max="28" width="12.625" style="3177" hidden="1" customWidth="1"/>
    <col min="29" max="29" width="12.875" style="3178" hidden="1" customWidth="1"/>
    <col min="30" max="30" width="11.125" style="3179" hidden="1" customWidth="1"/>
    <col min="31" max="31" width="12.875" style="3171" customWidth="1"/>
    <col min="32" max="32" width="16.875" style="3026" hidden="1" customWidth="1"/>
    <col min="33" max="33" width="9" style="3020"/>
    <col min="34" max="34" width="9" style="3021"/>
    <col min="35" max="35" width="9" style="3020"/>
    <col min="36" max="16384" width="9" style="3182"/>
  </cols>
  <sheetData>
    <row r="1" spans="1:35" s="3007" customFormat="1" ht="43.5" customHeight="1">
      <c r="A1" s="3001" t="s">
        <v>3131</v>
      </c>
      <c r="B1" s="3001" t="s">
        <v>3132</v>
      </c>
      <c r="C1" s="3002" t="s">
        <v>3133</v>
      </c>
      <c r="D1" s="3003" t="s">
        <v>3134</v>
      </c>
      <c r="E1" s="3001" t="s">
        <v>3135</v>
      </c>
      <c r="F1" s="3001" t="s">
        <v>3136</v>
      </c>
      <c r="G1" s="3001" t="s">
        <v>3137</v>
      </c>
      <c r="H1" s="3004" t="s">
        <v>3138</v>
      </c>
      <c r="I1" s="3004" t="s">
        <v>3139</v>
      </c>
      <c r="J1" s="3004" t="s">
        <v>3140</v>
      </c>
      <c r="K1" s="3001" t="s">
        <v>3141</v>
      </c>
      <c r="L1" s="3001" t="s">
        <v>3142</v>
      </c>
      <c r="M1" s="3001" t="s">
        <v>3143</v>
      </c>
      <c r="N1" s="3003" t="s">
        <v>3144</v>
      </c>
      <c r="O1" s="3003" t="s">
        <v>3145</v>
      </c>
      <c r="P1" s="3003" t="s">
        <v>3146</v>
      </c>
      <c r="Q1" s="3003" t="s">
        <v>3147</v>
      </c>
      <c r="R1" s="3003" t="s">
        <v>3148</v>
      </c>
      <c r="S1" s="3003" t="s">
        <v>3149</v>
      </c>
      <c r="T1" s="3003" t="s">
        <v>3150</v>
      </c>
      <c r="U1" s="3003" t="s">
        <v>3151</v>
      </c>
      <c r="V1" s="3003" t="s">
        <v>3152</v>
      </c>
      <c r="W1" s="3003" t="s">
        <v>3153</v>
      </c>
      <c r="X1" s="3003" t="s">
        <v>3154</v>
      </c>
      <c r="Y1" s="3003" t="s">
        <v>3155</v>
      </c>
      <c r="Z1" s="3003" t="s">
        <v>3156</v>
      </c>
      <c r="AA1" s="3003" t="s">
        <v>3157</v>
      </c>
      <c r="AB1" s="3005" t="s">
        <v>3158</v>
      </c>
      <c r="AC1" s="3001" t="s">
        <v>3159</v>
      </c>
      <c r="AD1" s="3001" t="s">
        <v>3160</v>
      </c>
      <c r="AE1" s="3001" t="s">
        <v>3161</v>
      </c>
      <c r="AF1" s="3006" t="s">
        <v>3162</v>
      </c>
      <c r="AG1" s="3001" t="s">
        <v>3163</v>
      </c>
      <c r="AH1" s="3001" t="s">
        <v>3164</v>
      </c>
      <c r="AI1" s="3001" t="s">
        <v>3165</v>
      </c>
    </row>
    <row r="2" spans="1:35" s="3022" customFormat="1" ht="44.25" customHeight="1">
      <c r="A2" s="3008">
        <v>1</v>
      </c>
      <c r="B2" s="3008" t="s">
        <v>3166</v>
      </c>
      <c r="C2" s="3009" t="s">
        <v>3167</v>
      </c>
      <c r="D2" s="3008"/>
      <c r="E2" s="3010" t="s">
        <v>3168</v>
      </c>
      <c r="F2" s="3011" t="s">
        <v>3169</v>
      </c>
      <c r="G2" s="3012">
        <v>310</v>
      </c>
      <c r="H2" s="3013">
        <v>43432</v>
      </c>
      <c r="I2" s="3013">
        <v>44527</v>
      </c>
      <c r="J2" s="3013">
        <f>H2</f>
        <v>43432</v>
      </c>
      <c r="K2" s="3014"/>
      <c r="L2" s="3015">
        <f>(I2-H2)/365</f>
        <v>3</v>
      </c>
      <c r="M2" s="3015" t="s">
        <v>3170</v>
      </c>
      <c r="N2" s="3012">
        <v>52520</v>
      </c>
      <c r="O2" s="3012">
        <v>52520</v>
      </c>
      <c r="P2" s="3012">
        <v>52520</v>
      </c>
      <c r="Q2" s="3012"/>
      <c r="R2" s="3012"/>
      <c r="S2" s="3012"/>
      <c r="T2" s="3012"/>
      <c r="U2" s="3012"/>
      <c r="V2" s="3012"/>
      <c r="W2" s="3012"/>
      <c r="X2" s="3012"/>
      <c r="Y2" s="3012"/>
      <c r="Z2" s="3012"/>
      <c r="AA2" s="3016" t="s">
        <v>3171</v>
      </c>
      <c r="AB2" s="3017"/>
      <c r="AC2" s="3018"/>
      <c r="AD2" s="3018"/>
      <c r="AE2" s="3017"/>
      <c r="AF2" s="3019"/>
      <c r="AG2" s="3020">
        <v>50500</v>
      </c>
      <c r="AH2" s="3021">
        <f>(N2-AG2)/AG2</f>
        <v>0.04</v>
      </c>
      <c r="AI2" s="3020"/>
    </row>
    <row r="3" spans="1:35" s="3022" customFormat="1" ht="44.25" customHeight="1">
      <c r="A3" s="3008">
        <v>2</v>
      </c>
      <c r="B3" s="3008" t="s">
        <v>3166</v>
      </c>
      <c r="C3" s="3009" t="s">
        <v>3172</v>
      </c>
      <c r="D3" s="3008"/>
      <c r="E3" s="3010" t="s">
        <v>3168</v>
      </c>
      <c r="F3" s="3011" t="s">
        <v>3169</v>
      </c>
      <c r="G3" s="3012">
        <v>310</v>
      </c>
      <c r="H3" s="3013">
        <v>42931</v>
      </c>
      <c r="I3" s="3013">
        <v>44026</v>
      </c>
      <c r="J3" s="3013">
        <f t="shared" ref="J3:J14" si="0">H3</f>
        <v>42931</v>
      </c>
      <c r="K3" s="3014"/>
      <c r="L3" s="3015">
        <f t="shared" ref="L3:L14" si="1">(I3-H3)/365</f>
        <v>3</v>
      </c>
      <c r="M3" s="3015" t="s">
        <v>3170</v>
      </c>
      <c r="N3" s="3012">
        <f>51400</f>
        <v>51400</v>
      </c>
      <c r="O3" s="3012">
        <f>51400</f>
        <v>51400</v>
      </c>
      <c r="P3" s="3012"/>
      <c r="Q3" s="3012"/>
      <c r="R3" s="3012"/>
      <c r="S3" s="3012"/>
      <c r="T3" s="3012"/>
      <c r="U3" s="3012"/>
      <c r="V3" s="3012"/>
      <c r="W3" s="3012"/>
      <c r="X3" s="3012"/>
      <c r="Y3" s="3012"/>
      <c r="Z3" s="3012"/>
      <c r="AA3" s="3016" t="s">
        <v>3171</v>
      </c>
      <c r="AB3" s="3017"/>
      <c r="AC3" s="3018"/>
      <c r="AD3" s="3018">
        <f t="shared" ref="AD3:AD14" si="2">AC3*G3</f>
        <v>0</v>
      </c>
      <c r="AE3" s="3017"/>
      <c r="AF3" s="3023"/>
      <c r="AG3" s="3020">
        <v>50500</v>
      </c>
      <c r="AH3" s="3021">
        <f t="shared" ref="AH3:AH13" si="3">(N3-AG3)/AG3</f>
        <v>1.782178217821782E-2</v>
      </c>
      <c r="AI3" s="3020"/>
    </row>
    <row r="4" spans="1:35" s="3022" customFormat="1" ht="44.25" customHeight="1">
      <c r="A4" s="3008">
        <v>3</v>
      </c>
      <c r="B4" s="3008" t="s">
        <v>3166</v>
      </c>
      <c r="C4" s="3009" t="s">
        <v>3173</v>
      </c>
      <c r="D4" s="3008"/>
      <c r="E4" s="3010" t="s">
        <v>3168</v>
      </c>
      <c r="F4" s="3011" t="s">
        <v>3169</v>
      </c>
      <c r="G4" s="3012">
        <v>310</v>
      </c>
      <c r="H4" s="3013">
        <v>42561</v>
      </c>
      <c r="I4" s="3013">
        <v>43655</v>
      </c>
      <c r="J4" s="3013">
        <f t="shared" si="0"/>
        <v>42561</v>
      </c>
      <c r="K4" s="3014"/>
      <c r="L4" s="3015">
        <f t="shared" si="1"/>
        <v>2.9972602739726026</v>
      </c>
      <c r="M4" s="3015"/>
      <c r="N4" s="3012">
        <v>51300</v>
      </c>
      <c r="O4" s="3012"/>
      <c r="P4" s="3012"/>
      <c r="Q4" s="3012"/>
      <c r="R4" s="3012"/>
      <c r="S4" s="3012"/>
      <c r="T4" s="3012"/>
      <c r="U4" s="3012"/>
      <c r="V4" s="3012"/>
      <c r="W4" s="3012"/>
      <c r="X4" s="3012"/>
      <c r="Y4" s="3012"/>
      <c r="Z4" s="3012"/>
      <c r="AA4" s="3016" t="s">
        <v>3171</v>
      </c>
      <c r="AB4" s="3017"/>
      <c r="AC4" s="3018"/>
      <c r="AD4" s="3018">
        <f t="shared" si="2"/>
        <v>0</v>
      </c>
      <c r="AE4" s="3017"/>
      <c r="AF4" s="3023"/>
      <c r="AG4" s="3020">
        <v>46400</v>
      </c>
      <c r="AH4" s="3021">
        <f t="shared" si="3"/>
        <v>0.10560344827586207</v>
      </c>
      <c r="AI4" s="3020"/>
    </row>
    <row r="5" spans="1:35" s="3022" customFormat="1" ht="44.25" customHeight="1">
      <c r="A5" s="3008">
        <v>4</v>
      </c>
      <c r="B5" s="3008" t="s">
        <v>3166</v>
      </c>
      <c r="C5" s="3009" t="s">
        <v>3174</v>
      </c>
      <c r="D5" s="3008"/>
      <c r="E5" s="3010" t="s">
        <v>3168</v>
      </c>
      <c r="F5" s="3011" t="s">
        <v>3169</v>
      </c>
      <c r="G5" s="3012">
        <v>310</v>
      </c>
      <c r="H5" s="3013">
        <v>42976</v>
      </c>
      <c r="I5" s="3013">
        <v>44071</v>
      </c>
      <c r="J5" s="3013">
        <f t="shared" si="0"/>
        <v>42976</v>
      </c>
      <c r="K5" s="3014"/>
      <c r="L5" s="3015">
        <f t="shared" si="1"/>
        <v>3</v>
      </c>
      <c r="M5" s="3015" t="s">
        <v>3175</v>
      </c>
      <c r="N5" s="3012">
        <v>51400</v>
      </c>
      <c r="O5" s="3012">
        <v>51400</v>
      </c>
      <c r="P5" s="3012"/>
      <c r="Q5" s="3012"/>
      <c r="R5" s="3012"/>
      <c r="S5" s="3012"/>
      <c r="T5" s="3012"/>
      <c r="U5" s="3012"/>
      <c r="V5" s="3012"/>
      <c r="W5" s="3012"/>
      <c r="X5" s="3012"/>
      <c r="Y5" s="3012"/>
      <c r="Z5" s="3012"/>
      <c r="AA5" s="3016" t="s">
        <v>3171</v>
      </c>
      <c r="AB5" s="3017"/>
      <c r="AC5" s="3018"/>
      <c r="AD5" s="3018">
        <f t="shared" si="2"/>
        <v>0</v>
      </c>
      <c r="AE5" s="3017"/>
      <c r="AF5" s="3023"/>
      <c r="AG5" s="3020">
        <v>50500</v>
      </c>
      <c r="AH5" s="3021">
        <f t="shared" si="3"/>
        <v>1.782178217821782E-2</v>
      </c>
      <c r="AI5" s="3020"/>
    </row>
    <row r="6" spans="1:35" s="3022" customFormat="1" ht="44.25" customHeight="1">
      <c r="A6" s="3008">
        <v>5</v>
      </c>
      <c r="B6" s="3008" t="s">
        <v>3166</v>
      </c>
      <c r="C6" s="3009" t="s">
        <v>3176</v>
      </c>
      <c r="D6" s="3008"/>
      <c r="E6" s="3010" t="s">
        <v>3168</v>
      </c>
      <c r="F6" s="3011" t="s">
        <v>3169</v>
      </c>
      <c r="G6" s="3012">
        <v>310</v>
      </c>
      <c r="H6" s="3013">
        <v>43041</v>
      </c>
      <c r="I6" s="3013">
        <v>44136</v>
      </c>
      <c r="J6" s="3013">
        <f t="shared" si="0"/>
        <v>43041</v>
      </c>
      <c r="K6" s="3014"/>
      <c r="L6" s="3015">
        <f t="shared" si="1"/>
        <v>3</v>
      </c>
      <c r="M6" s="3015" t="s">
        <v>3170</v>
      </c>
      <c r="N6" s="3012">
        <v>51400</v>
      </c>
      <c r="O6" s="3012">
        <v>51400</v>
      </c>
      <c r="P6" s="3012"/>
      <c r="Q6" s="3012"/>
      <c r="R6" s="3012"/>
      <c r="S6" s="3012"/>
      <c r="T6" s="3012"/>
      <c r="U6" s="3012"/>
      <c r="V6" s="3012"/>
      <c r="W6" s="3012"/>
      <c r="X6" s="3012"/>
      <c r="Y6" s="3012"/>
      <c r="Z6" s="3012"/>
      <c r="AA6" s="3016" t="s">
        <v>3171</v>
      </c>
      <c r="AB6" s="3017"/>
      <c r="AC6" s="3018"/>
      <c r="AD6" s="3018">
        <f t="shared" si="2"/>
        <v>0</v>
      </c>
      <c r="AE6" s="3017"/>
      <c r="AF6" s="3023"/>
      <c r="AG6" s="3020">
        <v>50500</v>
      </c>
      <c r="AH6" s="3021">
        <f t="shared" si="3"/>
        <v>1.782178217821782E-2</v>
      </c>
      <c r="AI6" s="3020"/>
    </row>
    <row r="7" spans="1:35" s="3022" customFormat="1" ht="44.25" customHeight="1">
      <c r="A7" s="3008">
        <v>6</v>
      </c>
      <c r="B7" s="3008" t="s">
        <v>3166</v>
      </c>
      <c r="C7" s="3024" t="s">
        <v>3177</v>
      </c>
      <c r="D7" s="3008"/>
      <c r="E7" s="3010" t="s">
        <v>3168</v>
      </c>
      <c r="F7" s="3011" t="s">
        <v>3169</v>
      </c>
      <c r="G7" s="3012">
        <v>310</v>
      </c>
      <c r="H7" s="3013">
        <v>42561</v>
      </c>
      <c r="I7" s="3013">
        <v>43655</v>
      </c>
      <c r="J7" s="3013">
        <f t="shared" si="0"/>
        <v>42561</v>
      </c>
      <c r="K7" s="3014"/>
      <c r="L7" s="3015">
        <f t="shared" si="1"/>
        <v>2.9972602739726026</v>
      </c>
      <c r="M7" s="3015"/>
      <c r="N7" s="3012">
        <v>51300</v>
      </c>
      <c r="O7" s="3012"/>
      <c r="P7" s="3012"/>
      <c r="Q7" s="3012"/>
      <c r="R7" s="3012"/>
      <c r="S7" s="3012"/>
      <c r="T7" s="3012"/>
      <c r="U7" s="3012"/>
      <c r="V7" s="3012"/>
      <c r="W7" s="3012"/>
      <c r="X7" s="3012"/>
      <c r="Y7" s="3012"/>
      <c r="Z7" s="3012"/>
      <c r="AA7" s="3016" t="s">
        <v>3171</v>
      </c>
      <c r="AB7" s="3017"/>
      <c r="AC7" s="3018"/>
      <c r="AD7" s="3018">
        <f t="shared" si="2"/>
        <v>0</v>
      </c>
      <c r="AE7" s="3025"/>
      <c r="AF7" s="3023"/>
      <c r="AG7" s="3020">
        <v>46400</v>
      </c>
      <c r="AH7" s="3021">
        <f t="shared" si="3"/>
        <v>0.10560344827586207</v>
      </c>
      <c r="AI7" s="3020"/>
    </row>
    <row r="8" spans="1:35" s="3022" customFormat="1" ht="44.25" customHeight="1">
      <c r="A8" s="3008">
        <v>7</v>
      </c>
      <c r="B8" s="3008" t="s">
        <v>3166</v>
      </c>
      <c r="C8" s="3009" t="s">
        <v>3178</v>
      </c>
      <c r="D8" s="3008"/>
      <c r="E8" s="3010" t="s">
        <v>3168</v>
      </c>
      <c r="F8" s="3011" t="s">
        <v>3169</v>
      </c>
      <c r="G8" s="3012">
        <v>310</v>
      </c>
      <c r="H8" s="3013">
        <v>42977</v>
      </c>
      <c r="I8" s="3013">
        <v>44072</v>
      </c>
      <c r="J8" s="3013">
        <f t="shared" si="0"/>
        <v>42977</v>
      </c>
      <c r="K8" s="3014"/>
      <c r="L8" s="3015">
        <f t="shared" si="1"/>
        <v>3</v>
      </c>
      <c r="M8" s="3015"/>
      <c r="N8" s="3012">
        <v>51400</v>
      </c>
      <c r="O8" s="3012">
        <v>51400</v>
      </c>
      <c r="P8" s="3012"/>
      <c r="Q8" s="3012"/>
      <c r="R8" s="3012"/>
      <c r="S8" s="3012"/>
      <c r="T8" s="3012"/>
      <c r="U8" s="3012"/>
      <c r="V8" s="3012"/>
      <c r="W8" s="3012"/>
      <c r="X8" s="3012"/>
      <c r="Y8" s="3012"/>
      <c r="Z8" s="3012"/>
      <c r="AA8" s="3016" t="s">
        <v>3171</v>
      </c>
      <c r="AB8" s="3017"/>
      <c r="AC8" s="3018"/>
      <c r="AD8" s="3018">
        <f t="shared" si="2"/>
        <v>0</v>
      </c>
      <c r="AE8" s="3017"/>
      <c r="AF8" s="3023"/>
      <c r="AG8" s="3020">
        <v>50500</v>
      </c>
      <c r="AH8" s="3021">
        <f t="shared" si="3"/>
        <v>1.782178217821782E-2</v>
      </c>
      <c r="AI8" s="3020"/>
    </row>
    <row r="9" spans="1:35" s="3022" customFormat="1" ht="44.25" customHeight="1">
      <c r="A9" s="3008">
        <v>8</v>
      </c>
      <c r="B9" s="3008" t="s">
        <v>3166</v>
      </c>
      <c r="C9" s="3009" t="s">
        <v>3179</v>
      </c>
      <c r="D9" s="3008"/>
      <c r="E9" s="3010" t="s">
        <v>3168</v>
      </c>
      <c r="F9" s="3011" t="s">
        <v>3169</v>
      </c>
      <c r="G9" s="3012">
        <v>310</v>
      </c>
      <c r="H9" s="3013">
        <v>43161</v>
      </c>
      <c r="I9" s="3013">
        <v>44256</v>
      </c>
      <c r="J9" s="3013">
        <f t="shared" si="0"/>
        <v>43161</v>
      </c>
      <c r="K9" s="3014"/>
      <c r="L9" s="3015">
        <f t="shared" si="1"/>
        <v>3</v>
      </c>
      <c r="M9" s="3015"/>
      <c r="N9" s="3012">
        <v>51400</v>
      </c>
      <c r="O9" s="3012">
        <v>51400</v>
      </c>
      <c r="P9" s="3012">
        <v>51400</v>
      </c>
      <c r="Q9" s="3012"/>
      <c r="R9" s="3012"/>
      <c r="S9" s="3012"/>
      <c r="T9" s="3012"/>
      <c r="U9" s="3012"/>
      <c r="V9" s="3012"/>
      <c r="W9" s="3012"/>
      <c r="X9" s="3012"/>
      <c r="Y9" s="3012"/>
      <c r="Z9" s="3012"/>
      <c r="AA9" s="3016" t="s">
        <v>3171</v>
      </c>
      <c r="AB9" s="3017"/>
      <c r="AC9" s="3018"/>
      <c r="AD9" s="3018">
        <f t="shared" si="2"/>
        <v>0</v>
      </c>
      <c r="AE9" s="3017"/>
      <c r="AF9" s="3023"/>
      <c r="AG9" s="3020">
        <v>50500</v>
      </c>
      <c r="AH9" s="3021">
        <f t="shared" si="3"/>
        <v>1.782178217821782E-2</v>
      </c>
      <c r="AI9" s="3020"/>
    </row>
    <row r="10" spans="1:35" s="3022" customFormat="1" ht="44.25" customHeight="1">
      <c r="A10" s="3008">
        <v>9</v>
      </c>
      <c r="B10" s="3008" t="s">
        <v>3166</v>
      </c>
      <c r="C10" s="3009" t="s">
        <v>3180</v>
      </c>
      <c r="D10" s="3008"/>
      <c r="E10" s="3010" t="s">
        <v>3168</v>
      </c>
      <c r="F10" s="3011" t="s">
        <v>3169</v>
      </c>
      <c r="G10" s="3012">
        <v>310</v>
      </c>
      <c r="H10" s="3013">
        <v>42505</v>
      </c>
      <c r="I10" s="3013">
        <v>43599</v>
      </c>
      <c r="J10" s="3013">
        <f t="shared" si="0"/>
        <v>42505</v>
      </c>
      <c r="K10" s="3014"/>
      <c r="L10" s="3015">
        <f t="shared" si="1"/>
        <v>2.9972602739726026</v>
      </c>
      <c r="M10" s="3015"/>
      <c r="N10" s="3012">
        <v>51300</v>
      </c>
      <c r="O10" s="3012"/>
      <c r="P10" s="3012"/>
      <c r="Q10" s="3012"/>
      <c r="R10" s="3012"/>
      <c r="S10" s="3012"/>
      <c r="T10" s="3012"/>
      <c r="U10" s="3012"/>
      <c r="V10" s="3012"/>
      <c r="W10" s="3012"/>
      <c r="X10" s="3012"/>
      <c r="Y10" s="3012"/>
      <c r="Z10" s="3012"/>
      <c r="AA10" s="3016" t="s">
        <v>3171</v>
      </c>
      <c r="AB10" s="3017"/>
      <c r="AC10" s="3018"/>
      <c r="AD10" s="3018">
        <f t="shared" si="2"/>
        <v>0</v>
      </c>
      <c r="AE10" s="3017"/>
      <c r="AF10" s="3023"/>
      <c r="AG10" s="3020">
        <v>46400</v>
      </c>
      <c r="AH10" s="3021">
        <f t="shared" si="3"/>
        <v>0.10560344827586207</v>
      </c>
      <c r="AI10" s="3020"/>
    </row>
    <row r="11" spans="1:35" s="3022" customFormat="1" ht="44.25" customHeight="1">
      <c r="A11" s="3008">
        <v>10</v>
      </c>
      <c r="B11" s="3008" t="s">
        <v>3166</v>
      </c>
      <c r="C11" s="3009" t="s">
        <v>3181</v>
      </c>
      <c r="D11" s="3008"/>
      <c r="E11" s="3010" t="s">
        <v>3168</v>
      </c>
      <c r="F11" s="3011" t="s">
        <v>3169</v>
      </c>
      <c r="G11" s="3012">
        <v>310</v>
      </c>
      <c r="H11" s="3013">
        <v>42569</v>
      </c>
      <c r="I11" s="3013">
        <v>43663</v>
      </c>
      <c r="J11" s="3013">
        <f t="shared" si="0"/>
        <v>42569</v>
      </c>
      <c r="K11" s="3014"/>
      <c r="L11" s="3015">
        <f t="shared" si="1"/>
        <v>2.9972602739726026</v>
      </c>
      <c r="M11" s="3015"/>
      <c r="N11" s="3012">
        <v>51300</v>
      </c>
      <c r="O11" s="3012"/>
      <c r="P11" s="3012"/>
      <c r="Q11" s="3012"/>
      <c r="R11" s="3012"/>
      <c r="S11" s="3012"/>
      <c r="T11" s="3012"/>
      <c r="U11" s="3012"/>
      <c r="V11" s="3012"/>
      <c r="W11" s="3012"/>
      <c r="X11" s="3012"/>
      <c r="Y11" s="3012"/>
      <c r="Z11" s="3012"/>
      <c r="AA11" s="3026" t="s">
        <v>3171</v>
      </c>
      <c r="AB11" s="3017"/>
      <c r="AC11" s="3018"/>
      <c r="AD11" s="3018">
        <f t="shared" si="2"/>
        <v>0</v>
      </c>
      <c r="AE11" s="3017"/>
      <c r="AF11" s="3023"/>
      <c r="AG11" s="3020">
        <v>46400</v>
      </c>
      <c r="AH11" s="3021">
        <f t="shared" si="3"/>
        <v>0.10560344827586207</v>
      </c>
      <c r="AI11" s="3020"/>
    </row>
    <row r="12" spans="1:35" s="3022" customFormat="1" ht="44.25" customHeight="1">
      <c r="A12" s="3008">
        <v>11</v>
      </c>
      <c r="B12" s="3008" t="s">
        <v>3166</v>
      </c>
      <c r="C12" s="3009" t="s">
        <v>3182</v>
      </c>
      <c r="D12" s="3008"/>
      <c r="E12" s="3010" t="s">
        <v>3168</v>
      </c>
      <c r="F12" s="3011" t="s">
        <v>3169</v>
      </c>
      <c r="G12" s="3027">
        <v>310</v>
      </c>
      <c r="H12" s="3013">
        <v>42500</v>
      </c>
      <c r="I12" s="3013">
        <v>43594</v>
      </c>
      <c r="J12" s="3013">
        <f t="shared" si="0"/>
        <v>42500</v>
      </c>
      <c r="K12" s="3014"/>
      <c r="L12" s="3015">
        <f t="shared" si="1"/>
        <v>2.9972602739726026</v>
      </c>
      <c r="M12" s="3015"/>
      <c r="N12" s="3012">
        <v>51300</v>
      </c>
      <c r="O12" s="3012"/>
      <c r="P12" s="3012"/>
      <c r="Q12" s="3012"/>
      <c r="R12" s="3012"/>
      <c r="S12" s="3012"/>
      <c r="T12" s="3012"/>
      <c r="U12" s="3012"/>
      <c r="V12" s="3012"/>
      <c r="W12" s="3012"/>
      <c r="X12" s="3012"/>
      <c r="Y12" s="3012"/>
      <c r="Z12" s="3012"/>
      <c r="AA12" s="3026" t="s">
        <v>3171</v>
      </c>
      <c r="AB12" s="3017"/>
      <c r="AC12" s="3018"/>
      <c r="AD12" s="3018">
        <f t="shared" si="2"/>
        <v>0</v>
      </c>
      <c r="AE12" s="3017"/>
      <c r="AF12" s="3023"/>
      <c r="AG12" s="3020">
        <v>46400</v>
      </c>
      <c r="AH12" s="3021">
        <f t="shared" si="3"/>
        <v>0.10560344827586207</v>
      </c>
      <c r="AI12" s="3020"/>
    </row>
    <row r="13" spans="1:35" s="3022" customFormat="1" ht="44.25" customHeight="1">
      <c r="A13" s="3008">
        <v>12</v>
      </c>
      <c r="B13" s="3008" t="s">
        <v>3166</v>
      </c>
      <c r="C13" s="3009" t="s">
        <v>3183</v>
      </c>
      <c r="D13" s="3008"/>
      <c r="E13" s="3010" t="s">
        <v>3168</v>
      </c>
      <c r="F13" s="3011" t="s">
        <v>3169</v>
      </c>
      <c r="G13" s="3012">
        <v>310</v>
      </c>
      <c r="H13" s="3013">
        <v>42519</v>
      </c>
      <c r="I13" s="3013">
        <v>43613</v>
      </c>
      <c r="J13" s="3013">
        <f t="shared" si="0"/>
        <v>42519</v>
      </c>
      <c r="K13" s="3014"/>
      <c r="L13" s="3015">
        <f t="shared" si="1"/>
        <v>2.9972602739726026</v>
      </c>
      <c r="M13" s="3015"/>
      <c r="N13" s="3012">
        <v>51300</v>
      </c>
      <c r="O13" s="3012"/>
      <c r="P13" s="3012"/>
      <c r="Q13" s="3012"/>
      <c r="R13" s="3012"/>
      <c r="S13" s="3012"/>
      <c r="T13" s="3012"/>
      <c r="U13" s="3012"/>
      <c r="V13" s="3012"/>
      <c r="W13" s="3012"/>
      <c r="X13" s="3012"/>
      <c r="Y13" s="3012"/>
      <c r="Z13" s="3012"/>
      <c r="AA13" s="3026" t="s">
        <v>3171</v>
      </c>
      <c r="AB13" s="3017"/>
      <c r="AC13" s="3018"/>
      <c r="AD13" s="3018">
        <f t="shared" si="2"/>
        <v>0</v>
      </c>
      <c r="AE13" s="3017"/>
      <c r="AF13" s="3023"/>
      <c r="AG13" s="3020">
        <v>46400</v>
      </c>
      <c r="AH13" s="3021">
        <f t="shared" si="3"/>
        <v>0.10560344827586207</v>
      </c>
      <c r="AI13" s="3020"/>
    </row>
    <row r="14" spans="1:35" s="3022" customFormat="1" ht="44.25" customHeight="1">
      <c r="A14" s="3028">
        <v>13</v>
      </c>
      <c r="B14" s="3028" t="s">
        <v>3166</v>
      </c>
      <c r="C14" s="3029" t="s">
        <v>3184</v>
      </c>
      <c r="D14" s="3028"/>
      <c r="E14" s="3030" t="s">
        <v>3185</v>
      </c>
      <c r="F14" s="3031"/>
      <c r="G14" s="3032"/>
      <c r="H14" s="3033"/>
      <c r="I14" s="3033"/>
      <c r="J14" s="3033">
        <f t="shared" si="0"/>
        <v>0</v>
      </c>
      <c r="K14" s="3034"/>
      <c r="L14" s="3035">
        <f t="shared" si="1"/>
        <v>0</v>
      </c>
      <c r="M14" s="3035"/>
      <c r="N14" s="3032"/>
      <c r="O14" s="3032"/>
      <c r="P14" s="3036"/>
      <c r="Q14" s="3036"/>
      <c r="R14" s="3036"/>
      <c r="S14" s="3036"/>
      <c r="T14" s="3036"/>
      <c r="U14" s="3036"/>
      <c r="V14" s="3036"/>
      <c r="W14" s="3036"/>
      <c r="X14" s="3036"/>
      <c r="Y14" s="3036"/>
      <c r="Z14" s="3036"/>
      <c r="AA14" s="3016"/>
      <c r="AB14" s="3037"/>
      <c r="AC14" s="3038"/>
      <c r="AD14" s="3038">
        <f t="shared" si="2"/>
        <v>0</v>
      </c>
      <c r="AE14" s="3039"/>
      <c r="AF14" s="3040"/>
      <c r="AG14" s="3020"/>
      <c r="AH14" s="3021"/>
      <c r="AI14" s="3020"/>
    </row>
    <row r="15" spans="1:35" s="3056" customFormat="1" ht="20.100000000000001" customHeight="1">
      <c r="A15" s="3041">
        <f>COUNT(A2:A14)</f>
        <v>13</v>
      </c>
      <c r="B15" s="3042"/>
      <c r="C15" s="3043" t="s">
        <v>3186</v>
      </c>
      <c r="D15" s="3044"/>
      <c r="E15" s="3043"/>
      <c r="F15" s="3045"/>
      <c r="G15" s="3046">
        <f>SUM(G2:G14)</f>
        <v>3720</v>
      </c>
      <c r="H15" s="3047"/>
      <c r="I15" s="3048"/>
      <c r="J15" s="3048"/>
      <c r="K15" s="3049"/>
      <c r="L15" s="3050"/>
      <c r="M15" s="3050"/>
      <c r="N15" s="3047"/>
      <c r="O15" s="3047"/>
      <c r="P15" s="3047"/>
      <c r="Q15" s="3047"/>
      <c r="R15" s="3047"/>
      <c r="S15" s="3047"/>
      <c r="T15" s="3047"/>
      <c r="U15" s="3047"/>
      <c r="V15" s="3047"/>
      <c r="W15" s="3047"/>
      <c r="X15" s="3047"/>
      <c r="Y15" s="3047"/>
      <c r="Z15" s="3047"/>
      <c r="AA15" s="3051"/>
      <c r="AB15" s="3047"/>
      <c r="AC15" s="3046"/>
      <c r="AD15" s="3046"/>
      <c r="AE15" s="3052"/>
      <c r="AF15" s="3053"/>
      <c r="AG15" s="3054"/>
      <c r="AH15" s="3055"/>
      <c r="AI15" s="3054"/>
    </row>
    <row r="16" spans="1:35" s="3069" customFormat="1" ht="37.5" customHeight="1">
      <c r="A16" s="3057">
        <v>1</v>
      </c>
      <c r="B16" s="3057" t="s">
        <v>3187</v>
      </c>
      <c r="C16" s="3058" t="s">
        <v>3188</v>
      </c>
      <c r="D16" s="3057">
        <v>1</v>
      </c>
      <c r="E16" s="3059" t="s">
        <v>3189</v>
      </c>
      <c r="F16" s="3011" t="s">
        <v>3169</v>
      </c>
      <c r="G16" s="3058">
        <v>260</v>
      </c>
      <c r="H16" s="3060">
        <v>42934</v>
      </c>
      <c r="I16" s="3060">
        <v>44029</v>
      </c>
      <c r="J16" s="3060">
        <f>H16</f>
        <v>42934</v>
      </c>
      <c r="K16" s="3061"/>
      <c r="L16" s="3062">
        <f>(I16-H16)/365</f>
        <v>3</v>
      </c>
      <c r="M16" s="3062"/>
      <c r="N16" s="3063">
        <v>49440</v>
      </c>
      <c r="O16" s="3063">
        <v>49440</v>
      </c>
      <c r="P16" s="3063"/>
      <c r="Q16" s="3063"/>
      <c r="R16" s="3063"/>
      <c r="S16" s="3063"/>
      <c r="T16" s="3063"/>
      <c r="U16" s="3063"/>
      <c r="V16" s="3063"/>
      <c r="W16" s="3063"/>
      <c r="X16" s="3063"/>
      <c r="Y16" s="3063"/>
      <c r="Z16" s="3063"/>
      <c r="AA16" s="3064" t="s">
        <v>3171</v>
      </c>
      <c r="AB16" s="3063"/>
      <c r="AC16" s="3065"/>
      <c r="AD16" s="3066"/>
      <c r="AE16" s="3067"/>
      <c r="AF16" s="3068"/>
      <c r="AG16" s="3057">
        <v>48000</v>
      </c>
      <c r="AH16" s="3021">
        <f>(N16-AG16)/AG16</f>
        <v>0.03</v>
      </c>
      <c r="AI16" s="3057"/>
    </row>
    <row r="17" spans="1:35" s="3069" customFormat="1" ht="77.25" customHeight="1">
      <c r="A17" s="3057">
        <v>2</v>
      </c>
      <c r="B17" s="3057" t="s">
        <v>3187</v>
      </c>
      <c r="C17" s="3058" t="s">
        <v>3190</v>
      </c>
      <c r="D17" s="3057">
        <v>1</v>
      </c>
      <c r="E17" s="3059" t="s">
        <v>3189</v>
      </c>
      <c r="F17" s="3011" t="s">
        <v>3169</v>
      </c>
      <c r="G17" s="3058">
        <v>260</v>
      </c>
      <c r="H17" s="3060">
        <v>42948</v>
      </c>
      <c r="I17" s="3060">
        <v>44043</v>
      </c>
      <c r="J17" s="3060">
        <f>H17</f>
        <v>42948</v>
      </c>
      <c r="K17" s="3061"/>
      <c r="L17" s="3062">
        <f t="shared" ref="L17:L29" si="4">(I17-H17)/365</f>
        <v>3</v>
      </c>
      <c r="M17" s="3062" t="s">
        <v>3191</v>
      </c>
      <c r="N17" s="3063">
        <v>49440</v>
      </c>
      <c r="O17" s="3063">
        <v>49440</v>
      </c>
      <c r="P17" s="3063"/>
      <c r="Q17" s="3063"/>
      <c r="R17" s="3063"/>
      <c r="S17" s="3063"/>
      <c r="T17" s="3063"/>
      <c r="U17" s="3063"/>
      <c r="V17" s="3063"/>
      <c r="W17" s="3063"/>
      <c r="X17" s="3063"/>
      <c r="Y17" s="3063"/>
      <c r="Z17" s="3063"/>
      <c r="AA17" s="3064" t="s">
        <v>3171</v>
      </c>
      <c r="AB17" s="3063"/>
      <c r="AC17" s="3065"/>
      <c r="AD17" s="3066">
        <f t="shared" ref="AD17:AD29" si="5">AC17*G17</f>
        <v>0</v>
      </c>
      <c r="AE17" s="3067"/>
      <c r="AF17" s="3068"/>
      <c r="AG17" s="3057">
        <v>48000</v>
      </c>
      <c r="AH17" s="3070">
        <f>(N17-AG17)/AG17</f>
        <v>0.03</v>
      </c>
      <c r="AI17" s="3057"/>
    </row>
    <row r="18" spans="1:35" s="3069" customFormat="1" ht="77.25" customHeight="1">
      <c r="A18" s="3057">
        <v>3</v>
      </c>
      <c r="B18" s="3057" t="s">
        <v>3187</v>
      </c>
      <c r="C18" s="3058" t="s">
        <v>3192</v>
      </c>
      <c r="D18" s="3057"/>
      <c r="E18" s="3059" t="s">
        <v>3189</v>
      </c>
      <c r="F18" s="3011" t="s">
        <v>3169</v>
      </c>
      <c r="G18" s="3058">
        <v>260</v>
      </c>
      <c r="H18" s="3060">
        <v>43249</v>
      </c>
      <c r="I18" s="3060">
        <v>44344</v>
      </c>
      <c r="J18" s="3060">
        <f>H18</f>
        <v>43249</v>
      </c>
      <c r="K18" s="3061"/>
      <c r="L18" s="3062">
        <f t="shared" si="4"/>
        <v>3</v>
      </c>
      <c r="M18" s="3062" t="s">
        <v>3191</v>
      </c>
      <c r="N18" s="3063">
        <v>49440</v>
      </c>
      <c r="O18" s="3063">
        <v>49440</v>
      </c>
      <c r="P18" s="3063">
        <v>49440</v>
      </c>
      <c r="Q18" s="3063"/>
      <c r="R18" s="3063"/>
      <c r="S18" s="3063"/>
      <c r="T18" s="3063"/>
      <c r="U18" s="3063"/>
      <c r="V18" s="3063"/>
      <c r="W18" s="3063"/>
      <c r="X18" s="3063"/>
      <c r="Y18" s="3063"/>
      <c r="Z18" s="3063"/>
      <c r="AA18" s="3064" t="s">
        <v>3171</v>
      </c>
      <c r="AB18" s="3063"/>
      <c r="AC18" s="3065"/>
      <c r="AD18" s="3066">
        <f t="shared" si="5"/>
        <v>0</v>
      </c>
      <c r="AE18" s="3067"/>
      <c r="AF18" s="3068"/>
      <c r="AG18" s="3057">
        <v>48000</v>
      </c>
      <c r="AH18" s="3070">
        <f t="shared" ref="AH18:AH27" si="6">(N18-AG18)/AG18</f>
        <v>0.03</v>
      </c>
      <c r="AI18" s="3057"/>
    </row>
    <row r="19" spans="1:35" s="3069" customFormat="1" ht="77.25" customHeight="1">
      <c r="A19" s="3057">
        <v>4</v>
      </c>
      <c r="B19" s="3057" t="s">
        <v>3187</v>
      </c>
      <c r="C19" s="3058" t="s">
        <v>3193</v>
      </c>
      <c r="D19" s="3057"/>
      <c r="E19" s="3059" t="s">
        <v>3189</v>
      </c>
      <c r="F19" s="3011" t="s">
        <v>3169</v>
      </c>
      <c r="G19" s="3058">
        <v>260</v>
      </c>
      <c r="H19" s="3060">
        <v>42643</v>
      </c>
      <c r="I19" s="3060">
        <v>43737</v>
      </c>
      <c r="J19" s="3060">
        <f t="shared" ref="J19:J27" si="7">H19</f>
        <v>42643</v>
      </c>
      <c r="K19" s="3061"/>
      <c r="L19" s="3062">
        <f t="shared" si="4"/>
        <v>2.9972602739726026</v>
      </c>
      <c r="M19" s="3062" t="s">
        <v>3191</v>
      </c>
      <c r="N19" s="3063">
        <v>49440</v>
      </c>
      <c r="O19" s="3063"/>
      <c r="P19" s="3063"/>
      <c r="Q19" s="3063"/>
      <c r="R19" s="3063"/>
      <c r="S19" s="3063"/>
      <c r="T19" s="3063"/>
      <c r="U19" s="3063"/>
      <c r="V19" s="3063"/>
      <c r="W19" s="3063"/>
      <c r="X19" s="3063"/>
      <c r="Y19" s="3063"/>
      <c r="Z19" s="3063"/>
      <c r="AA19" s="3064" t="s">
        <v>3171</v>
      </c>
      <c r="AB19" s="3063"/>
      <c r="AC19" s="3065"/>
      <c r="AD19" s="3066">
        <f t="shared" si="5"/>
        <v>0</v>
      </c>
      <c r="AE19" s="3067"/>
      <c r="AF19" s="3068"/>
      <c r="AG19" s="3057">
        <v>43000</v>
      </c>
      <c r="AH19" s="3070">
        <f t="shared" si="6"/>
        <v>0.14976744186046512</v>
      </c>
      <c r="AI19" s="3057"/>
    </row>
    <row r="20" spans="1:35" s="3069" customFormat="1" ht="77.25" customHeight="1">
      <c r="A20" s="3057">
        <v>5</v>
      </c>
      <c r="B20" s="3057" t="s">
        <v>3187</v>
      </c>
      <c r="C20" s="3058" t="s">
        <v>3194</v>
      </c>
      <c r="D20" s="3057"/>
      <c r="E20" s="3059" t="s">
        <v>3189</v>
      </c>
      <c r="F20" s="3011" t="s">
        <v>3169</v>
      </c>
      <c r="G20" s="3058">
        <v>260</v>
      </c>
      <c r="H20" s="3060">
        <v>42643</v>
      </c>
      <c r="I20" s="3060">
        <v>43737</v>
      </c>
      <c r="J20" s="3060">
        <f t="shared" si="7"/>
        <v>42643</v>
      </c>
      <c r="K20" s="3061"/>
      <c r="L20" s="3062">
        <f t="shared" si="4"/>
        <v>2.9972602739726026</v>
      </c>
      <c r="M20" s="3062" t="s">
        <v>3191</v>
      </c>
      <c r="N20" s="3063">
        <v>49440</v>
      </c>
      <c r="O20" s="3063"/>
      <c r="P20" s="3063"/>
      <c r="Q20" s="3063"/>
      <c r="R20" s="3063"/>
      <c r="S20" s="3063"/>
      <c r="T20" s="3063"/>
      <c r="U20" s="3063"/>
      <c r="V20" s="3063"/>
      <c r="W20" s="3063"/>
      <c r="X20" s="3063"/>
      <c r="Y20" s="3063"/>
      <c r="Z20" s="3063"/>
      <c r="AA20" s="3064" t="s">
        <v>3171</v>
      </c>
      <c r="AB20" s="3063"/>
      <c r="AC20" s="3065"/>
      <c r="AD20" s="3066">
        <f t="shared" si="5"/>
        <v>0</v>
      </c>
      <c r="AE20" s="3067"/>
      <c r="AF20" s="3068"/>
      <c r="AG20" s="3057">
        <v>43000</v>
      </c>
      <c r="AH20" s="3070">
        <f t="shared" si="6"/>
        <v>0.14976744186046512</v>
      </c>
      <c r="AI20" s="3057"/>
    </row>
    <row r="21" spans="1:35" s="3069" customFormat="1" ht="77.25" customHeight="1">
      <c r="A21" s="3057">
        <v>6</v>
      </c>
      <c r="B21" s="3057" t="s">
        <v>3187</v>
      </c>
      <c r="C21" s="3058" t="s">
        <v>3195</v>
      </c>
      <c r="D21" s="3057"/>
      <c r="E21" s="3059" t="s">
        <v>3189</v>
      </c>
      <c r="F21" s="3011" t="s">
        <v>3169</v>
      </c>
      <c r="G21" s="3058">
        <v>260</v>
      </c>
      <c r="H21" s="3060">
        <v>42871</v>
      </c>
      <c r="I21" s="3060">
        <v>43966</v>
      </c>
      <c r="J21" s="3060">
        <f t="shared" si="7"/>
        <v>42871</v>
      </c>
      <c r="K21" s="3061"/>
      <c r="L21" s="3062">
        <f t="shared" si="4"/>
        <v>3</v>
      </c>
      <c r="M21" s="3062" t="s">
        <v>3191</v>
      </c>
      <c r="N21" s="3063">
        <v>49440</v>
      </c>
      <c r="O21" s="3063">
        <v>49440</v>
      </c>
      <c r="P21" s="3063"/>
      <c r="Q21" s="3063"/>
      <c r="R21" s="3063"/>
      <c r="S21" s="3063"/>
      <c r="T21" s="3063"/>
      <c r="U21" s="3063"/>
      <c r="V21" s="3063"/>
      <c r="W21" s="3063"/>
      <c r="X21" s="3063"/>
      <c r="Y21" s="3063"/>
      <c r="Z21" s="3063"/>
      <c r="AA21" s="3064" t="s">
        <v>3171</v>
      </c>
      <c r="AB21" s="3063"/>
      <c r="AC21" s="3065"/>
      <c r="AD21" s="3066">
        <f t="shared" si="5"/>
        <v>0</v>
      </c>
      <c r="AE21" s="3071"/>
      <c r="AF21" s="3068"/>
      <c r="AG21" s="3057">
        <v>48000</v>
      </c>
      <c r="AH21" s="3070">
        <f t="shared" si="6"/>
        <v>0.03</v>
      </c>
      <c r="AI21" s="3057"/>
    </row>
    <row r="22" spans="1:35" s="3069" customFormat="1" ht="77.25" customHeight="1">
      <c r="A22" s="3057">
        <v>7</v>
      </c>
      <c r="B22" s="3057" t="s">
        <v>3187</v>
      </c>
      <c r="C22" s="3058" t="s">
        <v>3196</v>
      </c>
      <c r="D22" s="3057"/>
      <c r="E22" s="3059" t="s">
        <v>3189</v>
      </c>
      <c r="F22" s="3011" t="s">
        <v>3169</v>
      </c>
      <c r="G22" s="3058">
        <v>260</v>
      </c>
      <c r="H22" s="3060">
        <v>42797</v>
      </c>
      <c r="I22" s="3060">
        <v>43892</v>
      </c>
      <c r="J22" s="3060">
        <f t="shared" si="7"/>
        <v>42797</v>
      </c>
      <c r="K22" s="3061"/>
      <c r="L22" s="3062">
        <f t="shared" si="4"/>
        <v>3</v>
      </c>
      <c r="M22" s="3062" t="s">
        <v>3191</v>
      </c>
      <c r="N22" s="3063">
        <v>49440</v>
      </c>
      <c r="O22" s="3063">
        <v>49440</v>
      </c>
      <c r="P22" s="3063"/>
      <c r="Q22" s="3063"/>
      <c r="R22" s="3063"/>
      <c r="S22" s="3063"/>
      <c r="T22" s="3063"/>
      <c r="U22" s="3063"/>
      <c r="V22" s="3063"/>
      <c r="W22" s="3063"/>
      <c r="X22" s="3063"/>
      <c r="Y22" s="3063"/>
      <c r="Z22" s="3063"/>
      <c r="AA22" s="3064" t="s">
        <v>3171</v>
      </c>
      <c r="AB22" s="3063"/>
      <c r="AC22" s="3065"/>
      <c r="AD22" s="3066">
        <f t="shared" si="5"/>
        <v>0</v>
      </c>
      <c r="AE22" s="3067"/>
      <c r="AF22" s="3068"/>
      <c r="AG22" s="3057">
        <v>43000</v>
      </c>
      <c r="AH22" s="3070">
        <f t="shared" si="6"/>
        <v>0.14976744186046512</v>
      </c>
      <c r="AI22" s="3057"/>
    </row>
    <row r="23" spans="1:35" s="3069" customFormat="1" ht="77.25" customHeight="1">
      <c r="A23" s="3057">
        <v>8</v>
      </c>
      <c r="B23" s="3057" t="s">
        <v>3187</v>
      </c>
      <c r="C23" s="3058" t="s">
        <v>3197</v>
      </c>
      <c r="D23" s="3057"/>
      <c r="E23" s="3059" t="s">
        <v>3189</v>
      </c>
      <c r="F23" s="3011" t="s">
        <v>3169</v>
      </c>
      <c r="G23" s="3011">
        <v>260</v>
      </c>
      <c r="H23" s="3060" t="s">
        <v>3198</v>
      </c>
      <c r="I23" s="3060" t="s">
        <v>3199</v>
      </c>
      <c r="J23" s="3060" t="str">
        <f>H23</f>
        <v>2016/12/30</v>
      </c>
      <c r="K23" s="3061"/>
      <c r="L23" s="3062">
        <f t="shared" si="4"/>
        <v>2.9972602739726026</v>
      </c>
      <c r="M23" s="3062"/>
      <c r="N23" s="3063">
        <v>49440</v>
      </c>
      <c r="O23" s="3063"/>
      <c r="P23" s="3063"/>
      <c r="Q23" s="3063"/>
      <c r="R23" s="3063"/>
      <c r="S23" s="3063"/>
      <c r="T23" s="3063"/>
      <c r="U23" s="3063"/>
      <c r="V23" s="3063"/>
      <c r="W23" s="3063"/>
      <c r="X23" s="3063"/>
      <c r="Y23" s="3063"/>
      <c r="Z23" s="3063"/>
      <c r="AA23" s="3063" t="s">
        <v>3171</v>
      </c>
      <c r="AB23" s="3063"/>
      <c r="AC23" s="3065"/>
      <c r="AD23" s="3066">
        <f t="shared" si="5"/>
        <v>0</v>
      </c>
      <c r="AE23" s="3067"/>
      <c r="AF23" s="3068"/>
      <c r="AG23" s="3057"/>
      <c r="AH23" s="3070"/>
      <c r="AI23" s="3057"/>
    </row>
    <row r="24" spans="1:35" s="3069" customFormat="1" ht="77.25" customHeight="1">
      <c r="A24" s="3057">
        <v>9</v>
      </c>
      <c r="B24" s="3057" t="s">
        <v>3187</v>
      </c>
      <c r="C24" s="3058" t="s">
        <v>3200</v>
      </c>
      <c r="D24" s="3057"/>
      <c r="E24" s="3059" t="s">
        <v>3189</v>
      </c>
      <c r="F24" s="3011" t="s">
        <v>3169</v>
      </c>
      <c r="G24" s="3058">
        <v>260</v>
      </c>
      <c r="H24" s="3060">
        <v>42921</v>
      </c>
      <c r="I24" s="3060">
        <v>44016</v>
      </c>
      <c r="J24" s="3060">
        <f t="shared" si="7"/>
        <v>42921</v>
      </c>
      <c r="K24" s="3061"/>
      <c r="L24" s="3062">
        <f t="shared" si="4"/>
        <v>3</v>
      </c>
      <c r="M24" s="3062"/>
      <c r="N24" s="3063">
        <v>49440</v>
      </c>
      <c r="O24" s="3063">
        <v>49440</v>
      </c>
      <c r="P24" s="3063"/>
      <c r="Q24" s="3063"/>
      <c r="R24" s="3063"/>
      <c r="S24" s="3063"/>
      <c r="T24" s="3063"/>
      <c r="U24" s="3063"/>
      <c r="V24" s="3063"/>
      <c r="W24" s="3063"/>
      <c r="X24" s="3063"/>
      <c r="Y24" s="3063"/>
      <c r="Z24" s="3063"/>
      <c r="AA24" s="3064" t="s">
        <v>3171</v>
      </c>
      <c r="AB24" s="3063"/>
      <c r="AC24" s="3065"/>
      <c r="AD24" s="3066">
        <f t="shared" si="5"/>
        <v>0</v>
      </c>
      <c r="AE24" s="3067"/>
      <c r="AF24" s="3068"/>
      <c r="AG24" s="3057">
        <v>48000</v>
      </c>
      <c r="AH24" s="3070">
        <f>(N24-AG24)/AG24</f>
        <v>0.03</v>
      </c>
      <c r="AI24" s="3057"/>
    </row>
    <row r="25" spans="1:35" s="3069" customFormat="1" ht="77.25" customHeight="1">
      <c r="A25" s="3057">
        <v>10</v>
      </c>
      <c r="B25" s="3057" t="s">
        <v>3187</v>
      </c>
      <c r="C25" s="3058" t="s">
        <v>3201</v>
      </c>
      <c r="D25" s="3057"/>
      <c r="E25" s="3059" t="s">
        <v>3189</v>
      </c>
      <c r="F25" s="3011" t="s">
        <v>3169</v>
      </c>
      <c r="G25" s="3058">
        <v>260</v>
      </c>
      <c r="H25" s="3060">
        <v>42546</v>
      </c>
      <c r="I25" s="3060">
        <v>43640</v>
      </c>
      <c r="J25" s="3060">
        <f t="shared" si="7"/>
        <v>42546</v>
      </c>
      <c r="K25" s="3061"/>
      <c r="L25" s="3062">
        <f t="shared" si="4"/>
        <v>2.9972602739726026</v>
      </c>
      <c r="M25" s="3062"/>
      <c r="N25" s="3063">
        <v>49440</v>
      </c>
      <c r="O25" s="3063"/>
      <c r="P25" s="3063"/>
      <c r="Q25" s="3063"/>
      <c r="R25" s="3063"/>
      <c r="S25" s="3063"/>
      <c r="T25" s="3063"/>
      <c r="U25" s="3063"/>
      <c r="V25" s="3063"/>
      <c r="W25" s="3063"/>
      <c r="X25" s="3063"/>
      <c r="Y25" s="3063"/>
      <c r="Z25" s="3063"/>
      <c r="AA25" s="3064" t="s">
        <v>3171</v>
      </c>
      <c r="AB25" s="3063"/>
      <c r="AC25" s="3065"/>
      <c r="AD25" s="3066">
        <f t="shared" si="5"/>
        <v>0</v>
      </c>
      <c r="AE25" s="3067"/>
      <c r="AF25" s="3068"/>
      <c r="AG25" s="3057">
        <v>43000</v>
      </c>
      <c r="AH25" s="3070">
        <f t="shared" si="6"/>
        <v>0.14976744186046512</v>
      </c>
      <c r="AI25" s="3057"/>
    </row>
    <row r="26" spans="1:35" s="3069" customFormat="1" ht="77.25" customHeight="1">
      <c r="A26" s="3057">
        <v>11</v>
      </c>
      <c r="B26" s="3057" t="s">
        <v>3187</v>
      </c>
      <c r="C26" s="3058" t="s">
        <v>3202</v>
      </c>
      <c r="D26" s="3057"/>
      <c r="E26" s="3059" t="s">
        <v>3189</v>
      </c>
      <c r="F26" s="3011" t="s">
        <v>3169</v>
      </c>
      <c r="G26" s="3058">
        <v>260</v>
      </c>
      <c r="H26" s="3060">
        <v>43301</v>
      </c>
      <c r="I26" s="3060">
        <v>44396</v>
      </c>
      <c r="J26" s="3060">
        <f t="shared" si="7"/>
        <v>43301</v>
      </c>
      <c r="K26" s="3061"/>
      <c r="L26" s="3062">
        <f t="shared" si="4"/>
        <v>3</v>
      </c>
      <c r="M26" s="3062"/>
      <c r="N26" s="3063">
        <v>49440</v>
      </c>
      <c r="O26" s="3063">
        <v>49440</v>
      </c>
      <c r="P26" s="3063">
        <v>49440</v>
      </c>
      <c r="Q26" s="3063"/>
      <c r="R26" s="3063"/>
      <c r="S26" s="3063"/>
      <c r="T26" s="3063"/>
      <c r="U26" s="3063"/>
      <c r="V26" s="3063"/>
      <c r="W26" s="3063"/>
      <c r="X26" s="3063"/>
      <c r="Y26" s="3063"/>
      <c r="Z26" s="3063"/>
      <c r="AA26" s="3064" t="s">
        <v>3171</v>
      </c>
      <c r="AB26" s="3063"/>
      <c r="AC26" s="3065"/>
      <c r="AD26" s="3066">
        <f t="shared" si="5"/>
        <v>0</v>
      </c>
      <c r="AE26" s="3067"/>
      <c r="AF26" s="3068"/>
      <c r="AG26" s="3057">
        <v>48000</v>
      </c>
      <c r="AH26" s="3070">
        <f t="shared" si="6"/>
        <v>0.03</v>
      </c>
      <c r="AI26" s="3057"/>
    </row>
    <row r="27" spans="1:35" s="3069" customFormat="1" ht="77.25" customHeight="1">
      <c r="A27" s="3057">
        <v>12</v>
      </c>
      <c r="B27" s="3057" t="s">
        <v>3187</v>
      </c>
      <c r="C27" s="3058" t="s">
        <v>3203</v>
      </c>
      <c r="D27" s="3057"/>
      <c r="E27" s="3059" t="s">
        <v>3189</v>
      </c>
      <c r="F27" s="3011" t="s">
        <v>3169</v>
      </c>
      <c r="G27" s="3058">
        <v>260</v>
      </c>
      <c r="H27" s="3060">
        <v>42633</v>
      </c>
      <c r="I27" s="3060">
        <v>43727</v>
      </c>
      <c r="J27" s="3060">
        <f t="shared" si="7"/>
        <v>42633</v>
      </c>
      <c r="K27" s="3061"/>
      <c r="L27" s="3062">
        <f t="shared" si="4"/>
        <v>2.9972602739726026</v>
      </c>
      <c r="M27" s="3062"/>
      <c r="N27" s="3063">
        <v>49440</v>
      </c>
      <c r="O27" s="3063"/>
      <c r="P27" s="3063"/>
      <c r="Q27" s="3063"/>
      <c r="R27" s="3063"/>
      <c r="S27" s="3063"/>
      <c r="T27" s="3063"/>
      <c r="U27" s="3063"/>
      <c r="V27" s="3063"/>
      <c r="W27" s="3063"/>
      <c r="X27" s="3063"/>
      <c r="Y27" s="3063"/>
      <c r="Z27" s="3063"/>
      <c r="AA27" s="3064" t="s">
        <v>3171</v>
      </c>
      <c r="AB27" s="3063"/>
      <c r="AC27" s="3065"/>
      <c r="AD27" s="3066">
        <f t="shared" si="5"/>
        <v>0</v>
      </c>
      <c r="AE27" s="3067"/>
      <c r="AF27" s="3068"/>
      <c r="AG27" s="3057">
        <v>43000</v>
      </c>
      <c r="AH27" s="3070">
        <f t="shared" si="6"/>
        <v>0.14976744186046512</v>
      </c>
      <c r="AI27" s="3057"/>
    </row>
    <row r="28" spans="1:35" s="3069" customFormat="1" ht="77.25" customHeight="1">
      <c r="A28" s="3057">
        <v>13</v>
      </c>
      <c r="B28" s="3057" t="s">
        <v>3187</v>
      </c>
      <c r="C28" s="3058" t="s">
        <v>3204</v>
      </c>
      <c r="D28" s="3057"/>
      <c r="E28" s="3059" t="s">
        <v>3185</v>
      </c>
      <c r="F28" s="3011"/>
      <c r="G28" s="3058">
        <v>415</v>
      </c>
      <c r="H28" s="3060"/>
      <c r="I28" s="3060"/>
      <c r="J28" s="3060"/>
      <c r="K28" s="3061"/>
      <c r="L28" s="3062">
        <f t="shared" si="4"/>
        <v>0</v>
      </c>
      <c r="M28" s="3062"/>
      <c r="N28" s="3063"/>
      <c r="O28" s="3063"/>
      <c r="P28" s="3063"/>
      <c r="Q28" s="3063"/>
      <c r="R28" s="3063"/>
      <c r="S28" s="3063"/>
      <c r="T28" s="3063"/>
      <c r="U28" s="3063"/>
      <c r="V28" s="3063"/>
      <c r="W28" s="3063"/>
      <c r="X28" s="3063"/>
      <c r="Y28" s="3063"/>
      <c r="Z28" s="3063"/>
      <c r="AA28" s="3064"/>
      <c r="AB28" s="3063"/>
      <c r="AC28" s="3065"/>
      <c r="AD28" s="3066">
        <f t="shared" si="5"/>
        <v>0</v>
      </c>
      <c r="AE28" s="3067"/>
      <c r="AF28" s="3068"/>
      <c r="AG28" s="3057"/>
      <c r="AH28" s="3057"/>
      <c r="AI28" s="3057"/>
    </row>
    <row r="29" spans="1:35" s="3069" customFormat="1" ht="77.25" customHeight="1">
      <c r="A29" s="3057">
        <v>14</v>
      </c>
      <c r="B29" s="3057" t="s">
        <v>3187</v>
      </c>
      <c r="C29" s="3058" t="s">
        <v>3205</v>
      </c>
      <c r="D29" s="3057"/>
      <c r="E29" s="3059" t="s">
        <v>3185</v>
      </c>
      <c r="F29" s="3011"/>
      <c r="G29" s="3058">
        <v>260</v>
      </c>
      <c r="H29" s="3060"/>
      <c r="I29" s="3060"/>
      <c r="J29" s="3060"/>
      <c r="K29" s="3061"/>
      <c r="L29" s="3062">
        <f t="shared" si="4"/>
        <v>0</v>
      </c>
      <c r="M29" s="3062"/>
      <c r="N29" s="3063"/>
      <c r="O29" s="3063"/>
      <c r="P29" s="3063"/>
      <c r="Q29" s="3063"/>
      <c r="R29" s="3063"/>
      <c r="S29" s="3063"/>
      <c r="T29" s="3063"/>
      <c r="U29" s="3063"/>
      <c r="V29" s="3063"/>
      <c r="W29" s="3063"/>
      <c r="X29" s="3063"/>
      <c r="Y29" s="3063"/>
      <c r="Z29" s="3063"/>
      <c r="AA29" s="3064"/>
      <c r="AB29" s="3063"/>
      <c r="AC29" s="3065"/>
      <c r="AD29" s="3066">
        <f t="shared" si="5"/>
        <v>0</v>
      </c>
      <c r="AE29" s="3067"/>
      <c r="AF29" s="3068"/>
      <c r="AG29" s="3057"/>
      <c r="AH29" s="3057"/>
      <c r="AI29" s="3057"/>
    </row>
    <row r="30" spans="1:35" s="3056" customFormat="1" ht="20.100000000000001" customHeight="1">
      <c r="A30" s="3041">
        <f>COUNT(A16:A29)</f>
        <v>14</v>
      </c>
      <c r="C30" s="3043" t="s">
        <v>3186</v>
      </c>
      <c r="D30" s="3044"/>
      <c r="E30" s="3043"/>
      <c r="F30" s="3045"/>
      <c r="G30" s="3046">
        <f>SUM(G16:G29)</f>
        <v>3795</v>
      </c>
      <c r="H30" s="3072"/>
      <c r="I30" s="3048"/>
      <c r="J30" s="3048"/>
      <c r="K30" s="3049"/>
      <c r="L30" s="3050"/>
      <c r="M30" s="3050"/>
      <c r="N30" s="3047"/>
      <c r="O30" s="3047"/>
      <c r="P30" s="3047"/>
      <c r="Q30" s="3047"/>
      <c r="R30" s="3047"/>
      <c r="S30" s="3047"/>
      <c r="T30" s="3047"/>
      <c r="U30" s="3047"/>
      <c r="V30" s="3047"/>
      <c r="W30" s="3047"/>
      <c r="X30" s="3047"/>
      <c r="Y30" s="3047"/>
      <c r="Z30" s="3047"/>
      <c r="AA30" s="3051"/>
      <c r="AB30" s="3047"/>
      <c r="AC30" s="3046"/>
      <c r="AD30" s="3046"/>
      <c r="AE30" s="3052"/>
      <c r="AF30" s="3053"/>
      <c r="AG30" s="3054"/>
      <c r="AH30" s="3073"/>
      <c r="AI30" s="3054"/>
    </row>
    <row r="31" spans="1:35" s="3077" customFormat="1" ht="48.75" customHeight="1">
      <c r="A31" s="3057">
        <v>1</v>
      </c>
      <c r="B31" s="3057" t="s">
        <v>3206</v>
      </c>
      <c r="C31" s="3057">
        <v>1301</v>
      </c>
      <c r="D31" s="3028"/>
      <c r="E31" s="3074" t="s">
        <v>3168</v>
      </c>
      <c r="F31" s="3074" t="s">
        <v>3207</v>
      </c>
      <c r="G31" s="3012">
        <v>102.23</v>
      </c>
      <c r="H31" s="3075">
        <v>43418</v>
      </c>
      <c r="I31" s="3075">
        <v>43792</v>
      </c>
      <c r="J31" s="3013">
        <f t="shared" ref="J31:J91" si="8">H31</f>
        <v>43418</v>
      </c>
      <c r="K31" s="3074"/>
      <c r="L31" s="3015">
        <f t="shared" ref="L31:L91" si="9">(I31-H31)/365</f>
        <v>1.0246575342465754</v>
      </c>
      <c r="M31" s="3015" t="s">
        <v>3208</v>
      </c>
      <c r="N31" s="3028">
        <v>27800</v>
      </c>
      <c r="O31" s="3028"/>
      <c r="P31" s="3028"/>
      <c r="Q31" s="3028"/>
      <c r="R31" s="3028"/>
      <c r="S31" s="3028"/>
      <c r="T31" s="3028"/>
      <c r="U31" s="3028"/>
      <c r="V31" s="3028"/>
      <c r="W31" s="3028"/>
      <c r="X31" s="3028"/>
      <c r="Y31" s="3028"/>
      <c r="Z31" s="3028"/>
      <c r="AA31" s="3028" t="s">
        <v>3209</v>
      </c>
      <c r="AB31" s="3076"/>
      <c r="AC31" s="3074"/>
      <c r="AD31" s="3074"/>
      <c r="AE31" s="3074" t="s">
        <v>3210</v>
      </c>
      <c r="AF31" s="3019"/>
      <c r="AG31" s="3028"/>
      <c r="AH31" s="3021"/>
      <c r="AI31" s="3028">
        <v>103</v>
      </c>
    </row>
    <row r="32" spans="1:35" s="3022" customFormat="1" ht="48.75" customHeight="1">
      <c r="A32" s="3057">
        <v>2</v>
      </c>
      <c r="B32" s="3057" t="s">
        <v>3206</v>
      </c>
      <c r="C32" s="3057">
        <v>1302</v>
      </c>
      <c r="D32" s="3008"/>
      <c r="E32" s="3010" t="s">
        <v>3168</v>
      </c>
      <c r="F32" s="3074" t="s">
        <v>3211</v>
      </c>
      <c r="G32" s="3012">
        <v>78.73</v>
      </c>
      <c r="H32" s="3013">
        <v>43266</v>
      </c>
      <c r="I32" s="3013">
        <v>43630</v>
      </c>
      <c r="J32" s="3013">
        <f t="shared" si="8"/>
        <v>43266</v>
      </c>
      <c r="K32" s="3014"/>
      <c r="L32" s="3015">
        <f t="shared" si="9"/>
        <v>0.99726027397260275</v>
      </c>
      <c r="M32" s="3015" t="s">
        <v>3212</v>
      </c>
      <c r="N32" s="3012">
        <v>18500</v>
      </c>
      <c r="O32" s="3012"/>
      <c r="P32" s="3012"/>
      <c r="Q32" s="3012"/>
      <c r="R32" s="3012"/>
      <c r="S32" s="3012"/>
      <c r="T32" s="3012"/>
      <c r="U32" s="3012"/>
      <c r="V32" s="3012"/>
      <c r="W32" s="3012"/>
      <c r="X32" s="3012"/>
      <c r="Y32" s="3012"/>
      <c r="Z32" s="3012"/>
      <c r="AA32" s="3028" t="s">
        <v>3209</v>
      </c>
      <c r="AB32" s="3017"/>
      <c r="AC32" s="3078"/>
      <c r="AD32" s="3066"/>
      <c r="AE32" s="3017">
        <v>37000</v>
      </c>
      <c r="AF32" s="3023"/>
      <c r="AG32" s="3020"/>
      <c r="AH32" s="3021"/>
      <c r="AI32" s="3020"/>
    </row>
    <row r="33" spans="1:35" s="3089" customFormat="1" ht="48.75" customHeight="1">
      <c r="A33" s="3057">
        <v>3</v>
      </c>
      <c r="B33" s="3057" t="s">
        <v>3206</v>
      </c>
      <c r="C33" s="3057">
        <v>1303</v>
      </c>
      <c r="D33" s="3079"/>
      <c r="E33" s="3059" t="s">
        <v>3213</v>
      </c>
      <c r="F33" s="3080"/>
      <c r="G33" s="3081">
        <v>82.57</v>
      </c>
      <c r="H33" s="3082"/>
      <c r="I33" s="3083"/>
      <c r="J33" s="3060"/>
      <c r="K33" s="3084"/>
      <c r="L33" s="3062"/>
      <c r="M33" s="3062"/>
      <c r="N33" s="3085"/>
      <c r="O33" s="3085"/>
      <c r="P33" s="3085"/>
      <c r="Q33" s="3085"/>
      <c r="R33" s="3085"/>
      <c r="S33" s="3081"/>
      <c r="T33" s="3081"/>
      <c r="U33" s="3081"/>
      <c r="V33" s="3081"/>
      <c r="W33" s="3081"/>
      <c r="X33" s="3081"/>
      <c r="Y33" s="3081"/>
      <c r="Z33" s="3081"/>
      <c r="AA33" s="3057"/>
      <c r="AB33" s="3084"/>
      <c r="AC33" s="3066"/>
      <c r="AD33" s="3066"/>
      <c r="AE33" s="3084"/>
      <c r="AF33" s="3086"/>
      <c r="AG33" s="3087">
        <v>20000</v>
      </c>
      <c r="AH33" s="3088"/>
      <c r="AI33" s="3087">
        <v>83</v>
      </c>
    </row>
    <row r="34" spans="1:35" s="3022" customFormat="1" ht="48.75" customHeight="1">
      <c r="A34" s="3057">
        <v>4</v>
      </c>
      <c r="B34" s="3057" t="s">
        <v>3206</v>
      </c>
      <c r="C34" s="3057">
        <v>1305</v>
      </c>
      <c r="D34" s="3008"/>
      <c r="E34" s="3010" t="s">
        <v>3168</v>
      </c>
      <c r="F34" s="3080" t="s">
        <v>3214</v>
      </c>
      <c r="G34" s="3081">
        <v>77.89</v>
      </c>
      <c r="H34" s="3013">
        <v>43401</v>
      </c>
      <c r="I34" s="3013">
        <v>43765</v>
      </c>
      <c r="J34" s="3013">
        <f t="shared" si="8"/>
        <v>43401</v>
      </c>
      <c r="K34" s="3017"/>
      <c r="L34" s="3015">
        <f t="shared" si="9"/>
        <v>0.99726027397260275</v>
      </c>
      <c r="M34" s="3015" t="s">
        <v>3215</v>
      </c>
      <c r="N34" s="3012">
        <v>19000</v>
      </c>
      <c r="O34" s="3012"/>
      <c r="P34" s="3012"/>
      <c r="Q34" s="3012"/>
      <c r="R34" s="3012"/>
      <c r="S34" s="3090"/>
      <c r="T34" s="3090"/>
      <c r="U34" s="3012"/>
      <c r="V34" s="3012"/>
      <c r="W34" s="3012"/>
      <c r="X34" s="3012"/>
      <c r="Y34" s="3012"/>
      <c r="Z34" s="3012"/>
      <c r="AA34" s="3028" t="s">
        <v>3209</v>
      </c>
      <c r="AB34" s="3017"/>
      <c r="AC34" s="3078"/>
      <c r="AD34" s="3066"/>
      <c r="AE34" s="3017">
        <v>38000</v>
      </c>
      <c r="AF34" s="3023"/>
      <c r="AG34" s="3020">
        <v>19700</v>
      </c>
      <c r="AH34" s="3021">
        <f t="shared" ref="AH34:AH91" si="10">(N34-AG34)/AG34</f>
        <v>-3.553299492385787E-2</v>
      </c>
      <c r="AI34" s="3020">
        <v>79</v>
      </c>
    </row>
    <row r="35" spans="1:35" s="3022" customFormat="1" ht="48.75" customHeight="1">
      <c r="A35" s="3057">
        <v>5</v>
      </c>
      <c r="B35" s="3057" t="s">
        <v>3206</v>
      </c>
      <c r="C35" s="3057">
        <v>1306</v>
      </c>
      <c r="D35" s="3008"/>
      <c r="E35" s="3010" t="s">
        <v>3168</v>
      </c>
      <c r="F35" s="3011" t="s">
        <v>3216</v>
      </c>
      <c r="G35" s="3081">
        <v>88.66</v>
      </c>
      <c r="H35" s="3091">
        <v>43268</v>
      </c>
      <c r="I35" s="3013">
        <v>43632</v>
      </c>
      <c r="J35" s="3013">
        <f t="shared" si="8"/>
        <v>43268</v>
      </c>
      <c r="K35" s="3017"/>
      <c r="L35" s="3015">
        <f t="shared" si="9"/>
        <v>0.99726027397260275</v>
      </c>
      <c r="M35" s="3015" t="s">
        <v>3212</v>
      </c>
      <c r="N35" s="3012">
        <v>21000</v>
      </c>
      <c r="O35" s="3012"/>
      <c r="P35" s="3012"/>
      <c r="Q35" s="3012"/>
      <c r="R35" s="3012"/>
      <c r="S35" s="3012"/>
      <c r="T35" s="3012"/>
      <c r="U35" s="3012"/>
      <c r="V35" s="3012"/>
      <c r="W35" s="3012"/>
      <c r="X35" s="3012"/>
      <c r="Y35" s="3012"/>
      <c r="Z35" s="3012"/>
      <c r="AA35" s="3028" t="s">
        <v>3209</v>
      </c>
      <c r="AB35" s="3017"/>
      <c r="AC35" s="3078"/>
      <c r="AD35" s="3066"/>
      <c r="AE35" s="3017">
        <v>42000</v>
      </c>
      <c r="AF35" s="3023"/>
      <c r="AG35" s="3020">
        <v>20000</v>
      </c>
      <c r="AH35" s="3021">
        <f t="shared" si="10"/>
        <v>0.05</v>
      </c>
      <c r="AI35" s="3020">
        <v>89</v>
      </c>
    </row>
    <row r="36" spans="1:35" s="3022" customFormat="1" ht="48.75" customHeight="1">
      <c r="A36" s="3057">
        <v>6</v>
      </c>
      <c r="B36" s="3057" t="s">
        <v>3206</v>
      </c>
      <c r="C36" s="3057">
        <v>1307</v>
      </c>
      <c r="D36" s="3008"/>
      <c r="E36" s="3010" t="s">
        <v>3168</v>
      </c>
      <c r="F36" s="3011" t="s">
        <v>3217</v>
      </c>
      <c r="G36" s="3081">
        <v>77.89</v>
      </c>
      <c r="H36" s="3013">
        <v>43199</v>
      </c>
      <c r="I36" s="3013">
        <v>43563</v>
      </c>
      <c r="J36" s="3013">
        <f t="shared" si="8"/>
        <v>43199</v>
      </c>
      <c r="K36" s="3017"/>
      <c r="L36" s="3015">
        <f t="shared" si="9"/>
        <v>0.99726027397260275</v>
      </c>
      <c r="M36" s="3015" t="s">
        <v>3212</v>
      </c>
      <c r="N36" s="3012">
        <v>19500</v>
      </c>
      <c r="O36" s="3012"/>
      <c r="P36" s="3012"/>
      <c r="Q36" s="3012"/>
      <c r="R36" s="3012"/>
      <c r="S36" s="3012"/>
      <c r="T36" s="3012"/>
      <c r="U36" s="3012"/>
      <c r="V36" s="3012"/>
      <c r="W36" s="3012"/>
      <c r="X36" s="3012"/>
      <c r="Y36" s="3012"/>
      <c r="Z36" s="3012"/>
      <c r="AA36" s="3028" t="s">
        <v>3209</v>
      </c>
      <c r="AB36" s="3017"/>
      <c r="AC36" s="3078"/>
      <c r="AD36" s="3066"/>
      <c r="AE36" s="3017">
        <v>39000</v>
      </c>
      <c r="AF36" s="3023"/>
      <c r="AG36" s="3020">
        <v>19000</v>
      </c>
      <c r="AH36" s="3021">
        <f t="shared" si="10"/>
        <v>2.6315789473684209E-2</v>
      </c>
      <c r="AI36" s="3020"/>
    </row>
    <row r="37" spans="1:35" s="3022" customFormat="1" ht="48.75" customHeight="1">
      <c r="A37" s="3057">
        <v>7</v>
      </c>
      <c r="B37" s="3057" t="s">
        <v>3206</v>
      </c>
      <c r="C37" s="3057">
        <v>1308</v>
      </c>
      <c r="D37" s="3008"/>
      <c r="E37" s="3010" t="s">
        <v>3168</v>
      </c>
      <c r="F37" s="3010" t="s">
        <v>3218</v>
      </c>
      <c r="G37" s="3092">
        <v>86.87</v>
      </c>
      <c r="H37" s="3091">
        <v>43456</v>
      </c>
      <c r="I37" s="3091">
        <v>43637</v>
      </c>
      <c r="J37" s="3013">
        <f t="shared" si="8"/>
        <v>43456</v>
      </c>
      <c r="K37" s="3017"/>
      <c r="L37" s="3015">
        <f t="shared" si="9"/>
        <v>0.49589041095890413</v>
      </c>
      <c r="M37" s="3015" t="s">
        <v>3219</v>
      </c>
      <c r="N37" s="3012">
        <v>20000</v>
      </c>
      <c r="O37" s="3012"/>
      <c r="P37" s="3012"/>
      <c r="Q37" s="3012"/>
      <c r="R37" s="3012"/>
      <c r="S37" s="3012"/>
      <c r="T37" s="3012"/>
      <c r="U37" s="3012"/>
      <c r="V37" s="3012"/>
      <c r="W37" s="3012"/>
      <c r="X37" s="3012"/>
      <c r="Y37" s="3012"/>
      <c r="Z37" s="3012"/>
      <c r="AA37" s="3028" t="s">
        <v>3209</v>
      </c>
      <c r="AB37" s="3017"/>
      <c r="AC37" s="3078"/>
      <c r="AD37" s="3066"/>
      <c r="AE37" s="3017">
        <v>40000</v>
      </c>
      <c r="AF37" s="3023"/>
      <c r="AG37" s="3020">
        <v>19000</v>
      </c>
      <c r="AH37" s="3021">
        <f t="shared" si="10"/>
        <v>5.2631578947368418E-2</v>
      </c>
      <c r="AI37" s="3020">
        <v>87</v>
      </c>
    </row>
    <row r="38" spans="1:35" s="3095" customFormat="1" ht="48.75" customHeight="1">
      <c r="A38" s="3008">
        <v>8</v>
      </c>
      <c r="B38" s="3057" t="s">
        <v>3206</v>
      </c>
      <c r="C38" s="3057" t="s">
        <v>3220</v>
      </c>
      <c r="D38" s="3079"/>
      <c r="E38" s="3010" t="s">
        <v>3168</v>
      </c>
      <c r="F38" s="3010" t="s">
        <v>3221</v>
      </c>
      <c r="G38" s="3092">
        <v>77.89</v>
      </c>
      <c r="H38" s="3082">
        <v>43243</v>
      </c>
      <c r="I38" s="3083">
        <v>43607</v>
      </c>
      <c r="J38" s="3013">
        <f t="shared" si="8"/>
        <v>43243</v>
      </c>
      <c r="K38" s="3084"/>
      <c r="L38" s="3015">
        <f t="shared" si="9"/>
        <v>0.99726027397260275</v>
      </c>
      <c r="M38" s="3015" t="s">
        <v>3215</v>
      </c>
      <c r="N38" s="3012">
        <v>18400</v>
      </c>
      <c r="O38" s="3012"/>
      <c r="P38" s="3012"/>
      <c r="Q38" s="3012"/>
      <c r="R38" s="3012"/>
      <c r="S38" s="3081"/>
      <c r="T38" s="3081"/>
      <c r="U38" s="3081"/>
      <c r="V38" s="3081"/>
      <c r="W38" s="3081"/>
      <c r="X38" s="3081"/>
      <c r="Y38" s="3081"/>
      <c r="Z38" s="3081"/>
      <c r="AA38" s="3028" t="s">
        <v>3209</v>
      </c>
      <c r="AB38" s="3084"/>
      <c r="AC38" s="3078"/>
      <c r="AD38" s="3066"/>
      <c r="AE38" s="3084">
        <v>36800</v>
      </c>
      <c r="AF38" s="3093"/>
      <c r="AG38" s="3094">
        <v>18400</v>
      </c>
      <c r="AH38" s="3021">
        <f t="shared" si="10"/>
        <v>0</v>
      </c>
      <c r="AI38" s="3094">
        <v>78</v>
      </c>
    </row>
    <row r="39" spans="1:35" s="3108" customFormat="1" ht="48.75" customHeight="1">
      <c r="A39" s="3096">
        <v>9</v>
      </c>
      <c r="B39" s="3096" t="s">
        <v>3206</v>
      </c>
      <c r="C39" s="3096">
        <v>1310</v>
      </c>
      <c r="D39" s="3096"/>
      <c r="E39" s="3097" t="s">
        <v>3168</v>
      </c>
      <c r="F39" s="3097" t="s">
        <v>3222</v>
      </c>
      <c r="G39" s="3098">
        <v>86.95</v>
      </c>
      <c r="H39" s="3099">
        <v>43189</v>
      </c>
      <c r="I39" s="3099">
        <v>43553</v>
      </c>
      <c r="J39" s="3099">
        <f t="shared" si="8"/>
        <v>43189</v>
      </c>
      <c r="K39" s="3100"/>
      <c r="L39" s="3101">
        <f t="shared" si="9"/>
        <v>0.99726027397260275</v>
      </c>
      <c r="M39" s="3101" t="s">
        <v>3223</v>
      </c>
      <c r="N39" s="3102">
        <v>18000</v>
      </c>
      <c r="O39" s="3102"/>
      <c r="P39" s="3102"/>
      <c r="Q39" s="3102"/>
      <c r="R39" s="3102"/>
      <c r="S39" s="3102"/>
      <c r="T39" s="3102"/>
      <c r="U39" s="3102"/>
      <c r="V39" s="3102"/>
      <c r="W39" s="3102"/>
      <c r="X39" s="3102"/>
      <c r="Y39" s="3102"/>
      <c r="Z39" s="3102"/>
      <c r="AA39" s="3103" t="s">
        <v>3209</v>
      </c>
      <c r="AB39" s="3100"/>
      <c r="AC39" s="3104"/>
      <c r="AD39" s="3104"/>
      <c r="AE39" s="3100">
        <v>36000</v>
      </c>
      <c r="AF39" s="3105"/>
      <c r="AG39" s="3106">
        <v>18000</v>
      </c>
      <c r="AH39" s="3107">
        <f t="shared" si="10"/>
        <v>0</v>
      </c>
      <c r="AI39" s="3106">
        <v>87</v>
      </c>
    </row>
    <row r="40" spans="1:35" s="3108" customFormat="1" ht="48.75" customHeight="1">
      <c r="A40" s="3096">
        <v>10</v>
      </c>
      <c r="B40" s="3096" t="s">
        <v>3206</v>
      </c>
      <c r="C40" s="3096">
        <v>1311</v>
      </c>
      <c r="D40" s="3096"/>
      <c r="E40" s="3097" t="s">
        <v>3168</v>
      </c>
      <c r="F40" s="3097" t="s">
        <v>3224</v>
      </c>
      <c r="G40" s="3098">
        <v>75.89</v>
      </c>
      <c r="H40" s="3109">
        <v>43195</v>
      </c>
      <c r="I40" s="3099">
        <v>43559</v>
      </c>
      <c r="J40" s="3099">
        <f t="shared" si="8"/>
        <v>43195</v>
      </c>
      <c r="K40" s="3110"/>
      <c r="L40" s="3101">
        <f t="shared" si="9"/>
        <v>0.99726027397260275</v>
      </c>
      <c r="M40" s="3101" t="s">
        <v>3212</v>
      </c>
      <c r="N40" s="3102">
        <v>18500</v>
      </c>
      <c r="O40" s="3102"/>
      <c r="P40" s="3102"/>
      <c r="Q40" s="3102"/>
      <c r="R40" s="3102"/>
      <c r="S40" s="3102"/>
      <c r="T40" s="3102"/>
      <c r="U40" s="3102"/>
      <c r="V40" s="3102"/>
      <c r="W40" s="3102"/>
      <c r="X40" s="3102"/>
      <c r="Y40" s="3102"/>
      <c r="Z40" s="3102"/>
      <c r="AA40" s="3103" t="s">
        <v>3209</v>
      </c>
      <c r="AB40" s="3100"/>
      <c r="AC40" s="3104"/>
      <c r="AD40" s="3104"/>
      <c r="AE40" s="3100">
        <v>37000</v>
      </c>
      <c r="AF40" s="3105"/>
      <c r="AG40" s="3106"/>
      <c r="AH40" s="3107"/>
      <c r="AI40" s="3106">
        <v>78</v>
      </c>
    </row>
    <row r="41" spans="1:35" s="3022" customFormat="1" ht="48.75" customHeight="1">
      <c r="A41" s="3008">
        <v>11</v>
      </c>
      <c r="B41" s="3057" t="s">
        <v>3206</v>
      </c>
      <c r="C41" s="3057">
        <v>1312</v>
      </c>
      <c r="D41" s="3008"/>
      <c r="E41" s="3010" t="s">
        <v>3168</v>
      </c>
      <c r="F41" s="3010" t="s">
        <v>3225</v>
      </c>
      <c r="G41" s="3092">
        <v>88.98</v>
      </c>
      <c r="H41" s="3013">
        <v>43191</v>
      </c>
      <c r="I41" s="3013">
        <v>43555</v>
      </c>
      <c r="J41" s="3013">
        <f t="shared" si="8"/>
        <v>43191</v>
      </c>
      <c r="K41" s="3014"/>
      <c r="L41" s="3015">
        <f t="shared" si="9"/>
        <v>0.99726027397260275</v>
      </c>
      <c r="M41" s="3062" t="s">
        <v>3212</v>
      </c>
      <c r="N41" s="3012">
        <v>21000</v>
      </c>
      <c r="O41" s="3012"/>
      <c r="P41" s="3012"/>
      <c r="Q41" s="3012"/>
      <c r="R41" s="3012"/>
      <c r="S41" s="3012"/>
      <c r="T41" s="3012"/>
      <c r="U41" s="3012"/>
      <c r="V41" s="3012"/>
      <c r="W41" s="3012"/>
      <c r="X41" s="3012"/>
      <c r="Y41" s="3012"/>
      <c r="Z41" s="3012"/>
      <c r="AA41" s="3016" t="s">
        <v>3209</v>
      </c>
      <c r="AB41" s="3017"/>
      <c r="AC41" s="3078"/>
      <c r="AD41" s="3066"/>
      <c r="AE41" s="3017">
        <v>42000</v>
      </c>
      <c r="AF41" s="3023"/>
      <c r="AG41" s="3020"/>
      <c r="AH41" s="3021"/>
      <c r="AI41" s="3020">
        <v>89</v>
      </c>
    </row>
    <row r="42" spans="1:35" s="3114" customFormat="1" ht="48.75" customHeight="1">
      <c r="A42" s="3550">
        <v>12</v>
      </c>
      <c r="B42" s="3550" t="s">
        <v>3206</v>
      </c>
      <c r="C42" s="3550">
        <v>1313</v>
      </c>
      <c r="D42" s="3024"/>
      <c r="E42" s="3554" t="s">
        <v>3168</v>
      </c>
      <c r="F42" s="3554" t="s">
        <v>3226</v>
      </c>
      <c r="G42" s="3542">
        <v>100.08</v>
      </c>
      <c r="H42" s="3111">
        <v>43191</v>
      </c>
      <c r="I42" s="3111">
        <v>43555</v>
      </c>
      <c r="J42" s="3060">
        <f t="shared" si="8"/>
        <v>43191</v>
      </c>
      <c r="K42" s="3059"/>
      <c r="L42" s="3062">
        <f t="shared" si="9"/>
        <v>0.99726027397260275</v>
      </c>
      <c r="M42" s="3544" t="s">
        <v>3212</v>
      </c>
      <c r="N42" s="3085">
        <v>24300</v>
      </c>
      <c r="O42" s="3085"/>
      <c r="P42" s="3085"/>
      <c r="Q42" s="3085"/>
      <c r="R42" s="3085"/>
      <c r="S42" s="3085"/>
      <c r="T42" s="3085"/>
      <c r="U42" s="3085"/>
      <c r="V42" s="3085"/>
      <c r="W42" s="3085"/>
      <c r="X42" s="3085"/>
      <c r="Y42" s="3085"/>
      <c r="Z42" s="3085"/>
      <c r="AA42" s="3064" t="s">
        <v>3209</v>
      </c>
      <c r="AB42" s="3063"/>
      <c r="AC42" s="3066"/>
      <c r="AD42" s="3066"/>
      <c r="AE42" s="3063">
        <v>48000</v>
      </c>
      <c r="AF42" s="3112"/>
      <c r="AG42" s="3113"/>
      <c r="AH42" s="3088"/>
      <c r="AI42" s="3546">
        <v>100</v>
      </c>
    </row>
    <row r="43" spans="1:35" s="3114" customFormat="1" ht="48.75" customHeight="1">
      <c r="A43" s="3551"/>
      <c r="B43" s="3551"/>
      <c r="C43" s="3551"/>
      <c r="D43" s="3024"/>
      <c r="E43" s="3555"/>
      <c r="F43" s="3555"/>
      <c r="G43" s="3543"/>
      <c r="H43" s="3111">
        <v>43556</v>
      </c>
      <c r="I43" s="3111">
        <v>43921</v>
      </c>
      <c r="J43" s="3060">
        <f t="shared" si="8"/>
        <v>43556</v>
      </c>
      <c r="K43" s="3059"/>
      <c r="L43" s="3062">
        <f t="shared" si="9"/>
        <v>1</v>
      </c>
      <c r="M43" s="3545"/>
      <c r="N43" s="3085">
        <v>25300</v>
      </c>
      <c r="O43" s="3085"/>
      <c r="P43" s="3085"/>
      <c r="Q43" s="3085"/>
      <c r="R43" s="3085"/>
      <c r="S43" s="3085"/>
      <c r="T43" s="3085"/>
      <c r="U43" s="3085"/>
      <c r="V43" s="3085"/>
      <c r="W43" s="3085"/>
      <c r="X43" s="3085"/>
      <c r="Y43" s="3085"/>
      <c r="Z43" s="3085"/>
      <c r="AA43" s="3064" t="s">
        <v>3209</v>
      </c>
      <c r="AB43" s="3063"/>
      <c r="AC43" s="3066"/>
      <c r="AD43" s="3066"/>
      <c r="AE43" s="3063">
        <v>50600</v>
      </c>
      <c r="AF43" s="3112"/>
      <c r="AG43" s="3113">
        <v>24300</v>
      </c>
      <c r="AH43" s="3088">
        <f t="shared" si="10"/>
        <v>4.1152263374485597E-2</v>
      </c>
      <c r="AI43" s="3547"/>
    </row>
    <row r="44" spans="1:35" s="3022" customFormat="1" ht="48.75" customHeight="1">
      <c r="A44" s="3008">
        <v>13</v>
      </c>
      <c r="B44" s="3057" t="s">
        <v>3206</v>
      </c>
      <c r="C44" s="3057">
        <v>2301</v>
      </c>
      <c r="D44" s="3008"/>
      <c r="E44" s="3010" t="s">
        <v>3168</v>
      </c>
      <c r="F44" s="3092" t="s">
        <v>3227</v>
      </c>
      <c r="G44" s="3092">
        <v>102.23</v>
      </c>
      <c r="H44" s="3013">
        <v>43371</v>
      </c>
      <c r="I44" s="3013">
        <v>44101</v>
      </c>
      <c r="J44" s="3013">
        <f t="shared" si="8"/>
        <v>43371</v>
      </c>
      <c r="K44" s="3017"/>
      <c r="L44" s="3015">
        <f t="shared" si="9"/>
        <v>2</v>
      </c>
      <c r="M44" s="3062" t="s">
        <v>3212</v>
      </c>
      <c r="N44" s="3092">
        <v>25000</v>
      </c>
      <c r="O44" s="3012">
        <v>25000</v>
      </c>
      <c r="P44" s="3012"/>
      <c r="Q44" s="3012"/>
      <c r="R44" s="3012"/>
      <c r="S44" s="3012"/>
      <c r="T44" s="3012"/>
      <c r="U44" s="3012"/>
      <c r="V44" s="3012"/>
      <c r="W44" s="3012"/>
      <c r="X44" s="3012"/>
      <c r="Y44" s="3012"/>
      <c r="Z44" s="3012"/>
      <c r="AA44" s="3016" t="s">
        <v>3209</v>
      </c>
      <c r="AB44" s="3017"/>
      <c r="AC44" s="3078"/>
      <c r="AD44" s="3066"/>
      <c r="AE44" s="3017">
        <v>50000</v>
      </c>
      <c r="AF44" s="3023"/>
      <c r="AG44" s="3020">
        <v>26500</v>
      </c>
      <c r="AH44" s="3021">
        <f t="shared" si="10"/>
        <v>-5.6603773584905662E-2</v>
      </c>
      <c r="AI44" s="3020">
        <v>103</v>
      </c>
    </row>
    <row r="45" spans="1:35" s="3114" customFormat="1" ht="48.75" customHeight="1">
      <c r="A45" s="3057">
        <v>14</v>
      </c>
      <c r="B45" s="3057" t="s">
        <v>3206</v>
      </c>
      <c r="C45" s="3057">
        <v>2302</v>
      </c>
      <c r="D45" s="3057"/>
      <c r="E45" s="3059" t="s">
        <v>3213</v>
      </c>
      <c r="F45" s="3115"/>
      <c r="G45" s="3115">
        <v>78.73</v>
      </c>
      <c r="H45" s="3060"/>
      <c r="I45" s="3060"/>
      <c r="J45" s="3060">
        <f t="shared" si="8"/>
        <v>0</v>
      </c>
      <c r="K45" s="3063"/>
      <c r="L45" s="3062">
        <f t="shared" si="9"/>
        <v>0</v>
      </c>
      <c r="M45" s="3011"/>
      <c r="N45" s="3115"/>
      <c r="O45" s="3085"/>
      <c r="P45" s="3085"/>
      <c r="Q45" s="3085"/>
      <c r="R45" s="3085"/>
      <c r="S45" s="3085"/>
      <c r="T45" s="3085"/>
      <c r="U45" s="3085"/>
      <c r="V45" s="3085"/>
      <c r="W45" s="3085"/>
      <c r="X45" s="3085"/>
      <c r="Y45" s="3085"/>
      <c r="Z45" s="3085"/>
      <c r="AA45" s="3064"/>
      <c r="AB45" s="3063"/>
      <c r="AC45" s="3066"/>
      <c r="AD45" s="3066"/>
      <c r="AE45" s="3063"/>
      <c r="AF45" s="3112"/>
      <c r="AG45" s="3113"/>
      <c r="AH45" s="3088"/>
      <c r="AI45" s="3113"/>
    </row>
    <row r="46" spans="1:35" s="3022" customFormat="1" ht="48.75" customHeight="1">
      <c r="A46" s="3028">
        <v>15</v>
      </c>
      <c r="B46" s="3057" t="s">
        <v>3206</v>
      </c>
      <c r="C46" s="3057" t="s">
        <v>3228</v>
      </c>
      <c r="D46" s="3028"/>
      <c r="E46" s="3010" t="s">
        <v>3168</v>
      </c>
      <c r="F46" s="3092" t="s">
        <v>3229</v>
      </c>
      <c r="G46" s="3092">
        <v>82</v>
      </c>
      <c r="H46" s="3033">
        <v>43262</v>
      </c>
      <c r="I46" s="3033">
        <v>43626</v>
      </c>
      <c r="J46" s="3013">
        <f t="shared" si="8"/>
        <v>43262</v>
      </c>
      <c r="K46" s="3116"/>
      <c r="L46" s="3015">
        <f t="shared" si="9"/>
        <v>0.99726027397260275</v>
      </c>
      <c r="M46" s="3062" t="s">
        <v>3212</v>
      </c>
      <c r="N46" s="3092">
        <v>20500</v>
      </c>
      <c r="O46" s="3032"/>
      <c r="P46" s="3032"/>
      <c r="Q46" s="3032"/>
      <c r="R46" s="3032"/>
      <c r="S46" s="3032"/>
      <c r="T46" s="3032"/>
      <c r="U46" s="3032"/>
      <c r="V46" s="3032"/>
      <c r="W46" s="3032"/>
      <c r="X46" s="3032"/>
      <c r="Y46" s="3032"/>
      <c r="Z46" s="3032"/>
      <c r="AA46" s="3016" t="s">
        <v>3209</v>
      </c>
      <c r="AB46" s="3039"/>
      <c r="AC46" s="3117"/>
      <c r="AD46" s="3117"/>
      <c r="AE46" s="3039">
        <v>41000</v>
      </c>
      <c r="AF46" s="3023"/>
      <c r="AG46" s="3020">
        <v>19000</v>
      </c>
      <c r="AH46" s="3021">
        <f t="shared" si="10"/>
        <v>7.8947368421052627E-2</v>
      </c>
      <c r="AI46" s="3020">
        <v>83</v>
      </c>
    </row>
    <row r="47" spans="1:35" s="3022" customFormat="1" ht="48.75" customHeight="1">
      <c r="A47" s="3028">
        <v>16</v>
      </c>
      <c r="B47" s="3057" t="s">
        <v>3206</v>
      </c>
      <c r="C47" s="3024" t="s">
        <v>3230</v>
      </c>
      <c r="D47" s="3028"/>
      <c r="E47" s="3010" t="s">
        <v>3168</v>
      </c>
      <c r="F47" s="3092" t="s">
        <v>3231</v>
      </c>
      <c r="G47" s="3092">
        <v>77.89</v>
      </c>
      <c r="H47" s="3033">
        <v>43189</v>
      </c>
      <c r="I47" s="3075">
        <v>43553</v>
      </c>
      <c r="J47" s="3013">
        <f t="shared" si="8"/>
        <v>43189</v>
      </c>
      <c r="K47" s="3039"/>
      <c r="L47" s="3015">
        <f t="shared" si="9"/>
        <v>0.99726027397260275</v>
      </c>
      <c r="M47" s="3062" t="s">
        <v>3223</v>
      </c>
      <c r="N47" s="3092">
        <v>18000</v>
      </c>
      <c r="O47" s="3032"/>
      <c r="P47" s="3032"/>
      <c r="Q47" s="3032"/>
      <c r="R47" s="3032"/>
      <c r="S47" s="3032"/>
      <c r="T47" s="3032"/>
      <c r="U47" s="3032"/>
      <c r="V47" s="3032"/>
      <c r="W47" s="3032"/>
      <c r="X47" s="3032"/>
      <c r="Y47" s="3032"/>
      <c r="Z47" s="3032"/>
      <c r="AA47" s="3016" t="s">
        <v>3209</v>
      </c>
      <c r="AB47" s="3039"/>
      <c r="AC47" s="3117"/>
      <c r="AD47" s="3117"/>
      <c r="AE47" s="3039">
        <v>36000</v>
      </c>
      <c r="AF47" s="3023"/>
      <c r="AG47" s="3020">
        <v>18000</v>
      </c>
      <c r="AH47" s="3021">
        <f t="shared" si="10"/>
        <v>0</v>
      </c>
      <c r="AI47" s="3020">
        <v>78</v>
      </c>
    </row>
    <row r="48" spans="1:35" s="3022" customFormat="1" ht="48.75" customHeight="1">
      <c r="A48" s="3548">
        <v>17</v>
      </c>
      <c r="B48" s="3550" t="s">
        <v>3206</v>
      </c>
      <c r="C48" s="3552" t="s">
        <v>3232</v>
      </c>
      <c r="D48" s="3028"/>
      <c r="E48" s="3554" t="s">
        <v>3168</v>
      </c>
      <c r="F48" s="3092" t="s">
        <v>3233</v>
      </c>
      <c r="G48" s="3542">
        <v>171.57</v>
      </c>
      <c r="H48" s="3033">
        <v>43160</v>
      </c>
      <c r="I48" s="3033">
        <v>43524</v>
      </c>
      <c r="J48" s="3013">
        <f t="shared" si="8"/>
        <v>43160</v>
      </c>
      <c r="K48" s="3039"/>
      <c r="L48" s="3015">
        <f t="shared" si="9"/>
        <v>0.99726027397260275</v>
      </c>
      <c r="M48" s="3062" t="s">
        <v>70</v>
      </c>
      <c r="N48" s="3092">
        <v>35000</v>
      </c>
      <c r="O48" s="3032"/>
      <c r="P48" s="3032"/>
      <c r="Q48" s="3032"/>
      <c r="R48" s="3032"/>
      <c r="S48" s="3032"/>
      <c r="T48" s="3032"/>
      <c r="U48" s="3032"/>
      <c r="V48" s="3032"/>
      <c r="W48" s="3032"/>
      <c r="X48" s="3032"/>
      <c r="Y48" s="3032"/>
      <c r="Z48" s="3032"/>
      <c r="AA48" s="3016" t="s">
        <v>3209</v>
      </c>
      <c r="AB48" s="3039"/>
      <c r="AC48" s="3117"/>
      <c r="AD48" s="3117"/>
      <c r="AE48" s="3039">
        <v>70000</v>
      </c>
      <c r="AF48" s="3023"/>
      <c r="AG48" s="3020">
        <v>35000</v>
      </c>
      <c r="AH48" s="3021">
        <f t="shared" si="10"/>
        <v>0</v>
      </c>
      <c r="AI48" s="3556">
        <v>172</v>
      </c>
    </row>
    <row r="49" spans="1:35" s="3022" customFormat="1" ht="48.75" customHeight="1">
      <c r="A49" s="3549"/>
      <c r="B49" s="3551"/>
      <c r="C49" s="3553"/>
      <c r="D49" s="3028"/>
      <c r="E49" s="3555"/>
      <c r="F49" s="3092" t="s">
        <v>3234</v>
      </c>
      <c r="G49" s="3543"/>
      <c r="H49" s="3033">
        <v>43525</v>
      </c>
      <c r="I49" s="3033">
        <v>43890</v>
      </c>
      <c r="J49" s="3013">
        <f t="shared" si="8"/>
        <v>43525</v>
      </c>
      <c r="K49" s="3039"/>
      <c r="L49" s="3015">
        <f t="shared" si="9"/>
        <v>1</v>
      </c>
      <c r="M49" s="3015" t="s">
        <v>3235</v>
      </c>
      <c r="N49" s="3092">
        <v>39500</v>
      </c>
      <c r="O49" s="3092">
        <v>39500</v>
      </c>
      <c r="P49" s="3032"/>
      <c r="Q49" s="3032"/>
      <c r="R49" s="3032"/>
      <c r="S49" s="3032"/>
      <c r="T49" s="3032"/>
      <c r="U49" s="3032"/>
      <c r="V49" s="3032"/>
      <c r="W49" s="3032"/>
      <c r="X49" s="3032"/>
      <c r="Y49" s="3032"/>
      <c r="Z49" s="3032"/>
      <c r="AA49" s="3016" t="s">
        <v>3209</v>
      </c>
      <c r="AB49" s="3039"/>
      <c r="AC49" s="3117"/>
      <c r="AD49" s="3117"/>
      <c r="AE49" s="3039" t="s">
        <v>3236</v>
      </c>
      <c r="AF49" s="3023"/>
      <c r="AG49" s="3020">
        <v>35000</v>
      </c>
      <c r="AH49" s="3021">
        <f t="shared" si="10"/>
        <v>0.12857142857142856</v>
      </c>
      <c r="AI49" s="3557"/>
    </row>
    <row r="50" spans="1:35" s="3022" customFormat="1" ht="48.75" customHeight="1">
      <c r="A50" s="3028">
        <v>18</v>
      </c>
      <c r="B50" s="3057" t="s">
        <v>3206</v>
      </c>
      <c r="C50" s="3024" t="s">
        <v>3237</v>
      </c>
      <c r="D50" s="3028"/>
      <c r="E50" s="3010" t="s">
        <v>3168</v>
      </c>
      <c r="F50" s="3092" t="s">
        <v>3238</v>
      </c>
      <c r="G50" s="3092">
        <v>77.89</v>
      </c>
      <c r="H50" s="3033">
        <v>43177</v>
      </c>
      <c r="I50" s="3033">
        <v>43908</v>
      </c>
      <c r="J50" s="3013">
        <f t="shared" si="8"/>
        <v>43177</v>
      </c>
      <c r="K50" s="3039"/>
      <c r="L50" s="3015">
        <f t="shared" si="9"/>
        <v>2.0027397260273974</v>
      </c>
      <c r="M50" s="3062" t="s">
        <v>3223</v>
      </c>
      <c r="N50" s="3092">
        <v>18800</v>
      </c>
      <c r="O50" s="3092">
        <v>18800</v>
      </c>
      <c r="P50" s="3032"/>
      <c r="Q50" s="3032"/>
      <c r="R50" s="3032"/>
      <c r="S50" s="3032"/>
      <c r="T50" s="3032"/>
      <c r="U50" s="3032"/>
      <c r="V50" s="3032"/>
      <c r="W50" s="3032"/>
      <c r="X50" s="3032"/>
      <c r="Y50" s="3032"/>
      <c r="Z50" s="3032"/>
      <c r="AA50" s="3016" t="s">
        <v>3209</v>
      </c>
      <c r="AB50" s="3039"/>
      <c r="AC50" s="3117"/>
      <c r="AD50" s="3117"/>
      <c r="AE50" s="3039">
        <v>37000</v>
      </c>
      <c r="AF50" s="3023"/>
      <c r="AG50" s="3020">
        <v>18800</v>
      </c>
      <c r="AH50" s="3021">
        <f t="shared" si="10"/>
        <v>0</v>
      </c>
      <c r="AI50" s="3020">
        <v>78</v>
      </c>
    </row>
    <row r="51" spans="1:35" s="3022" customFormat="1" ht="48.75" customHeight="1">
      <c r="A51" s="3028">
        <v>19</v>
      </c>
      <c r="B51" s="3057" t="s">
        <v>3206</v>
      </c>
      <c r="C51" s="3024" t="s">
        <v>3239</v>
      </c>
      <c r="D51" s="3028"/>
      <c r="E51" s="3010" t="s">
        <v>3168</v>
      </c>
      <c r="F51" s="3092" t="s">
        <v>3240</v>
      </c>
      <c r="G51" s="3092">
        <v>77.89</v>
      </c>
      <c r="H51" s="3033">
        <v>43254</v>
      </c>
      <c r="I51" s="3033">
        <v>43618</v>
      </c>
      <c r="J51" s="3013">
        <f t="shared" si="8"/>
        <v>43254</v>
      </c>
      <c r="K51" s="3039"/>
      <c r="L51" s="3015">
        <f t="shared" si="9"/>
        <v>0.99726027397260275</v>
      </c>
      <c r="M51" s="3062" t="s">
        <v>3215</v>
      </c>
      <c r="N51" s="3092">
        <v>20000</v>
      </c>
      <c r="O51" s="3032"/>
      <c r="P51" s="3032"/>
      <c r="Q51" s="3032"/>
      <c r="R51" s="3032"/>
      <c r="S51" s="3032"/>
      <c r="T51" s="3032"/>
      <c r="U51" s="3032"/>
      <c r="V51" s="3032"/>
      <c r="W51" s="3032"/>
      <c r="X51" s="3032"/>
      <c r="Y51" s="3032"/>
      <c r="Z51" s="3032"/>
      <c r="AA51" s="3016" t="s">
        <v>3209</v>
      </c>
      <c r="AB51" s="3039"/>
      <c r="AC51" s="3117"/>
      <c r="AD51" s="3117"/>
      <c r="AE51" s="3039">
        <v>40000</v>
      </c>
      <c r="AF51" s="3023"/>
      <c r="AG51" s="3020">
        <v>20000</v>
      </c>
      <c r="AH51" s="3021">
        <f t="shared" si="10"/>
        <v>0</v>
      </c>
      <c r="AI51" s="3020">
        <v>83</v>
      </c>
    </row>
    <row r="52" spans="1:35" s="3022" customFormat="1" ht="48.75" customHeight="1">
      <c r="A52" s="3028">
        <v>20</v>
      </c>
      <c r="B52" s="3057" t="s">
        <v>3206</v>
      </c>
      <c r="C52" s="3024" t="s">
        <v>3241</v>
      </c>
      <c r="D52" s="3028"/>
      <c r="E52" s="3010" t="s">
        <v>3168</v>
      </c>
      <c r="F52" s="3092" t="s">
        <v>3242</v>
      </c>
      <c r="G52" s="3092">
        <v>84.97</v>
      </c>
      <c r="H52" s="3033">
        <v>43293</v>
      </c>
      <c r="I52" s="3033">
        <v>43657</v>
      </c>
      <c r="J52" s="3013">
        <f t="shared" si="8"/>
        <v>43293</v>
      </c>
      <c r="K52" s="3039"/>
      <c r="L52" s="3015">
        <f t="shared" si="9"/>
        <v>0.99726027397260275</v>
      </c>
      <c r="M52" s="3062" t="s">
        <v>3212</v>
      </c>
      <c r="N52" s="3092">
        <v>22000</v>
      </c>
      <c r="O52" s="3032"/>
      <c r="P52" s="3032"/>
      <c r="Q52" s="3032"/>
      <c r="R52" s="3032"/>
      <c r="S52" s="3032"/>
      <c r="T52" s="3032"/>
      <c r="U52" s="3032"/>
      <c r="V52" s="3032"/>
      <c r="W52" s="3032"/>
      <c r="X52" s="3032"/>
      <c r="Y52" s="3032"/>
      <c r="Z52" s="3032"/>
      <c r="AA52" s="3016" t="s">
        <v>3209</v>
      </c>
      <c r="AB52" s="3039"/>
      <c r="AC52" s="3117"/>
      <c r="AD52" s="3117"/>
      <c r="AE52" s="3039">
        <v>44000</v>
      </c>
      <c r="AF52" s="3023"/>
      <c r="AG52" s="3020">
        <v>20300</v>
      </c>
      <c r="AH52" s="3021">
        <f t="shared" si="10"/>
        <v>8.3743842364532015E-2</v>
      </c>
      <c r="AI52" s="3020">
        <v>85</v>
      </c>
    </row>
    <row r="53" spans="1:35" s="3108" customFormat="1" ht="48.75" customHeight="1">
      <c r="A53" s="3096">
        <v>21</v>
      </c>
      <c r="B53" s="3096" t="s">
        <v>3206</v>
      </c>
      <c r="C53" s="3118" t="s">
        <v>3243</v>
      </c>
      <c r="D53" s="3096"/>
      <c r="E53" s="3097" t="s">
        <v>3168</v>
      </c>
      <c r="F53" s="3098" t="s">
        <v>3244</v>
      </c>
      <c r="G53" s="3098">
        <v>75.89</v>
      </c>
      <c r="H53" s="3099" t="s">
        <v>3245</v>
      </c>
      <c r="I53" s="3099" t="s">
        <v>3246</v>
      </c>
      <c r="J53" s="3099" t="str">
        <f t="shared" si="8"/>
        <v>2019/02/28</v>
      </c>
      <c r="K53" s="3100"/>
      <c r="L53" s="3101">
        <f t="shared" si="9"/>
        <v>0.49315068493150682</v>
      </c>
      <c r="M53" s="3119"/>
      <c r="N53" s="3098">
        <v>21000</v>
      </c>
      <c r="O53" s="3102"/>
      <c r="P53" s="3102"/>
      <c r="Q53" s="3102"/>
      <c r="R53" s="3102"/>
      <c r="S53" s="3102"/>
      <c r="T53" s="3102"/>
      <c r="U53" s="3102"/>
      <c r="V53" s="3102"/>
      <c r="W53" s="3102"/>
      <c r="X53" s="3102"/>
      <c r="Y53" s="3102"/>
      <c r="Z53" s="3102"/>
      <c r="AA53" s="3103"/>
      <c r="AB53" s="3100"/>
      <c r="AC53" s="3104"/>
      <c r="AD53" s="3104"/>
      <c r="AE53" s="3100"/>
      <c r="AF53" s="3105"/>
      <c r="AG53" s="3106">
        <v>19500</v>
      </c>
      <c r="AH53" s="3107">
        <f t="shared" si="10"/>
        <v>7.6923076923076927E-2</v>
      </c>
      <c r="AI53" s="3106">
        <v>83</v>
      </c>
    </row>
    <row r="54" spans="1:35" s="3022" customFormat="1" ht="48.75" customHeight="1">
      <c r="A54" s="3028">
        <v>22</v>
      </c>
      <c r="B54" s="3057" t="s">
        <v>3206</v>
      </c>
      <c r="C54" s="3024" t="s">
        <v>3247</v>
      </c>
      <c r="D54" s="3028"/>
      <c r="E54" s="3010" t="s">
        <v>3168</v>
      </c>
      <c r="F54" s="3092" t="s">
        <v>3248</v>
      </c>
      <c r="G54" s="3092">
        <v>87</v>
      </c>
      <c r="H54" s="3033">
        <v>43330</v>
      </c>
      <c r="I54" s="3033">
        <v>43694</v>
      </c>
      <c r="J54" s="3013">
        <f t="shared" si="8"/>
        <v>43330</v>
      </c>
      <c r="K54" s="3039"/>
      <c r="L54" s="3015">
        <f t="shared" si="9"/>
        <v>0.99726027397260275</v>
      </c>
      <c r="M54" s="3062" t="s">
        <v>3212</v>
      </c>
      <c r="N54" s="3092">
        <v>22000</v>
      </c>
      <c r="O54" s="3032"/>
      <c r="P54" s="3032"/>
      <c r="Q54" s="3032"/>
      <c r="R54" s="3032"/>
      <c r="S54" s="3032"/>
      <c r="T54" s="3032"/>
      <c r="U54" s="3032"/>
      <c r="V54" s="3032"/>
      <c r="W54" s="3032"/>
      <c r="X54" s="3032"/>
      <c r="Y54" s="3032"/>
      <c r="Z54" s="3032"/>
      <c r="AA54" s="3016" t="s">
        <v>3209</v>
      </c>
      <c r="AB54" s="3039"/>
      <c r="AC54" s="3117"/>
      <c r="AD54" s="3117"/>
      <c r="AE54" s="3039">
        <v>44000</v>
      </c>
      <c r="AF54" s="3023"/>
      <c r="AG54" s="3020">
        <v>21000</v>
      </c>
      <c r="AH54" s="3021">
        <f t="shared" si="10"/>
        <v>4.7619047619047616E-2</v>
      </c>
      <c r="AI54" s="3020">
        <v>87</v>
      </c>
    </row>
    <row r="55" spans="1:35" s="3022" customFormat="1" ht="48.75" customHeight="1">
      <c r="A55" s="3028">
        <v>23</v>
      </c>
      <c r="B55" s="3057" t="s">
        <v>3206</v>
      </c>
      <c r="C55" s="3120" t="s">
        <v>3249</v>
      </c>
      <c r="D55" s="3028"/>
      <c r="E55" s="3030" t="s">
        <v>3213</v>
      </c>
      <c r="F55" s="3121"/>
      <c r="G55" s="3121">
        <v>100.08</v>
      </c>
      <c r="H55" s="3033"/>
      <c r="I55" s="3033"/>
      <c r="J55" s="3033"/>
      <c r="K55" s="3039"/>
      <c r="L55" s="3035">
        <f t="shared" si="9"/>
        <v>0</v>
      </c>
      <c r="M55" s="3035"/>
      <c r="N55" s="3121"/>
      <c r="O55" s="3032"/>
      <c r="P55" s="3032"/>
      <c r="Q55" s="3032"/>
      <c r="R55" s="3032"/>
      <c r="S55" s="3032"/>
      <c r="T55" s="3032"/>
      <c r="U55" s="3032"/>
      <c r="V55" s="3032"/>
      <c r="W55" s="3032"/>
      <c r="X55" s="3032"/>
      <c r="Y55" s="3032"/>
      <c r="Z55" s="3032"/>
      <c r="AA55" s="3016" t="s">
        <v>3209</v>
      </c>
      <c r="AB55" s="3039"/>
      <c r="AC55" s="3117"/>
      <c r="AD55" s="3117"/>
      <c r="AE55" s="3039">
        <v>51200</v>
      </c>
      <c r="AF55" s="3023"/>
      <c r="AG55" s="3020">
        <v>25600</v>
      </c>
      <c r="AH55" s="3021"/>
      <c r="AI55" s="3020">
        <v>100</v>
      </c>
    </row>
    <row r="56" spans="1:35" s="3114" customFormat="1" ht="48.75" customHeight="1">
      <c r="A56" s="3550">
        <v>24</v>
      </c>
      <c r="B56" s="3550" t="s">
        <v>3206</v>
      </c>
      <c r="C56" s="3558" t="s">
        <v>3250</v>
      </c>
      <c r="D56" s="3057"/>
      <c r="E56" s="3554" t="s">
        <v>3168</v>
      </c>
      <c r="F56" s="3542" t="s">
        <v>3251</v>
      </c>
      <c r="G56" s="3542">
        <v>102.23</v>
      </c>
      <c r="H56" s="3060">
        <v>43189</v>
      </c>
      <c r="I56" s="3060">
        <v>43553</v>
      </c>
      <c r="J56" s="3060">
        <f t="shared" si="8"/>
        <v>43189</v>
      </c>
      <c r="K56" s="3063"/>
      <c r="L56" s="3062">
        <f t="shared" si="9"/>
        <v>0.99726027397260275</v>
      </c>
      <c r="M56" s="3544" t="s">
        <v>3252</v>
      </c>
      <c r="N56" s="3085">
        <v>25000</v>
      </c>
      <c r="O56" s="3085"/>
      <c r="P56" s="3085"/>
      <c r="Q56" s="3085"/>
      <c r="R56" s="3085"/>
      <c r="S56" s="3085"/>
      <c r="T56" s="3085"/>
      <c r="U56" s="3085"/>
      <c r="V56" s="3085"/>
      <c r="W56" s="3085"/>
      <c r="X56" s="3085"/>
      <c r="Y56" s="3085"/>
      <c r="Z56" s="3085"/>
      <c r="AA56" s="3064" t="s">
        <v>3209</v>
      </c>
      <c r="AB56" s="3063"/>
      <c r="AC56" s="3066"/>
      <c r="AD56" s="3066"/>
      <c r="AE56" s="3063">
        <v>50000</v>
      </c>
      <c r="AF56" s="3112"/>
      <c r="AG56" s="3113"/>
      <c r="AH56" s="3088"/>
      <c r="AI56" s="3546">
        <v>103</v>
      </c>
    </row>
    <row r="57" spans="1:35" s="3114" customFormat="1" ht="48.75" customHeight="1">
      <c r="A57" s="3551"/>
      <c r="B57" s="3551"/>
      <c r="C57" s="3559"/>
      <c r="D57" s="3057"/>
      <c r="E57" s="3555"/>
      <c r="F57" s="3543"/>
      <c r="G57" s="3543"/>
      <c r="H57" s="3060">
        <v>43554</v>
      </c>
      <c r="I57" s="3060">
        <v>43919</v>
      </c>
      <c r="J57" s="3060">
        <f t="shared" si="8"/>
        <v>43554</v>
      </c>
      <c r="K57" s="3063"/>
      <c r="L57" s="3062">
        <f t="shared" si="9"/>
        <v>1</v>
      </c>
      <c r="M57" s="3545"/>
      <c r="N57" s="3085">
        <v>26000</v>
      </c>
      <c r="O57" s="3085"/>
      <c r="P57" s="3085"/>
      <c r="Q57" s="3085"/>
      <c r="R57" s="3085"/>
      <c r="S57" s="3085"/>
      <c r="T57" s="3085"/>
      <c r="U57" s="3085"/>
      <c r="V57" s="3085"/>
      <c r="W57" s="3085"/>
      <c r="X57" s="3085"/>
      <c r="Y57" s="3085"/>
      <c r="Z57" s="3085"/>
      <c r="AA57" s="3064" t="s">
        <v>3209</v>
      </c>
      <c r="AB57" s="3063"/>
      <c r="AC57" s="3066"/>
      <c r="AD57" s="3066"/>
      <c r="AE57" s="3063">
        <v>52000</v>
      </c>
      <c r="AF57" s="3112"/>
      <c r="AG57" s="3113">
        <v>25000</v>
      </c>
      <c r="AH57" s="3088">
        <f>(N57-AG57)/AG57</f>
        <v>0.04</v>
      </c>
      <c r="AI57" s="3547"/>
    </row>
    <row r="58" spans="1:35" s="3022" customFormat="1" ht="47.25" customHeight="1">
      <c r="A58" s="3028">
        <v>25</v>
      </c>
      <c r="B58" s="3057" t="s">
        <v>3206</v>
      </c>
      <c r="C58" s="3024" t="s">
        <v>3253</v>
      </c>
      <c r="D58" s="3028"/>
      <c r="E58" s="3010" t="s">
        <v>3168</v>
      </c>
      <c r="F58" s="3092" t="s">
        <v>3254</v>
      </c>
      <c r="G58" s="3092">
        <v>78.73</v>
      </c>
      <c r="H58" s="3033">
        <v>43483</v>
      </c>
      <c r="I58" s="3033">
        <v>43847</v>
      </c>
      <c r="J58" s="3013">
        <f t="shared" si="8"/>
        <v>43483</v>
      </c>
      <c r="K58" s="3039"/>
      <c r="L58" s="3015">
        <f t="shared" si="9"/>
        <v>0.99726027397260275</v>
      </c>
      <c r="M58" s="3062" t="s">
        <v>3255</v>
      </c>
      <c r="N58" s="3032">
        <v>21000</v>
      </c>
      <c r="O58" s="3032">
        <v>21000</v>
      </c>
      <c r="P58" s="3032"/>
      <c r="Q58" s="3032"/>
      <c r="R58" s="3032"/>
      <c r="S58" s="3032"/>
      <c r="T58" s="3032"/>
      <c r="U58" s="3032"/>
      <c r="V58" s="3032"/>
      <c r="W58" s="3032"/>
      <c r="X58" s="3032"/>
      <c r="Y58" s="3032"/>
      <c r="Z58" s="3032"/>
      <c r="AA58" s="3016" t="s">
        <v>3209</v>
      </c>
      <c r="AB58" s="3039"/>
      <c r="AC58" s="3117"/>
      <c r="AD58" s="3117"/>
      <c r="AE58" s="3039">
        <v>42000</v>
      </c>
      <c r="AF58" s="3023"/>
      <c r="AG58" s="3020">
        <v>20000</v>
      </c>
      <c r="AH58" s="3021">
        <f t="shared" si="10"/>
        <v>0.05</v>
      </c>
      <c r="AI58" s="3020">
        <v>79</v>
      </c>
    </row>
    <row r="59" spans="1:35" s="3022" customFormat="1" ht="48.75" customHeight="1">
      <c r="A59" s="3028">
        <v>26</v>
      </c>
      <c r="B59" s="3057" t="s">
        <v>3206</v>
      </c>
      <c r="C59" s="3024" t="s">
        <v>3256</v>
      </c>
      <c r="D59" s="3028"/>
      <c r="E59" s="3010" t="s">
        <v>3168</v>
      </c>
      <c r="F59" s="3092" t="s">
        <v>3257</v>
      </c>
      <c r="G59" s="3092">
        <v>82.57</v>
      </c>
      <c r="H59" s="3033">
        <v>43207</v>
      </c>
      <c r="I59" s="3033">
        <v>43571</v>
      </c>
      <c r="J59" s="3013">
        <f t="shared" si="8"/>
        <v>43207</v>
      </c>
      <c r="K59" s="3039"/>
      <c r="L59" s="3015">
        <f t="shared" si="9"/>
        <v>0.99726027397260275</v>
      </c>
      <c r="M59" s="3062" t="s">
        <v>3258</v>
      </c>
      <c r="N59" s="3032">
        <v>19800</v>
      </c>
      <c r="O59" s="3032"/>
      <c r="P59" s="3032"/>
      <c r="Q59" s="3032"/>
      <c r="R59" s="3032"/>
      <c r="S59" s="3032"/>
      <c r="T59" s="3032"/>
      <c r="U59" s="3032"/>
      <c r="V59" s="3032"/>
      <c r="W59" s="3032"/>
      <c r="X59" s="3032"/>
      <c r="Y59" s="3032"/>
      <c r="Z59" s="3032"/>
      <c r="AA59" s="3016" t="s">
        <v>3209</v>
      </c>
      <c r="AB59" s="3039"/>
      <c r="AC59" s="3117"/>
      <c r="AD59" s="3117"/>
      <c r="AE59" s="3039">
        <v>39600</v>
      </c>
      <c r="AF59" s="3023"/>
      <c r="AG59" s="3020">
        <v>18000</v>
      </c>
      <c r="AH59" s="3021">
        <f t="shared" si="10"/>
        <v>0.1</v>
      </c>
      <c r="AI59" s="3020">
        <v>83</v>
      </c>
    </row>
    <row r="60" spans="1:35" s="3108" customFormat="1" ht="48.75" customHeight="1">
      <c r="A60" s="3096">
        <v>27</v>
      </c>
      <c r="B60" s="3096" t="s">
        <v>3206</v>
      </c>
      <c r="C60" s="3118" t="s">
        <v>3259</v>
      </c>
      <c r="D60" s="3096"/>
      <c r="E60" s="3097" t="s">
        <v>3168</v>
      </c>
      <c r="F60" s="3098" t="s">
        <v>3260</v>
      </c>
      <c r="G60" s="3098">
        <v>83.54</v>
      </c>
      <c r="H60" s="3099">
        <v>43195</v>
      </c>
      <c r="I60" s="3099">
        <v>43559</v>
      </c>
      <c r="J60" s="3099">
        <f t="shared" si="8"/>
        <v>43195</v>
      </c>
      <c r="K60" s="3100"/>
      <c r="L60" s="3101">
        <f t="shared" si="9"/>
        <v>0.99726027397260275</v>
      </c>
      <c r="M60" s="3101" t="s">
        <v>3252</v>
      </c>
      <c r="N60" s="3102">
        <v>19500</v>
      </c>
      <c r="O60" s="3102"/>
      <c r="P60" s="3102"/>
      <c r="Q60" s="3102"/>
      <c r="R60" s="3102"/>
      <c r="S60" s="3102"/>
      <c r="T60" s="3102"/>
      <c r="U60" s="3102"/>
      <c r="V60" s="3102"/>
      <c r="W60" s="3102"/>
      <c r="X60" s="3102"/>
      <c r="Y60" s="3102"/>
      <c r="Z60" s="3102"/>
      <c r="AA60" s="3103" t="s">
        <v>3209</v>
      </c>
      <c r="AB60" s="3100"/>
      <c r="AC60" s="3104"/>
      <c r="AD60" s="3104"/>
      <c r="AE60" s="3100">
        <v>39000</v>
      </c>
      <c r="AF60" s="3105"/>
      <c r="AG60" s="3106"/>
      <c r="AH60" s="3107"/>
      <c r="AI60" s="3106">
        <v>83</v>
      </c>
    </row>
    <row r="61" spans="1:35" s="3022" customFormat="1" ht="48.75" customHeight="1">
      <c r="A61" s="3548">
        <v>28</v>
      </c>
      <c r="B61" s="3550" t="s">
        <v>3206</v>
      </c>
      <c r="C61" s="3558" t="s">
        <v>3261</v>
      </c>
      <c r="D61" s="3028"/>
      <c r="E61" s="3554" t="s">
        <v>3168</v>
      </c>
      <c r="F61" s="3542" t="s">
        <v>3262</v>
      </c>
      <c r="G61" s="3542">
        <v>91.56</v>
      </c>
      <c r="H61" s="3033">
        <v>43198</v>
      </c>
      <c r="I61" s="3033">
        <v>43562</v>
      </c>
      <c r="J61" s="3013">
        <f t="shared" si="8"/>
        <v>43198</v>
      </c>
      <c r="K61" s="3039"/>
      <c r="L61" s="3015">
        <f t="shared" si="9"/>
        <v>0.99726027397260275</v>
      </c>
      <c r="M61" s="3544" t="s">
        <v>3258</v>
      </c>
      <c r="N61" s="3032">
        <v>20700</v>
      </c>
      <c r="O61" s="3032"/>
      <c r="P61" s="3032"/>
      <c r="Q61" s="3032"/>
      <c r="R61" s="3032"/>
      <c r="S61" s="3032"/>
      <c r="T61" s="3032"/>
      <c r="U61" s="3032"/>
      <c r="V61" s="3032"/>
      <c r="W61" s="3032"/>
      <c r="X61" s="3032"/>
      <c r="Y61" s="3032"/>
      <c r="Z61" s="3032"/>
      <c r="AA61" s="3560" t="s">
        <v>3209</v>
      </c>
      <c r="AB61" s="3039"/>
      <c r="AC61" s="3117"/>
      <c r="AD61" s="3117"/>
      <c r="AE61" s="3562" t="s">
        <v>3263</v>
      </c>
      <c r="AF61" s="3023"/>
      <c r="AG61" s="3020">
        <v>20700</v>
      </c>
      <c r="AH61" s="3021">
        <f t="shared" si="10"/>
        <v>0</v>
      </c>
      <c r="AI61" s="3020"/>
    </row>
    <row r="62" spans="1:35" s="3022" customFormat="1" ht="48.75" customHeight="1">
      <c r="A62" s="3549"/>
      <c r="B62" s="3551"/>
      <c r="C62" s="3559"/>
      <c r="D62" s="3028"/>
      <c r="E62" s="3555"/>
      <c r="F62" s="3543"/>
      <c r="G62" s="3543"/>
      <c r="H62" s="3033">
        <v>43563</v>
      </c>
      <c r="I62" s="3033">
        <v>43928</v>
      </c>
      <c r="J62" s="3013">
        <f t="shared" si="8"/>
        <v>43563</v>
      </c>
      <c r="K62" s="3039"/>
      <c r="L62" s="3015">
        <f t="shared" si="9"/>
        <v>1</v>
      </c>
      <c r="M62" s="3545"/>
      <c r="N62" s="3032">
        <v>21700</v>
      </c>
      <c r="O62" s="3032">
        <v>21700</v>
      </c>
      <c r="P62" s="3032"/>
      <c r="Q62" s="3032"/>
      <c r="R62" s="3032"/>
      <c r="S62" s="3032"/>
      <c r="T62" s="3032"/>
      <c r="U62" s="3032"/>
      <c r="V62" s="3032"/>
      <c r="W62" s="3032"/>
      <c r="X62" s="3032"/>
      <c r="Y62" s="3032"/>
      <c r="Z62" s="3032"/>
      <c r="AA62" s="3561"/>
      <c r="AB62" s="3039"/>
      <c r="AC62" s="3117"/>
      <c r="AD62" s="3117"/>
      <c r="AE62" s="3563"/>
      <c r="AF62" s="3023"/>
      <c r="AG62" s="3020">
        <v>20700</v>
      </c>
      <c r="AH62" s="3021">
        <f t="shared" si="10"/>
        <v>4.8309178743961352E-2</v>
      </c>
      <c r="AI62" s="3020"/>
    </row>
    <row r="63" spans="1:35" s="3022" customFormat="1" ht="48.75" customHeight="1">
      <c r="A63" s="3028">
        <v>29</v>
      </c>
      <c r="B63" s="3057" t="s">
        <v>3206</v>
      </c>
      <c r="C63" s="3024" t="s">
        <v>3264</v>
      </c>
      <c r="D63" s="3028"/>
      <c r="E63" s="3010" t="s">
        <v>3168</v>
      </c>
      <c r="F63" s="3092" t="s">
        <v>3265</v>
      </c>
      <c r="G63" s="3092">
        <v>83.54</v>
      </c>
      <c r="H63" s="3033">
        <v>43296</v>
      </c>
      <c r="I63" s="3033">
        <v>43660</v>
      </c>
      <c r="J63" s="3013">
        <f t="shared" si="8"/>
        <v>43296</v>
      </c>
      <c r="K63" s="3039"/>
      <c r="L63" s="3015">
        <f t="shared" si="9"/>
        <v>0.99726027397260275</v>
      </c>
      <c r="M63" s="3062" t="s">
        <v>3266</v>
      </c>
      <c r="N63" s="3032">
        <v>20000</v>
      </c>
      <c r="O63" s="3032"/>
      <c r="P63" s="3032"/>
      <c r="Q63" s="3032"/>
      <c r="R63" s="3032"/>
      <c r="S63" s="3032"/>
      <c r="T63" s="3032"/>
      <c r="U63" s="3032"/>
      <c r="V63" s="3032"/>
      <c r="W63" s="3032"/>
      <c r="X63" s="3032"/>
      <c r="Y63" s="3032"/>
      <c r="Z63" s="3032"/>
      <c r="AA63" s="3016" t="s">
        <v>3209</v>
      </c>
      <c r="AB63" s="3039"/>
      <c r="AC63" s="3117"/>
      <c r="AD63" s="3117"/>
      <c r="AE63" s="3039">
        <v>40000</v>
      </c>
      <c r="AF63" s="3023"/>
      <c r="AG63" s="3020">
        <v>20000</v>
      </c>
      <c r="AH63" s="3021">
        <f t="shared" si="10"/>
        <v>0</v>
      </c>
      <c r="AI63" s="3020">
        <v>83</v>
      </c>
    </row>
    <row r="64" spans="1:35" s="3022" customFormat="1" ht="48.75" customHeight="1">
      <c r="A64" s="3028">
        <v>30</v>
      </c>
      <c r="B64" s="3057" t="s">
        <v>3206</v>
      </c>
      <c r="C64" s="3024" t="s">
        <v>3267</v>
      </c>
      <c r="D64" s="3028"/>
      <c r="E64" s="3010" t="s">
        <v>3168</v>
      </c>
      <c r="F64" s="3092" t="s">
        <v>3268</v>
      </c>
      <c r="G64" s="3092">
        <v>89.77</v>
      </c>
      <c r="H64" s="3033">
        <v>43491</v>
      </c>
      <c r="I64" s="3033">
        <v>43855</v>
      </c>
      <c r="J64" s="3013">
        <f t="shared" si="8"/>
        <v>43491</v>
      </c>
      <c r="K64" s="3039"/>
      <c r="L64" s="3015">
        <f t="shared" si="9"/>
        <v>0.99726027397260275</v>
      </c>
      <c r="M64" s="3062" t="s">
        <v>3269</v>
      </c>
      <c r="N64" s="3032">
        <v>22000</v>
      </c>
      <c r="O64" s="3032">
        <v>22000</v>
      </c>
      <c r="P64" s="3032"/>
      <c r="Q64" s="3032"/>
      <c r="R64" s="3032"/>
      <c r="S64" s="3032"/>
      <c r="T64" s="3032"/>
      <c r="U64" s="3032"/>
      <c r="V64" s="3032"/>
      <c r="W64" s="3032"/>
      <c r="X64" s="3032"/>
      <c r="Y64" s="3032"/>
      <c r="Z64" s="3032"/>
      <c r="AA64" s="3016" t="s">
        <v>3209</v>
      </c>
      <c r="AB64" s="3039"/>
      <c r="AC64" s="3117"/>
      <c r="AD64" s="3117"/>
      <c r="AE64" s="3039">
        <v>44000</v>
      </c>
      <c r="AF64" s="3023"/>
      <c r="AG64" s="3020">
        <v>20000</v>
      </c>
      <c r="AH64" s="3021">
        <f t="shared" si="10"/>
        <v>0.1</v>
      </c>
      <c r="AI64" s="3020">
        <v>90</v>
      </c>
    </row>
    <row r="65" spans="1:35" s="3022" customFormat="1" ht="48.75" customHeight="1">
      <c r="A65" s="3028">
        <v>31</v>
      </c>
      <c r="B65" s="3057" t="s">
        <v>3206</v>
      </c>
      <c r="C65" s="3122" t="s">
        <v>3270</v>
      </c>
      <c r="D65" s="3028"/>
      <c r="E65" s="3123" t="s">
        <v>3168</v>
      </c>
      <c r="F65" s="3124" t="s">
        <v>3271</v>
      </c>
      <c r="G65" s="3124">
        <v>165.09</v>
      </c>
      <c r="H65" s="3033">
        <v>43174</v>
      </c>
      <c r="I65" s="3033">
        <v>43904</v>
      </c>
      <c r="J65" s="3013">
        <f t="shared" si="8"/>
        <v>43174</v>
      </c>
      <c r="K65" s="3039"/>
      <c r="L65" s="3015">
        <f t="shared" si="9"/>
        <v>2</v>
      </c>
      <c r="M65" s="3125" t="s">
        <v>3272</v>
      </c>
      <c r="N65" s="3032">
        <v>34100</v>
      </c>
      <c r="O65" s="3032">
        <v>34100</v>
      </c>
      <c r="P65" s="3032"/>
      <c r="Q65" s="3032"/>
      <c r="R65" s="3032"/>
      <c r="S65" s="3032"/>
      <c r="T65" s="3032"/>
      <c r="U65" s="3032"/>
      <c r="V65" s="3032"/>
      <c r="W65" s="3032"/>
      <c r="X65" s="3032"/>
      <c r="Y65" s="3032"/>
      <c r="Z65" s="3032"/>
      <c r="AA65" s="3016" t="s">
        <v>3209</v>
      </c>
      <c r="AB65" s="3039"/>
      <c r="AC65" s="3117"/>
      <c r="AD65" s="3117"/>
      <c r="AE65" s="3039">
        <v>68200</v>
      </c>
      <c r="AF65" s="3023"/>
      <c r="AG65" s="3020">
        <v>34100</v>
      </c>
      <c r="AH65" s="3021">
        <f t="shared" si="10"/>
        <v>0</v>
      </c>
      <c r="AI65" s="3020">
        <v>165</v>
      </c>
    </row>
    <row r="66" spans="1:35" s="3114" customFormat="1" ht="48.75" customHeight="1">
      <c r="A66" s="3057">
        <v>32</v>
      </c>
      <c r="B66" s="3057" t="s">
        <v>3206</v>
      </c>
      <c r="C66" s="3024" t="s">
        <v>3273</v>
      </c>
      <c r="D66" s="3057"/>
      <c r="E66" s="3059" t="s">
        <v>3168</v>
      </c>
      <c r="F66" s="3115" t="s">
        <v>3274</v>
      </c>
      <c r="G66" s="3115">
        <v>89.85</v>
      </c>
      <c r="H66" s="3060">
        <v>43201</v>
      </c>
      <c r="I66" s="3060">
        <v>43931</v>
      </c>
      <c r="J66" s="3060">
        <f t="shared" si="8"/>
        <v>43201</v>
      </c>
      <c r="K66" s="3063"/>
      <c r="L66" s="3062">
        <f t="shared" si="9"/>
        <v>2</v>
      </c>
      <c r="M66" s="3125" t="s">
        <v>3275</v>
      </c>
      <c r="N66" s="3085">
        <v>24500</v>
      </c>
      <c r="O66" s="3085"/>
      <c r="P66" s="3085"/>
      <c r="Q66" s="3085"/>
      <c r="R66" s="3085"/>
      <c r="S66" s="3085"/>
      <c r="T66" s="3085"/>
      <c r="U66" s="3085"/>
      <c r="V66" s="3085"/>
      <c r="W66" s="3085"/>
      <c r="X66" s="3085"/>
      <c r="Y66" s="3085"/>
      <c r="Z66" s="3085"/>
      <c r="AA66" s="3064" t="s">
        <v>3209</v>
      </c>
      <c r="AB66" s="3063"/>
      <c r="AC66" s="3066"/>
      <c r="AD66" s="3066"/>
      <c r="AE66" s="3063">
        <v>49000</v>
      </c>
      <c r="AF66" s="3112"/>
      <c r="AG66" s="3113">
        <v>24500</v>
      </c>
      <c r="AH66" s="3088">
        <f t="shared" si="10"/>
        <v>0</v>
      </c>
      <c r="AI66" s="3113">
        <v>90</v>
      </c>
    </row>
    <row r="67" spans="1:35" s="3022" customFormat="1" ht="48.75" customHeight="1">
      <c r="A67" s="3028">
        <v>33</v>
      </c>
      <c r="B67" s="3057" t="s">
        <v>3206</v>
      </c>
      <c r="C67" s="3024" t="s">
        <v>3276</v>
      </c>
      <c r="D67" s="3028"/>
      <c r="E67" s="3123" t="s">
        <v>3168</v>
      </c>
      <c r="F67" s="3092" t="s">
        <v>3262</v>
      </c>
      <c r="G67" s="3092">
        <v>91.87</v>
      </c>
      <c r="H67" s="3033">
        <v>43349</v>
      </c>
      <c r="I67" s="3033">
        <v>43713</v>
      </c>
      <c r="J67" s="3013">
        <f t="shared" si="8"/>
        <v>43349</v>
      </c>
      <c r="K67" s="3039"/>
      <c r="L67" s="3015">
        <f t="shared" si="9"/>
        <v>0.99726027397260275</v>
      </c>
      <c r="M67" s="3125" t="s">
        <v>3272</v>
      </c>
      <c r="N67" s="3032">
        <v>21500</v>
      </c>
      <c r="O67" s="3032"/>
      <c r="P67" s="3032"/>
      <c r="Q67" s="3032"/>
      <c r="R67" s="3032"/>
      <c r="S67" s="3032"/>
      <c r="T67" s="3032"/>
      <c r="U67" s="3032"/>
      <c r="V67" s="3032"/>
      <c r="W67" s="3032"/>
      <c r="X67" s="3032"/>
      <c r="Y67" s="3032"/>
      <c r="Z67" s="3032"/>
      <c r="AA67" s="3016" t="s">
        <v>3209</v>
      </c>
      <c r="AB67" s="3039"/>
      <c r="AC67" s="3117"/>
      <c r="AD67" s="3117"/>
      <c r="AE67" s="3039" t="s">
        <v>3277</v>
      </c>
      <c r="AF67" s="3023"/>
      <c r="AG67" s="3020">
        <v>20000</v>
      </c>
      <c r="AH67" s="3021">
        <f t="shared" si="10"/>
        <v>7.4999999999999997E-2</v>
      </c>
      <c r="AI67" s="3020"/>
    </row>
    <row r="68" spans="1:35" s="3022" customFormat="1" ht="48.75" customHeight="1">
      <c r="A68" s="3028">
        <v>34</v>
      </c>
      <c r="B68" s="3057" t="s">
        <v>3206</v>
      </c>
      <c r="C68" s="3120" t="s">
        <v>3278</v>
      </c>
      <c r="D68" s="3028"/>
      <c r="E68" s="3030" t="s">
        <v>3185</v>
      </c>
      <c r="F68" s="3121"/>
      <c r="G68" s="3121">
        <v>100</v>
      </c>
      <c r="H68" s="3033"/>
      <c r="I68" s="3033"/>
      <c r="J68" s="3033">
        <f t="shared" si="8"/>
        <v>0</v>
      </c>
      <c r="K68" s="3039"/>
      <c r="L68" s="3035">
        <f t="shared" si="9"/>
        <v>0</v>
      </c>
      <c r="M68" s="3031"/>
      <c r="N68" s="3032"/>
      <c r="O68" s="3032"/>
      <c r="P68" s="3032"/>
      <c r="Q68" s="3032"/>
      <c r="R68" s="3032"/>
      <c r="S68" s="3032"/>
      <c r="T68" s="3032"/>
      <c r="U68" s="3032"/>
      <c r="V68" s="3032"/>
      <c r="W68" s="3032"/>
      <c r="X68" s="3032"/>
      <c r="Y68" s="3032"/>
      <c r="Z68" s="3032"/>
      <c r="AA68" s="3016"/>
      <c r="AB68" s="3039"/>
      <c r="AC68" s="3117"/>
      <c r="AD68" s="3117"/>
      <c r="AE68" s="3039"/>
      <c r="AF68" s="3023"/>
      <c r="AG68" s="3020"/>
      <c r="AH68" s="3021"/>
      <c r="AI68" s="3020"/>
    </row>
    <row r="69" spans="1:35" s="3022" customFormat="1" ht="48.75" customHeight="1">
      <c r="A69" s="3028">
        <v>35</v>
      </c>
      <c r="B69" s="3057" t="s">
        <v>3206</v>
      </c>
      <c r="C69" s="3024" t="s">
        <v>3279</v>
      </c>
      <c r="D69" s="3028"/>
      <c r="E69" s="3123" t="s">
        <v>3168</v>
      </c>
      <c r="F69" s="3092" t="s">
        <v>3280</v>
      </c>
      <c r="G69" s="3092">
        <v>102.23</v>
      </c>
      <c r="H69" s="3033">
        <v>43409</v>
      </c>
      <c r="I69" s="3033">
        <v>43773</v>
      </c>
      <c r="J69" s="3013">
        <f t="shared" si="8"/>
        <v>43409</v>
      </c>
      <c r="K69" s="3039"/>
      <c r="L69" s="3015">
        <f t="shared" si="9"/>
        <v>0.99726027397260275</v>
      </c>
      <c r="M69" s="3125" t="s">
        <v>3281</v>
      </c>
      <c r="N69" s="3032">
        <v>26000</v>
      </c>
      <c r="O69" s="3032"/>
      <c r="P69" s="3032"/>
      <c r="Q69" s="3032"/>
      <c r="R69" s="3032"/>
      <c r="S69" s="3032"/>
      <c r="T69" s="3032"/>
      <c r="U69" s="3032"/>
      <c r="V69" s="3032"/>
      <c r="W69" s="3032"/>
      <c r="X69" s="3032"/>
      <c r="Y69" s="3032"/>
      <c r="Z69" s="3032"/>
      <c r="AA69" s="3016" t="s">
        <v>3209</v>
      </c>
      <c r="AB69" s="3039"/>
      <c r="AC69" s="3117"/>
      <c r="AD69" s="3117"/>
      <c r="AE69" s="3039">
        <v>52000</v>
      </c>
      <c r="AF69" s="3023"/>
      <c r="AG69" s="3020">
        <v>26000</v>
      </c>
      <c r="AH69" s="3021">
        <f t="shared" si="10"/>
        <v>0</v>
      </c>
      <c r="AI69" s="3020">
        <v>103</v>
      </c>
    </row>
    <row r="70" spans="1:35" s="3022" customFormat="1" ht="48.75" customHeight="1">
      <c r="A70" s="3028">
        <v>36</v>
      </c>
      <c r="B70" s="3057" t="s">
        <v>3206</v>
      </c>
      <c r="C70" s="3024" t="s">
        <v>3282</v>
      </c>
      <c r="D70" s="3028"/>
      <c r="E70" s="3123" t="s">
        <v>3168</v>
      </c>
      <c r="F70" s="3092" t="s">
        <v>3283</v>
      </c>
      <c r="G70" s="3092">
        <v>78.73</v>
      </c>
      <c r="H70" s="3033">
        <v>43475</v>
      </c>
      <c r="I70" s="3033">
        <v>43839</v>
      </c>
      <c r="J70" s="3013">
        <f t="shared" si="8"/>
        <v>43475</v>
      </c>
      <c r="K70" s="3039"/>
      <c r="L70" s="3015">
        <f t="shared" si="9"/>
        <v>0.99726027397260275</v>
      </c>
      <c r="M70" s="3031"/>
      <c r="N70" s="3032">
        <v>20800</v>
      </c>
      <c r="O70" s="3032">
        <v>20800</v>
      </c>
      <c r="P70" s="3032"/>
      <c r="Q70" s="3032"/>
      <c r="R70" s="3032"/>
      <c r="S70" s="3032"/>
      <c r="T70" s="3032"/>
      <c r="U70" s="3032"/>
      <c r="V70" s="3032"/>
      <c r="W70" s="3032"/>
      <c r="X70" s="3032"/>
      <c r="Y70" s="3032"/>
      <c r="Z70" s="3032"/>
      <c r="AA70" s="3016" t="s">
        <v>3209</v>
      </c>
      <c r="AB70" s="3039"/>
      <c r="AC70" s="3117"/>
      <c r="AD70" s="3117"/>
      <c r="AE70" s="3039">
        <v>41600</v>
      </c>
      <c r="AF70" s="3023"/>
      <c r="AG70" s="3020">
        <v>20300</v>
      </c>
      <c r="AH70" s="3021">
        <f t="shared" si="10"/>
        <v>2.4630541871921183E-2</v>
      </c>
      <c r="AI70" s="3020"/>
    </row>
    <row r="71" spans="1:35" s="3114" customFormat="1" ht="48.75" customHeight="1">
      <c r="A71" s="3550">
        <v>37</v>
      </c>
      <c r="B71" s="3550" t="s">
        <v>3206</v>
      </c>
      <c r="C71" s="3558" t="s">
        <v>3284</v>
      </c>
      <c r="D71" s="3057"/>
      <c r="E71" s="3059" t="s">
        <v>3168</v>
      </c>
      <c r="F71" s="3115" t="s">
        <v>3214</v>
      </c>
      <c r="G71" s="3542">
        <v>82.57</v>
      </c>
      <c r="H71" s="3060">
        <v>43194</v>
      </c>
      <c r="I71" s="3060">
        <v>43558</v>
      </c>
      <c r="J71" s="3060">
        <f t="shared" si="8"/>
        <v>43194</v>
      </c>
      <c r="K71" s="3063"/>
      <c r="L71" s="3062">
        <f t="shared" si="9"/>
        <v>0.99726027397260275</v>
      </c>
      <c r="M71" s="3125" t="s">
        <v>3285</v>
      </c>
      <c r="N71" s="3085">
        <v>21000</v>
      </c>
      <c r="O71" s="3085"/>
      <c r="P71" s="3085"/>
      <c r="Q71" s="3085"/>
      <c r="R71" s="3085"/>
      <c r="S71" s="3085"/>
      <c r="T71" s="3085"/>
      <c r="U71" s="3085"/>
      <c r="V71" s="3085"/>
      <c r="W71" s="3085"/>
      <c r="X71" s="3085"/>
      <c r="Y71" s="3085"/>
      <c r="Z71" s="3085"/>
      <c r="AA71" s="3064" t="s">
        <v>3209</v>
      </c>
      <c r="AB71" s="3063"/>
      <c r="AC71" s="3066"/>
      <c r="AD71" s="3066"/>
      <c r="AE71" s="3063">
        <v>42000</v>
      </c>
      <c r="AF71" s="3112"/>
      <c r="AG71" s="3113"/>
      <c r="AH71" s="3088"/>
      <c r="AI71" s="3546">
        <v>83</v>
      </c>
    </row>
    <row r="72" spans="1:35" s="3114" customFormat="1" ht="48.75" customHeight="1">
      <c r="A72" s="3551"/>
      <c r="B72" s="3551"/>
      <c r="C72" s="3559"/>
      <c r="D72" s="3057"/>
      <c r="E72" s="3059" t="s">
        <v>3168</v>
      </c>
      <c r="F72" s="3115" t="s">
        <v>3286</v>
      </c>
      <c r="G72" s="3543"/>
      <c r="H72" s="3060">
        <v>43525</v>
      </c>
      <c r="I72" s="3060">
        <v>43890</v>
      </c>
      <c r="J72" s="3060">
        <f t="shared" si="8"/>
        <v>43525</v>
      </c>
      <c r="K72" s="3063"/>
      <c r="L72" s="3062">
        <f t="shared" si="9"/>
        <v>1</v>
      </c>
      <c r="M72" s="3125" t="s">
        <v>3287</v>
      </c>
      <c r="N72" s="3085">
        <v>21000</v>
      </c>
      <c r="O72" s="3085">
        <v>21000</v>
      </c>
      <c r="P72" s="3085"/>
      <c r="Q72" s="3085"/>
      <c r="R72" s="3085"/>
      <c r="S72" s="3085"/>
      <c r="T72" s="3085"/>
      <c r="U72" s="3085"/>
      <c r="V72" s="3085"/>
      <c r="W72" s="3085"/>
      <c r="X72" s="3085"/>
      <c r="Y72" s="3085"/>
      <c r="Z72" s="3085"/>
      <c r="AA72" s="3064" t="s">
        <v>3171</v>
      </c>
      <c r="AB72" s="3063"/>
      <c r="AC72" s="3066"/>
      <c r="AD72" s="3066"/>
      <c r="AE72" s="3063">
        <v>21000</v>
      </c>
      <c r="AF72" s="3112"/>
      <c r="AG72" s="3113">
        <v>21000</v>
      </c>
      <c r="AH72" s="3088">
        <f>(N72-AG72)/AG72</f>
        <v>0</v>
      </c>
      <c r="AI72" s="3547"/>
    </row>
    <row r="73" spans="1:35" s="3022" customFormat="1" ht="48.75" customHeight="1">
      <c r="A73" s="3028">
        <v>38</v>
      </c>
      <c r="B73" s="3057" t="s">
        <v>3206</v>
      </c>
      <c r="C73" s="3024" t="s">
        <v>3288</v>
      </c>
      <c r="D73" s="3028"/>
      <c r="E73" s="3123" t="s">
        <v>3168</v>
      </c>
      <c r="F73" s="3092" t="s">
        <v>3289</v>
      </c>
      <c r="G73" s="3092">
        <v>155.78</v>
      </c>
      <c r="H73" s="3033">
        <v>43171</v>
      </c>
      <c r="I73" s="3033">
        <v>43901</v>
      </c>
      <c r="J73" s="3013">
        <f t="shared" si="8"/>
        <v>43171</v>
      </c>
      <c r="K73" s="3039"/>
      <c r="L73" s="3015">
        <f t="shared" si="9"/>
        <v>2</v>
      </c>
      <c r="M73" s="3125" t="s">
        <v>3290</v>
      </c>
      <c r="N73" s="3032">
        <v>34000</v>
      </c>
      <c r="O73" s="3032">
        <v>34000</v>
      </c>
      <c r="P73" s="3032"/>
      <c r="Q73" s="3032"/>
      <c r="R73" s="3032"/>
      <c r="S73" s="3032"/>
      <c r="T73" s="3032"/>
      <c r="U73" s="3032"/>
      <c r="V73" s="3032"/>
      <c r="W73" s="3032"/>
      <c r="X73" s="3032"/>
      <c r="Y73" s="3032"/>
      <c r="Z73" s="3032"/>
      <c r="AA73" s="3016" t="s">
        <v>3209</v>
      </c>
      <c r="AB73" s="3039"/>
      <c r="AC73" s="3117"/>
      <c r="AD73" s="3117"/>
      <c r="AE73" s="3039">
        <v>66000</v>
      </c>
      <c r="AF73" s="3023"/>
      <c r="AG73" s="3020">
        <v>33000</v>
      </c>
      <c r="AH73" s="3088">
        <f>(N73-AG73)/AG73</f>
        <v>3.0303030303030304E-2</v>
      </c>
      <c r="AI73" s="3020">
        <v>156</v>
      </c>
    </row>
    <row r="74" spans="1:35" s="3022" customFormat="1" ht="48.75" customHeight="1">
      <c r="A74" s="3028">
        <v>39</v>
      </c>
      <c r="B74" s="3057" t="s">
        <v>3206</v>
      </c>
      <c r="C74" s="3024" t="s">
        <v>3291</v>
      </c>
      <c r="D74" s="3028"/>
      <c r="E74" s="3010" t="s">
        <v>3168</v>
      </c>
      <c r="F74" s="3092" t="s">
        <v>3292</v>
      </c>
      <c r="G74" s="3092">
        <v>91.56</v>
      </c>
      <c r="H74" s="3033">
        <v>43213</v>
      </c>
      <c r="I74" s="3033">
        <v>43577</v>
      </c>
      <c r="J74" s="3013">
        <f t="shared" si="8"/>
        <v>43213</v>
      </c>
      <c r="K74" s="3039"/>
      <c r="L74" s="3015">
        <f t="shared" si="9"/>
        <v>0.99726027397260275</v>
      </c>
      <c r="M74" s="3031"/>
      <c r="N74" s="3032">
        <v>22000</v>
      </c>
      <c r="O74" s="3032"/>
      <c r="P74" s="3032"/>
      <c r="Q74" s="3032"/>
      <c r="R74" s="3032"/>
      <c r="S74" s="3032"/>
      <c r="T74" s="3032"/>
      <c r="U74" s="3032"/>
      <c r="V74" s="3032"/>
      <c r="W74" s="3032"/>
      <c r="X74" s="3032"/>
      <c r="Y74" s="3032"/>
      <c r="Z74" s="3032"/>
      <c r="AA74" s="3016" t="s">
        <v>3209</v>
      </c>
      <c r="AB74" s="3039"/>
      <c r="AC74" s="3117"/>
      <c r="AD74" s="3117"/>
      <c r="AE74" s="3039">
        <v>44000</v>
      </c>
      <c r="AF74" s="3023"/>
      <c r="AG74" s="3020">
        <v>21000</v>
      </c>
      <c r="AH74" s="3021">
        <f t="shared" si="10"/>
        <v>4.7619047619047616E-2</v>
      </c>
      <c r="AI74" s="3020"/>
    </row>
    <row r="75" spans="1:35" s="3114" customFormat="1" ht="48.75" customHeight="1">
      <c r="A75" s="3057">
        <v>40</v>
      </c>
      <c r="B75" s="3057" t="s">
        <v>3206</v>
      </c>
      <c r="C75" s="3024" t="s">
        <v>3293</v>
      </c>
      <c r="D75" s="3057"/>
      <c r="E75" s="3010" t="s">
        <v>3168</v>
      </c>
      <c r="F75" s="3115" t="s">
        <v>3294</v>
      </c>
      <c r="G75" s="3115">
        <v>89.77</v>
      </c>
      <c r="H75" s="3060">
        <v>43358</v>
      </c>
      <c r="I75" s="3060">
        <v>43722</v>
      </c>
      <c r="J75" s="3060">
        <f t="shared" si="8"/>
        <v>43358</v>
      </c>
      <c r="K75" s="3063"/>
      <c r="L75" s="3062">
        <f t="shared" si="9"/>
        <v>0.99726027397260275</v>
      </c>
      <c r="M75" s="3125" t="s">
        <v>3295</v>
      </c>
      <c r="N75" s="3085">
        <v>22000</v>
      </c>
      <c r="O75" s="3085"/>
      <c r="P75" s="3085"/>
      <c r="Q75" s="3085"/>
      <c r="R75" s="3085"/>
      <c r="S75" s="3085"/>
      <c r="T75" s="3085"/>
      <c r="U75" s="3085"/>
      <c r="V75" s="3085"/>
      <c r="W75" s="3085"/>
      <c r="X75" s="3085"/>
      <c r="Y75" s="3085"/>
      <c r="Z75" s="3085"/>
      <c r="AA75" s="3064" t="s">
        <v>3209</v>
      </c>
      <c r="AB75" s="3063"/>
      <c r="AC75" s="3066"/>
      <c r="AD75" s="3066"/>
      <c r="AE75" s="3063">
        <v>44000</v>
      </c>
      <c r="AF75" s="3112"/>
      <c r="AG75" s="3113"/>
      <c r="AH75" s="3021"/>
      <c r="AI75" s="3113">
        <v>90</v>
      </c>
    </row>
    <row r="76" spans="1:35" s="3022" customFormat="1" ht="48.75" customHeight="1">
      <c r="A76" s="3028">
        <v>41</v>
      </c>
      <c r="B76" s="3057" t="s">
        <v>3206</v>
      </c>
      <c r="C76" s="3024" t="s">
        <v>3296</v>
      </c>
      <c r="D76" s="3028"/>
      <c r="E76" s="3010" t="s">
        <v>3168</v>
      </c>
      <c r="F76" s="3092" t="s">
        <v>3297</v>
      </c>
      <c r="G76" s="3092">
        <v>153.78</v>
      </c>
      <c r="H76" s="3033">
        <v>43466</v>
      </c>
      <c r="I76" s="3033">
        <v>43830</v>
      </c>
      <c r="J76" s="3013">
        <f t="shared" si="8"/>
        <v>43466</v>
      </c>
      <c r="K76" s="3039"/>
      <c r="L76" s="3015">
        <f t="shared" si="9"/>
        <v>0.99726027397260275</v>
      </c>
      <c r="M76" s="3031" t="s">
        <v>3298</v>
      </c>
      <c r="N76" s="3032">
        <v>35000</v>
      </c>
      <c r="O76" s="3032"/>
      <c r="P76" s="3032"/>
      <c r="Q76" s="3032"/>
      <c r="R76" s="3032"/>
      <c r="S76" s="3032"/>
      <c r="T76" s="3032"/>
      <c r="U76" s="3032"/>
      <c r="V76" s="3032"/>
      <c r="W76" s="3032"/>
      <c r="X76" s="3032"/>
      <c r="Y76" s="3032"/>
      <c r="Z76" s="3032"/>
      <c r="AA76" s="3064" t="s">
        <v>3209</v>
      </c>
      <c r="AB76" s="3039"/>
      <c r="AC76" s="3117"/>
      <c r="AD76" s="3117"/>
      <c r="AE76" s="3039">
        <v>70000</v>
      </c>
      <c r="AF76" s="3023"/>
      <c r="AG76" s="3020">
        <v>35000</v>
      </c>
      <c r="AH76" s="3021">
        <f t="shared" si="10"/>
        <v>0</v>
      </c>
      <c r="AI76" s="3020"/>
    </row>
    <row r="77" spans="1:35" s="3022" customFormat="1" ht="48.75" customHeight="1">
      <c r="A77" s="3028">
        <v>42</v>
      </c>
      <c r="B77" s="3057" t="s">
        <v>3206</v>
      </c>
      <c r="C77" s="3024" t="s">
        <v>3299</v>
      </c>
      <c r="D77" s="3028"/>
      <c r="E77" s="3010" t="s">
        <v>3168</v>
      </c>
      <c r="F77" s="3092" t="s">
        <v>3300</v>
      </c>
      <c r="G77" s="3092">
        <v>89.85</v>
      </c>
      <c r="H77" s="3033">
        <v>43221</v>
      </c>
      <c r="I77" s="3033">
        <v>43585</v>
      </c>
      <c r="J77" s="3013">
        <f t="shared" si="8"/>
        <v>43221</v>
      </c>
      <c r="K77" s="3039"/>
      <c r="L77" s="3015">
        <f t="shared" si="9"/>
        <v>0.99726027397260275</v>
      </c>
      <c r="M77" s="3125" t="s">
        <v>3301</v>
      </c>
      <c r="N77" s="3032">
        <v>22900</v>
      </c>
      <c r="O77" s="3032"/>
      <c r="P77" s="3032"/>
      <c r="Q77" s="3032"/>
      <c r="R77" s="3032"/>
      <c r="S77" s="3032"/>
      <c r="T77" s="3032"/>
      <c r="U77" s="3032"/>
      <c r="V77" s="3032"/>
      <c r="W77" s="3032"/>
      <c r="X77" s="3032"/>
      <c r="Y77" s="3032"/>
      <c r="Z77" s="3032"/>
      <c r="AA77" s="3016" t="s">
        <v>3171</v>
      </c>
      <c r="AB77" s="3039"/>
      <c r="AC77" s="3117"/>
      <c r="AD77" s="3117"/>
      <c r="AE77" s="3039">
        <v>45800</v>
      </c>
      <c r="AF77" s="3023"/>
      <c r="AG77" s="3020">
        <v>21000</v>
      </c>
      <c r="AH77" s="3021">
        <f t="shared" si="10"/>
        <v>9.0476190476190474E-2</v>
      </c>
      <c r="AI77" s="3020">
        <v>90</v>
      </c>
    </row>
    <row r="78" spans="1:35" s="3022" customFormat="1" ht="48.75" customHeight="1">
      <c r="A78" s="3028">
        <v>43</v>
      </c>
      <c r="B78" s="3057" t="s">
        <v>3206</v>
      </c>
      <c r="C78" s="3024" t="s">
        <v>3302</v>
      </c>
      <c r="D78" s="3028"/>
      <c r="E78" s="3010" t="s">
        <v>3168</v>
      </c>
      <c r="F78" s="3092" t="s">
        <v>3303</v>
      </c>
      <c r="G78" s="3092">
        <v>91.87</v>
      </c>
      <c r="H78" s="3033">
        <v>43359</v>
      </c>
      <c r="I78" s="3033">
        <v>43723</v>
      </c>
      <c r="J78" s="3013">
        <f t="shared" si="8"/>
        <v>43359</v>
      </c>
      <c r="K78" s="3039"/>
      <c r="L78" s="3015">
        <f t="shared" si="9"/>
        <v>0.99726027397260275</v>
      </c>
      <c r="M78" s="3125" t="s">
        <v>3304</v>
      </c>
      <c r="N78" s="3032">
        <v>23000</v>
      </c>
      <c r="O78" s="3032"/>
      <c r="P78" s="3032"/>
      <c r="Q78" s="3032"/>
      <c r="R78" s="3032"/>
      <c r="S78" s="3032"/>
      <c r="T78" s="3032"/>
      <c r="U78" s="3032"/>
      <c r="V78" s="3032"/>
      <c r="W78" s="3032"/>
      <c r="X78" s="3032"/>
      <c r="Y78" s="3032"/>
      <c r="Z78" s="3032"/>
      <c r="AA78" s="3016" t="s">
        <v>3209</v>
      </c>
      <c r="AB78" s="3039"/>
      <c r="AC78" s="3117"/>
      <c r="AD78" s="3117"/>
      <c r="AE78" s="3039">
        <v>46000</v>
      </c>
      <c r="AF78" s="3023"/>
      <c r="AG78" s="3020">
        <v>23000</v>
      </c>
      <c r="AH78" s="3021">
        <f t="shared" si="10"/>
        <v>0</v>
      </c>
      <c r="AI78" s="3020">
        <v>92</v>
      </c>
    </row>
    <row r="79" spans="1:35" s="3022" customFormat="1" ht="48.75" customHeight="1">
      <c r="A79" s="3028">
        <v>44</v>
      </c>
      <c r="B79" s="3057" t="s">
        <v>3206</v>
      </c>
      <c r="C79" s="3024" t="s">
        <v>3305</v>
      </c>
      <c r="D79" s="3028"/>
      <c r="E79" s="3010" t="s">
        <v>3168</v>
      </c>
      <c r="F79" s="3092" t="s">
        <v>3306</v>
      </c>
      <c r="G79" s="3092">
        <v>100.08</v>
      </c>
      <c r="H79" s="3033">
        <v>43140</v>
      </c>
      <c r="I79" s="3033">
        <v>43869</v>
      </c>
      <c r="J79" s="3013">
        <f t="shared" si="8"/>
        <v>43140</v>
      </c>
      <c r="K79" s="3039"/>
      <c r="L79" s="3015">
        <f t="shared" si="9"/>
        <v>1.9972602739726026</v>
      </c>
      <c r="M79" s="3125" t="s">
        <v>3307</v>
      </c>
      <c r="N79" s="3032">
        <v>27000</v>
      </c>
      <c r="O79" s="3032">
        <v>27000</v>
      </c>
      <c r="P79" s="3032"/>
      <c r="Q79" s="3032"/>
      <c r="R79" s="3032"/>
      <c r="S79" s="3032"/>
      <c r="T79" s="3032"/>
      <c r="U79" s="3032"/>
      <c r="V79" s="3032"/>
      <c r="W79" s="3032"/>
      <c r="X79" s="3032"/>
      <c r="Y79" s="3032"/>
      <c r="Z79" s="3032"/>
      <c r="AA79" s="3016" t="s">
        <v>3209</v>
      </c>
      <c r="AB79" s="3039"/>
      <c r="AC79" s="3117"/>
      <c r="AD79" s="3117"/>
      <c r="AE79" s="3039">
        <v>54000</v>
      </c>
      <c r="AF79" s="3023"/>
      <c r="AG79" s="3020">
        <v>27000</v>
      </c>
      <c r="AH79" s="3021">
        <f t="shared" si="10"/>
        <v>0</v>
      </c>
      <c r="AI79" s="3020">
        <v>100</v>
      </c>
    </row>
    <row r="80" spans="1:35" s="3022" customFormat="1" ht="67.5" customHeight="1">
      <c r="A80" s="3028">
        <v>45</v>
      </c>
      <c r="B80" s="3057" t="s">
        <v>3206</v>
      </c>
      <c r="C80" s="3024" t="s">
        <v>3308</v>
      </c>
      <c r="D80" s="3028"/>
      <c r="E80" s="3010" t="s">
        <v>3168</v>
      </c>
      <c r="F80" s="3092" t="s">
        <v>3309</v>
      </c>
      <c r="G80" s="3092">
        <v>102.23</v>
      </c>
      <c r="H80" s="3033">
        <v>43225</v>
      </c>
      <c r="I80" s="3033">
        <v>43589</v>
      </c>
      <c r="J80" s="3013">
        <f t="shared" si="8"/>
        <v>43225</v>
      </c>
      <c r="K80" s="3039"/>
      <c r="L80" s="3015">
        <f t="shared" si="9"/>
        <v>0.99726027397260275</v>
      </c>
      <c r="M80" s="3125" t="s">
        <v>3310</v>
      </c>
      <c r="N80" s="3032">
        <v>25800</v>
      </c>
      <c r="O80" s="3032"/>
      <c r="P80" s="3032"/>
      <c r="Q80" s="3032"/>
      <c r="R80" s="3032"/>
      <c r="S80" s="3032"/>
      <c r="T80" s="3032"/>
      <c r="U80" s="3032"/>
      <c r="V80" s="3032"/>
      <c r="W80" s="3032"/>
      <c r="X80" s="3032"/>
      <c r="Y80" s="3032"/>
      <c r="Z80" s="3032"/>
      <c r="AA80" s="3016" t="s">
        <v>3209</v>
      </c>
      <c r="AB80" s="3039"/>
      <c r="AC80" s="3117"/>
      <c r="AD80" s="3117"/>
      <c r="AE80" s="3039">
        <v>51600</v>
      </c>
      <c r="AF80" s="3023"/>
      <c r="AG80" s="3020">
        <v>23000</v>
      </c>
      <c r="AH80" s="3021">
        <f t="shared" si="10"/>
        <v>0.12173913043478261</v>
      </c>
      <c r="AI80" s="3020">
        <v>103</v>
      </c>
    </row>
    <row r="81" spans="1:35" s="3114" customFormat="1" ht="48.75" customHeight="1">
      <c r="A81" s="3028">
        <v>46</v>
      </c>
      <c r="B81" s="3057" t="s">
        <v>3206</v>
      </c>
      <c r="C81" s="3024" t="s">
        <v>3311</v>
      </c>
      <c r="D81" s="3057"/>
      <c r="E81" s="3126" t="s">
        <v>3168</v>
      </c>
      <c r="F81" s="3115" t="s">
        <v>3312</v>
      </c>
      <c r="G81" s="3115">
        <v>71.81</v>
      </c>
      <c r="H81" s="3060">
        <v>43519</v>
      </c>
      <c r="I81" s="3060">
        <v>43883</v>
      </c>
      <c r="J81" s="3060">
        <f t="shared" si="8"/>
        <v>43519</v>
      </c>
      <c r="K81" s="3063"/>
      <c r="L81" s="3062">
        <f t="shared" si="9"/>
        <v>0.99726027397260275</v>
      </c>
      <c r="M81" s="3011"/>
      <c r="N81" s="3085">
        <v>19000</v>
      </c>
      <c r="O81" s="3085"/>
      <c r="P81" s="3085"/>
      <c r="Q81" s="3085"/>
      <c r="R81" s="3085"/>
      <c r="S81" s="3085"/>
      <c r="T81" s="3085"/>
      <c r="U81" s="3085"/>
      <c r="V81" s="3085"/>
      <c r="W81" s="3085"/>
      <c r="X81" s="3085"/>
      <c r="Y81" s="3085"/>
      <c r="Z81" s="3085"/>
      <c r="AA81" s="3064" t="s">
        <v>3209</v>
      </c>
      <c r="AB81" s="3063"/>
      <c r="AC81" s="3066"/>
      <c r="AD81" s="3066"/>
      <c r="AE81" s="3063">
        <v>38000</v>
      </c>
      <c r="AF81" s="3112"/>
      <c r="AG81" s="3113">
        <v>16500</v>
      </c>
      <c r="AH81" s="3088">
        <f t="shared" si="10"/>
        <v>0.15151515151515152</v>
      </c>
      <c r="AI81" s="3113">
        <v>72</v>
      </c>
    </row>
    <row r="82" spans="1:35" s="3022" customFormat="1" ht="48.75" customHeight="1">
      <c r="A82" s="3028">
        <v>47</v>
      </c>
      <c r="B82" s="3057" t="s">
        <v>3206</v>
      </c>
      <c r="C82" s="3024" t="s">
        <v>3313</v>
      </c>
      <c r="D82" s="3028"/>
      <c r="E82" s="3010" t="s">
        <v>3168</v>
      </c>
      <c r="F82" s="3092" t="s">
        <v>3314</v>
      </c>
      <c r="G82" s="3092">
        <v>75</v>
      </c>
      <c r="H82" s="3033">
        <v>43160</v>
      </c>
      <c r="I82" s="3033">
        <v>43890</v>
      </c>
      <c r="J82" s="3013">
        <f t="shared" si="8"/>
        <v>43160</v>
      </c>
      <c r="K82" s="3039"/>
      <c r="L82" s="3015">
        <f t="shared" si="9"/>
        <v>2</v>
      </c>
      <c r="M82" s="3125" t="s">
        <v>3212</v>
      </c>
      <c r="N82" s="3032">
        <v>18000</v>
      </c>
      <c r="O82" s="3032">
        <v>18000</v>
      </c>
      <c r="P82" s="3032"/>
      <c r="Q82" s="3032"/>
      <c r="R82" s="3032"/>
      <c r="S82" s="3032"/>
      <c r="T82" s="3032"/>
      <c r="U82" s="3032"/>
      <c r="V82" s="3032"/>
      <c r="W82" s="3032"/>
      <c r="X82" s="3032"/>
      <c r="Y82" s="3032"/>
      <c r="Z82" s="3032"/>
      <c r="AA82" s="3016" t="s">
        <v>3209</v>
      </c>
      <c r="AB82" s="3039"/>
      <c r="AC82" s="3117"/>
      <c r="AD82" s="3117"/>
      <c r="AE82" s="3039">
        <v>36000</v>
      </c>
      <c r="AF82" s="3023"/>
      <c r="AG82" s="3020">
        <v>18000</v>
      </c>
      <c r="AH82" s="3021">
        <f t="shared" si="10"/>
        <v>0</v>
      </c>
      <c r="AI82" s="3020">
        <v>75</v>
      </c>
    </row>
    <row r="83" spans="1:35" s="3022" customFormat="1" ht="48.75" customHeight="1">
      <c r="A83" s="3028">
        <v>48</v>
      </c>
      <c r="B83" s="3057" t="s">
        <v>3206</v>
      </c>
      <c r="C83" s="3024" t="s">
        <v>3315</v>
      </c>
      <c r="D83" s="3028"/>
      <c r="E83" s="3010" t="s">
        <v>3168</v>
      </c>
      <c r="F83" s="3092" t="s">
        <v>3214</v>
      </c>
      <c r="G83" s="3092">
        <v>70.92</v>
      </c>
      <c r="H83" s="3033">
        <v>43283</v>
      </c>
      <c r="I83" s="3033">
        <v>43647</v>
      </c>
      <c r="J83" s="3013">
        <f t="shared" si="8"/>
        <v>43283</v>
      </c>
      <c r="K83" s="3039"/>
      <c r="L83" s="3015">
        <f t="shared" si="9"/>
        <v>0.99726027397260275</v>
      </c>
      <c r="M83" s="3125" t="s">
        <v>3316</v>
      </c>
      <c r="N83" s="3032">
        <v>19000</v>
      </c>
      <c r="O83" s="3032"/>
      <c r="P83" s="3032"/>
      <c r="Q83" s="3032"/>
      <c r="R83" s="3032"/>
      <c r="S83" s="3032"/>
      <c r="T83" s="3032"/>
      <c r="U83" s="3032"/>
      <c r="V83" s="3032"/>
      <c r="W83" s="3032"/>
      <c r="X83" s="3032"/>
      <c r="Y83" s="3032"/>
      <c r="Z83" s="3032"/>
      <c r="AA83" s="3016" t="s">
        <v>3209</v>
      </c>
      <c r="AB83" s="3039"/>
      <c r="AC83" s="3117"/>
      <c r="AD83" s="3117"/>
      <c r="AE83" s="3039">
        <v>38000</v>
      </c>
      <c r="AF83" s="3023"/>
      <c r="AG83" s="3020">
        <v>17500</v>
      </c>
      <c r="AH83" s="3021">
        <f t="shared" si="10"/>
        <v>8.5714285714285715E-2</v>
      </c>
      <c r="AI83" s="3020">
        <v>71</v>
      </c>
    </row>
    <row r="84" spans="1:35" s="3114" customFormat="1" ht="48.75" customHeight="1">
      <c r="A84" s="3548">
        <v>49</v>
      </c>
      <c r="B84" s="3550" t="s">
        <v>3206</v>
      </c>
      <c r="C84" s="3558" t="s">
        <v>3317</v>
      </c>
      <c r="D84" s="3057"/>
      <c r="E84" s="3059" t="s">
        <v>3168</v>
      </c>
      <c r="F84" s="3115" t="s">
        <v>3318</v>
      </c>
      <c r="G84" s="3542">
        <v>91.67</v>
      </c>
      <c r="H84" s="3060">
        <v>43192</v>
      </c>
      <c r="I84" s="3060">
        <v>43556</v>
      </c>
      <c r="J84" s="3060">
        <f t="shared" si="8"/>
        <v>43192</v>
      </c>
      <c r="K84" s="3063"/>
      <c r="L84" s="3062">
        <f t="shared" si="9"/>
        <v>0.99726027397260275</v>
      </c>
      <c r="M84" s="3125" t="s">
        <v>3301</v>
      </c>
      <c r="N84" s="3085">
        <v>22000</v>
      </c>
      <c r="O84" s="3085"/>
      <c r="P84" s="3085"/>
      <c r="Q84" s="3085"/>
      <c r="R84" s="3085"/>
      <c r="S84" s="3085"/>
      <c r="T84" s="3085"/>
      <c r="U84" s="3085"/>
      <c r="V84" s="3085"/>
      <c r="W84" s="3085"/>
      <c r="X84" s="3085"/>
      <c r="Y84" s="3085"/>
      <c r="Z84" s="3085"/>
      <c r="AA84" s="3064" t="s">
        <v>3209</v>
      </c>
      <c r="AB84" s="3063"/>
      <c r="AC84" s="3066"/>
      <c r="AD84" s="3066"/>
      <c r="AE84" s="3063">
        <v>44000</v>
      </c>
      <c r="AF84" s="3112"/>
      <c r="AG84" s="3113">
        <v>22000</v>
      </c>
      <c r="AH84" s="3088">
        <f t="shared" si="10"/>
        <v>0</v>
      </c>
      <c r="AI84" s="3113"/>
    </row>
    <row r="85" spans="1:35" s="3114" customFormat="1" ht="48.75" customHeight="1">
      <c r="A85" s="3549"/>
      <c r="B85" s="3551"/>
      <c r="C85" s="3559"/>
      <c r="D85" s="3057"/>
      <c r="E85" s="3059" t="s">
        <v>3168</v>
      </c>
      <c r="F85" s="3115" t="s">
        <v>3300</v>
      </c>
      <c r="G85" s="3543"/>
      <c r="H85" s="3060">
        <v>43525</v>
      </c>
      <c r="I85" s="3060">
        <v>43890</v>
      </c>
      <c r="J85" s="3060">
        <f t="shared" si="8"/>
        <v>43525</v>
      </c>
      <c r="K85" s="3063"/>
      <c r="L85" s="3062">
        <f t="shared" si="9"/>
        <v>1</v>
      </c>
      <c r="M85" s="3011"/>
      <c r="N85" s="3085">
        <v>23500</v>
      </c>
      <c r="O85" s="3085"/>
      <c r="P85" s="3085"/>
      <c r="Q85" s="3085"/>
      <c r="R85" s="3085"/>
      <c r="S85" s="3085"/>
      <c r="T85" s="3085"/>
      <c r="U85" s="3085"/>
      <c r="V85" s="3085"/>
      <c r="W85" s="3085"/>
      <c r="X85" s="3085"/>
      <c r="Y85" s="3085"/>
      <c r="Z85" s="3085"/>
      <c r="AA85" s="3064" t="s">
        <v>3171</v>
      </c>
      <c r="AB85" s="3063"/>
      <c r="AC85" s="3066"/>
      <c r="AD85" s="3066"/>
      <c r="AE85" s="3063" t="s">
        <v>3319</v>
      </c>
      <c r="AF85" s="3112"/>
      <c r="AG85" s="3113">
        <v>22000</v>
      </c>
      <c r="AH85" s="3088">
        <f t="shared" si="10"/>
        <v>6.8181818181818177E-2</v>
      </c>
      <c r="AI85" s="3113">
        <v>92</v>
      </c>
    </row>
    <row r="86" spans="1:35" s="3022" customFormat="1" ht="48.75" customHeight="1">
      <c r="A86" s="3028">
        <v>50</v>
      </c>
      <c r="B86" s="3057" t="s">
        <v>3206</v>
      </c>
      <c r="C86" s="3024" t="s">
        <v>3320</v>
      </c>
      <c r="D86" s="3028"/>
      <c r="E86" s="3010" t="s">
        <v>3168</v>
      </c>
      <c r="F86" s="3092" t="s">
        <v>3321</v>
      </c>
      <c r="G86" s="3092">
        <v>70.92</v>
      </c>
      <c r="H86" s="3033">
        <v>43185</v>
      </c>
      <c r="I86" s="3033">
        <v>43549</v>
      </c>
      <c r="J86" s="3013">
        <f t="shared" si="8"/>
        <v>43185</v>
      </c>
      <c r="K86" s="3039"/>
      <c r="L86" s="3015">
        <f t="shared" si="9"/>
        <v>0.99726027397260275</v>
      </c>
      <c r="M86" s="3125" t="s">
        <v>3215</v>
      </c>
      <c r="N86" s="3032">
        <v>17000</v>
      </c>
      <c r="O86" s="3032"/>
      <c r="P86" s="3032"/>
      <c r="Q86" s="3032"/>
      <c r="R86" s="3032"/>
      <c r="S86" s="3032"/>
      <c r="T86" s="3032"/>
      <c r="U86" s="3032"/>
      <c r="V86" s="3032"/>
      <c r="W86" s="3032"/>
      <c r="X86" s="3032"/>
      <c r="Y86" s="3032"/>
      <c r="Z86" s="3032"/>
      <c r="AA86" s="3016" t="s">
        <v>3209</v>
      </c>
      <c r="AB86" s="3039"/>
      <c r="AC86" s="3117"/>
      <c r="AD86" s="3117"/>
      <c r="AE86" s="3039">
        <v>34000</v>
      </c>
      <c r="AF86" s="3023"/>
      <c r="AG86" s="3020">
        <v>17000</v>
      </c>
      <c r="AH86" s="3021">
        <f t="shared" si="10"/>
        <v>0</v>
      </c>
      <c r="AI86" s="3020"/>
    </row>
    <row r="87" spans="1:35" s="3022" customFormat="1" ht="48.75" customHeight="1">
      <c r="A87" s="3028">
        <v>51</v>
      </c>
      <c r="B87" s="3057" t="s">
        <v>3206</v>
      </c>
      <c r="C87" s="3120" t="s">
        <v>3322</v>
      </c>
      <c r="D87" s="3028"/>
      <c r="E87" s="3030" t="s">
        <v>3185</v>
      </c>
      <c r="F87" s="3121"/>
      <c r="G87" s="3121">
        <v>95.32</v>
      </c>
      <c r="H87" s="3033"/>
      <c r="I87" s="3033"/>
      <c r="J87" s="3033"/>
      <c r="K87" s="3039"/>
      <c r="L87" s="3035">
        <f t="shared" si="9"/>
        <v>0</v>
      </c>
      <c r="M87" s="3031"/>
      <c r="N87" s="3032"/>
      <c r="O87" s="3032"/>
      <c r="P87" s="3032"/>
      <c r="Q87" s="3032"/>
      <c r="R87" s="3032"/>
      <c r="S87" s="3032"/>
      <c r="T87" s="3032"/>
      <c r="U87" s="3032"/>
      <c r="V87" s="3032"/>
      <c r="W87" s="3032"/>
      <c r="X87" s="3032"/>
      <c r="Y87" s="3032"/>
      <c r="Z87" s="3032"/>
      <c r="AA87" s="3016"/>
      <c r="AB87" s="3039"/>
      <c r="AC87" s="3117"/>
      <c r="AD87" s="3117"/>
      <c r="AE87" s="3039"/>
      <c r="AF87" s="3023"/>
      <c r="AG87" s="3020"/>
      <c r="AH87" s="3021"/>
      <c r="AI87" s="3020"/>
    </row>
    <row r="88" spans="1:35" s="3022" customFormat="1" ht="77.25" customHeight="1">
      <c r="A88" s="3028">
        <v>52</v>
      </c>
      <c r="B88" s="3057" t="s">
        <v>3206</v>
      </c>
      <c r="C88" s="3024" t="s">
        <v>3323</v>
      </c>
      <c r="D88" s="3028"/>
      <c r="E88" s="3010" t="s">
        <v>3168</v>
      </c>
      <c r="F88" s="3092" t="s">
        <v>3265</v>
      </c>
      <c r="G88" s="3092">
        <v>70.92</v>
      </c>
      <c r="H88" s="3033">
        <v>43329</v>
      </c>
      <c r="I88" s="3033">
        <v>43693</v>
      </c>
      <c r="J88" s="3013">
        <f t="shared" si="8"/>
        <v>43329</v>
      </c>
      <c r="K88" s="3039"/>
      <c r="L88" s="3015">
        <f t="shared" si="9"/>
        <v>0.99726027397260275</v>
      </c>
      <c r="M88" s="3125" t="s">
        <v>3324</v>
      </c>
      <c r="N88" s="3032">
        <v>19500</v>
      </c>
      <c r="O88" s="3032"/>
      <c r="P88" s="3032"/>
      <c r="Q88" s="3032"/>
      <c r="R88" s="3032"/>
      <c r="S88" s="3032"/>
      <c r="T88" s="3032"/>
      <c r="U88" s="3032"/>
      <c r="V88" s="3032"/>
      <c r="W88" s="3032"/>
      <c r="X88" s="3032"/>
      <c r="Y88" s="3032"/>
      <c r="Z88" s="3032"/>
      <c r="AA88" s="3016" t="s">
        <v>3209</v>
      </c>
      <c r="AB88" s="3039"/>
      <c r="AC88" s="3117"/>
      <c r="AD88" s="3117"/>
      <c r="AE88" s="3039">
        <v>39000</v>
      </c>
      <c r="AF88" s="3023"/>
      <c r="AG88" s="3020">
        <v>18000</v>
      </c>
      <c r="AH88" s="3021">
        <f t="shared" si="10"/>
        <v>8.3333333333333329E-2</v>
      </c>
      <c r="AI88" s="3020"/>
    </row>
    <row r="89" spans="1:35" s="3022" customFormat="1" ht="48.75" customHeight="1">
      <c r="A89" s="3028">
        <v>53</v>
      </c>
      <c r="B89" s="3057" t="s">
        <v>3206</v>
      </c>
      <c r="C89" s="3024" t="s">
        <v>3325</v>
      </c>
      <c r="D89" s="3028"/>
      <c r="E89" s="3010" t="s">
        <v>3168</v>
      </c>
      <c r="F89" s="3092" t="s">
        <v>3326</v>
      </c>
      <c r="G89" s="3092">
        <v>187.37</v>
      </c>
      <c r="H89" s="3033">
        <v>43210</v>
      </c>
      <c r="I89" s="3033">
        <v>43574</v>
      </c>
      <c r="J89" s="3013">
        <f t="shared" si="8"/>
        <v>43210</v>
      </c>
      <c r="K89" s="3039"/>
      <c r="L89" s="3015">
        <f t="shared" si="9"/>
        <v>0.99726027397260275</v>
      </c>
      <c r="M89" s="3031"/>
      <c r="N89" s="3032">
        <v>43600</v>
      </c>
      <c r="O89" s="3032"/>
      <c r="P89" s="3032"/>
      <c r="Q89" s="3032"/>
      <c r="R89" s="3032"/>
      <c r="S89" s="3032"/>
      <c r="T89" s="3032"/>
      <c r="U89" s="3032"/>
      <c r="V89" s="3032"/>
      <c r="W89" s="3032"/>
      <c r="X89" s="3032"/>
      <c r="Y89" s="3032"/>
      <c r="Z89" s="3032"/>
      <c r="AA89" s="3016" t="s">
        <v>3209</v>
      </c>
      <c r="AB89" s="3039"/>
      <c r="AC89" s="3117"/>
      <c r="AD89" s="3117"/>
      <c r="AE89" s="3039">
        <v>87200</v>
      </c>
      <c r="AF89" s="3023"/>
      <c r="AG89" s="3020">
        <v>43600</v>
      </c>
      <c r="AH89" s="3021">
        <f t="shared" si="10"/>
        <v>0</v>
      </c>
      <c r="AI89" s="3020"/>
    </row>
    <row r="90" spans="1:35" s="3022" customFormat="1" ht="48.75" customHeight="1">
      <c r="A90" s="3028">
        <v>54</v>
      </c>
      <c r="B90" s="3057" t="s">
        <v>3206</v>
      </c>
      <c r="C90" s="3024" t="s">
        <v>3327</v>
      </c>
      <c r="D90" s="3028"/>
      <c r="E90" s="3010" t="s">
        <v>3168</v>
      </c>
      <c r="F90" s="3092" t="s">
        <v>3328</v>
      </c>
      <c r="G90" s="3092">
        <v>69.099999999999994</v>
      </c>
      <c r="H90" s="3033">
        <v>43433</v>
      </c>
      <c r="I90" s="3033">
        <v>43797</v>
      </c>
      <c r="J90" s="3013">
        <f t="shared" si="8"/>
        <v>43433</v>
      </c>
      <c r="K90" s="3039"/>
      <c r="L90" s="3015">
        <f t="shared" si="9"/>
        <v>0.99726027397260275</v>
      </c>
      <c r="M90" s="3125" t="s">
        <v>3316</v>
      </c>
      <c r="N90" s="3032">
        <v>19000</v>
      </c>
      <c r="O90" s="3032"/>
      <c r="P90" s="3032"/>
      <c r="Q90" s="3032"/>
      <c r="R90" s="3032"/>
      <c r="S90" s="3032"/>
      <c r="T90" s="3032"/>
      <c r="U90" s="3032"/>
      <c r="V90" s="3032"/>
      <c r="W90" s="3032"/>
      <c r="X90" s="3032"/>
      <c r="Y90" s="3032"/>
      <c r="Z90" s="3032"/>
      <c r="AA90" s="3016" t="s">
        <v>3209</v>
      </c>
      <c r="AB90" s="3039"/>
      <c r="AC90" s="3117"/>
      <c r="AD90" s="3117"/>
      <c r="AE90" s="3039">
        <v>38000</v>
      </c>
      <c r="AF90" s="3023"/>
      <c r="AG90" s="3020">
        <v>17000</v>
      </c>
      <c r="AH90" s="3021">
        <f t="shared" si="10"/>
        <v>0.11764705882352941</v>
      </c>
      <c r="AI90" s="3020"/>
    </row>
    <row r="91" spans="1:35" s="3022" customFormat="1" ht="48.75" customHeight="1">
      <c r="A91" s="3028">
        <v>55</v>
      </c>
      <c r="B91" s="3057" t="s">
        <v>3206</v>
      </c>
      <c r="C91" s="3024" t="s">
        <v>3329</v>
      </c>
      <c r="D91" s="3028"/>
      <c r="E91" s="3010" t="s">
        <v>3168</v>
      </c>
      <c r="F91" s="3092" t="s">
        <v>3330</v>
      </c>
      <c r="G91" s="3092">
        <v>92.37</v>
      </c>
      <c r="H91" s="3033">
        <v>43435</v>
      </c>
      <c r="I91" s="3033">
        <v>43799</v>
      </c>
      <c r="J91" s="3013">
        <f t="shared" si="8"/>
        <v>43435</v>
      </c>
      <c r="K91" s="3039"/>
      <c r="L91" s="3015">
        <f t="shared" si="9"/>
        <v>0.99726027397260275</v>
      </c>
      <c r="M91" s="3125" t="s">
        <v>3331</v>
      </c>
      <c r="N91" s="3032">
        <v>24500</v>
      </c>
      <c r="O91" s="3032"/>
      <c r="P91" s="3032"/>
      <c r="Q91" s="3032"/>
      <c r="R91" s="3032"/>
      <c r="S91" s="3032"/>
      <c r="T91" s="3032"/>
      <c r="U91" s="3032"/>
      <c r="V91" s="3032"/>
      <c r="W91" s="3032"/>
      <c r="X91" s="3032"/>
      <c r="Y91" s="3032"/>
      <c r="Z91" s="3032"/>
      <c r="AA91" s="3016" t="s">
        <v>3209</v>
      </c>
      <c r="AB91" s="3039"/>
      <c r="AC91" s="3117"/>
      <c r="AD91" s="3117"/>
      <c r="AE91" s="3039">
        <v>49000</v>
      </c>
      <c r="AF91" s="3023"/>
      <c r="AG91" s="3020">
        <v>21000</v>
      </c>
      <c r="AH91" s="3021">
        <f t="shared" si="10"/>
        <v>0.16666666666666666</v>
      </c>
      <c r="AI91" s="3020"/>
    </row>
    <row r="92" spans="1:35" s="3056" customFormat="1" ht="20.100000000000001" customHeight="1">
      <c r="A92" s="3041">
        <f>COUNT(A31:A91)</f>
        <v>55</v>
      </c>
      <c r="B92" s="3042"/>
      <c r="C92" s="3043" t="s">
        <v>3186</v>
      </c>
      <c r="D92" s="3044"/>
      <c r="E92" s="3043"/>
      <c r="F92" s="3045"/>
      <c r="G92" s="3046">
        <f>SUM(G31:G91)</f>
        <v>5133.3700000000008</v>
      </c>
      <c r="H92" s="3072"/>
      <c r="I92" s="3048"/>
      <c r="J92" s="3048"/>
      <c r="K92" s="3049"/>
      <c r="L92" s="3050"/>
      <c r="M92" s="3050"/>
      <c r="N92" s="3047"/>
      <c r="O92" s="3047"/>
      <c r="P92" s="3047"/>
      <c r="Q92" s="3047"/>
      <c r="R92" s="3047"/>
      <c r="S92" s="3047"/>
      <c r="T92" s="3047"/>
      <c r="U92" s="3047"/>
      <c r="V92" s="3047"/>
      <c r="W92" s="3047"/>
      <c r="X92" s="3047"/>
      <c r="Y92" s="3047"/>
      <c r="Z92" s="3047"/>
      <c r="AA92" s="3051"/>
      <c r="AB92" s="3047"/>
      <c r="AC92" s="3046"/>
      <c r="AD92" s="3046"/>
      <c r="AE92" s="3052"/>
      <c r="AF92" s="3053"/>
      <c r="AG92" s="3054"/>
      <c r="AH92" s="3073"/>
      <c r="AI92" s="3054"/>
    </row>
    <row r="93" spans="1:35" s="3129" customFormat="1" ht="30" customHeight="1">
      <c r="A93" s="3008">
        <v>1</v>
      </c>
      <c r="B93" s="3127" t="s">
        <v>3332</v>
      </c>
      <c r="C93" s="3127" t="s">
        <v>3333</v>
      </c>
      <c r="D93" s="3057"/>
      <c r="E93" s="3127" t="s">
        <v>3168</v>
      </c>
      <c r="F93" s="3127" t="s">
        <v>3334</v>
      </c>
      <c r="G93" s="3127">
        <v>125.37</v>
      </c>
      <c r="H93" s="3111">
        <v>43466</v>
      </c>
      <c r="I93" s="3111">
        <v>43830</v>
      </c>
      <c r="J93" s="3111"/>
      <c r="K93" s="3127"/>
      <c r="L93" s="3062">
        <f>(I93-H93)/365</f>
        <v>0.99726027397260275</v>
      </c>
      <c r="M93" s="3127"/>
      <c r="N93" s="3057">
        <v>28000</v>
      </c>
      <c r="O93" s="3057"/>
      <c r="P93" s="3057"/>
      <c r="Q93" s="3057"/>
      <c r="R93" s="3057"/>
      <c r="S93" s="3057"/>
      <c r="T93" s="3057"/>
      <c r="U93" s="3057"/>
      <c r="V93" s="3057"/>
      <c r="W93" s="3057"/>
      <c r="X93" s="3057"/>
      <c r="Y93" s="3057"/>
      <c r="Z93" s="3057"/>
      <c r="AA93" s="3057" t="s">
        <v>3209</v>
      </c>
      <c r="AB93" s="3128"/>
      <c r="AC93" s="3127"/>
      <c r="AD93" s="3127"/>
      <c r="AE93" s="3067" t="s">
        <v>3335</v>
      </c>
      <c r="AF93" s="3068"/>
      <c r="AG93" s="3057">
        <v>27500</v>
      </c>
      <c r="AH93" s="3021">
        <f>(N93-AG93)/AG93</f>
        <v>1.8181818181818181E-2</v>
      </c>
      <c r="AI93" s="3057"/>
    </row>
    <row r="94" spans="1:35" s="3022" customFormat="1" ht="30" customHeight="1">
      <c r="A94" s="3008">
        <v>2</v>
      </c>
      <c r="B94" s="3127" t="s">
        <v>3332</v>
      </c>
      <c r="C94" s="3127" t="s">
        <v>3336</v>
      </c>
      <c r="D94" s="3057"/>
      <c r="E94" s="3127" t="s">
        <v>3168</v>
      </c>
      <c r="F94" s="3011" t="s">
        <v>3337</v>
      </c>
      <c r="G94" s="3081">
        <v>128.68</v>
      </c>
      <c r="H94" s="3060" t="s">
        <v>3338</v>
      </c>
      <c r="I94" s="3060" t="s">
        <v>3339</v>
      </c>
      <c r="J94" s="3060" t="str">
        <f>H94</f>
        <v>2018/08/17</v>
      </c>
      <c r="K94" s="3061"/>
      <c r="L94" s="3062">
        <f>(I94-H94)/365</f>
        <v>1.5808219178082192</v>
      </c>
      <c r="M94" s="3011" t="s">
        <v>3340</v>
      </c>
      <c r="N94" s="3085">
        <v>30000</v>
      </c>
      <c r="O94" s="3085">
        <v>30000</v>
      </c>
      <c r="P94" s="3085"/>
      <c r="Q94" s="3085"/>
      <c r="R94" s="3085"/>
      <c r="S94" s="3085"/>
      <c r="T94" s="3085"/>
      <c r="U94" s="3085"/>
      <c r="V94" s="3085"/>
      <c r="W94" s="3085"/>
      <c r="X94" s="3085"/>
      <c r="Y94" s="3085"/>
      <c r="Z94" s="3085"/>
      <c r="AA94" s="3064"/>
      <c r="AB94" s="3063"/>
      <c r="AC94" s="3065"/>
      <c r="AD94" s="3066"/>
      <c r="AE94" s="3067">
        <v>60000</v>
      </c>
      <c r="AF94" s="3112"/>
      <c r="AG94" s="3113"/>
      <c r="AH94" s="3021"/>
      <c r="AI94" s="3113"/>
    </row>
    <row r="95" spans="1:35" s="3114" customFormat="1" ht="30" customHeight="1">
      <c r="A95" s="3008">
        <v>3</v>
      </c>
      <c r="B95" s="3127" t="s">
        <v>3332</v>
      </c>
      <c r="C95" s="3009" t="s">
        <v>3341</v>
      </c>
      <c r="D95" s="3079"/>
      <c r="E95" s="3059" t="s">
        <v>3185</v>
      </c>
      <c r="F95" s="3080"/>
      <c r="G95" s="3081">
        <v>92</v>
      </c>
      <c r="H95" s="3082"/>
      <c r="I95" s="3083"/>
      <c r="J95" s="3083"/>
      <c r="K95" s="3084"/>
      <c r="L95" s="3062"/>
      <c r="M95" s="3080"/>
      <c r="N95" s="3085"/>
      <c r="O95" s="3085"/>
      <c r="P95" s="3085"/>
      <c r="Q95" s="3085"/>
      <c r="R95" s="3085"/>
      <c r="S95" s="3081"/>
      <c r="T95" s="3081"/>
      <c r="U95" s="3081"/>
      <c r="V95" s="3081"/>
      <c r="W95" s="3081"/>
      <c r="X95" s="3081"/>
      <c r="Y95" s="3081"/>
      <c r="Z95" s="3081"/>
      <c r="AA95" s="3064"/>
      <c r="AB95" s="3084"/>
      <c r="AC95" s="3065"/>
      <c r="AD95" s="3066"/>
      <c r="AE95" s="3067"/>
      <c r="AF95" s="3086"/>
      <c r="AG95" s="3087"/>
      <c r="AH95" s="3087"/>
      <c r="AI95" s="3087"/>
    </row>
    <row r="96" spans="1:35" s="3114" customFormat="1" ht="30" customHeight="1">
      <c r="A96" s="3008">
        <v>4</v>
      </c>
      <c r="B96" s="3127" t="s">
        <v>3332</v>
      </c>
      <c r="C96" s="3024" t="s">
        <v>3342</v>
      </c>
      <c r="D96" s="3057"/>
      <c r="E96" s="3059" t="s">
        <v>3168</v>
      </c>
      <c r="F96" s="3011"/>
      <c r="G96" s="3085">
        <v>182.42</v>
      </c>
      <c r="H96" s="3060" t="s">
        <v>3343</v>
      </c>
      <c r="I96" s="3060" t="s">
        <v>3344</v>
      </c>
      <c r="J96" s="3060" t="str">
        <f>H96</f>
        <v>2018/12/31</v>
      </c>
      <c r="K96" s="3063"/>
      <c r="L96" s="3062">
        <f>(I96-H96)/365</f>
        <v>2</v>
      </c>
      <c r="M96" s="3011" t="s">
        <v>3345</v>
      </c>
      <c r="N96" s="3085">
        <v>40200</v>
      </c>
      <c r="O96" s="3085">
        <v>40200</v>
      </c>
      <c r="P96" s="3085"/>
      <c r="Q96" s="3085"/>
      <c r="R96" s="3085"/>
      <c r="S96" s="3130"/>
      <c r="T96" s="3130"/>
      <c r="U96" s="3085"/>
      <c r="V96" s="3085"/>
      <c r="W96" s="3085"/>
      <c r="X96" s="3085"/>
      <c r="Y96" s="3085"/>
      <c r="Z96" s="3085"/>
      <c r="AA96" s="3064"/>
      <c r="AB96" s="3063"/>
      <c r="AC96" s="3065"/>
      <c r="AD96" s="3066"/>
      <c r="AE96" s="3067" t="s">
        <v>3346</v>
      </c>
      <c r="AF96" s="3112"/>
      <c r="AG96" s="3113"/>
      <c r="AH96" s="3113"/>
      <c r="AI96" s="3113">
        <v>182</v>
      </c>
    </row>
    <row r="97" spans="1:35" s="3114" customFormat="1" ht="30" customHeight="1">
      <c r="A97" s="3008">
        <v>5</v>
      </c>
      <c r="B97" s="3127" t="s">
        <v>3332</v>
      </c>
      <c r="C97" s="3024" t="s">
        <v>3347</v>
      </c>
      <c r="D97" s="3057"/>
      <c r="E97" s="3059" t="s">
        <v>3185</v>
      </c>
      <c r="F97" s="3011"/>
      <c r="G97" s="3085">
        <v>103</v>
      </c>
      <c r="H97" s="3111"/>
      <c r="I97" s="3060"/>
      <c r="J97" s="3060"/>
      <c r="K97" s="3063"/>
      <c r="L97" s="3011"/>
      <c r="M97" s="3011"/>
      <c r="N97" s="3085"/>
      <c r="O97" s="3085"/>
      <c r="P97" s="3085"/>
      <c r="Q97" s="3085"/>
      <c r="R97" s="3085"/>
      <c r="S97" s="3085"/>
      <c r="T97" s="3085"/>
      <c r="U97" s="3085"/>
      <c r="V97" s="3085"/>
      <c r="W97" s="3085"/>
      <c r="X97" s="3085"/>
      <c r="Y97" s="3085"/>
      <c r="Z97" s="3085"/>
      <c r="AA97" s="3064"/>
      <c r="AB97" s="3063"/>
      <c r="AC97" s="3065"/>
      <c r="AD97" s="3066"/>
      <c r="AE97" s="3067"/>
      <c r="AF97" s="3112"/>
      <c r="AG97" s="3113"/>
      <c r="AH97" s="3113"/>
      <c r="AI97" s="3113"/>
    </row>
    <row r="98" spans="1:35" s="3114" customFormat="1" ht="30" customHeight="1">
      <c r="A98" s="3008">
        <v>6</v>
      </c>
      <c r="B98" s="3127" t="s">
        <v>3332</v>
      </c>
      <c r="C98" s="3024" t="s">
        <v>3348</v>
      </c>
      <c r="D98" s="3057"/>
      <c r="E98" s="3059" t="s">
        <v>3168</v>
      </c>
      <c r="F98" s="3011" t="s">
        <v>3349</v>
      </c>
      <c r="G98" s="3085">
        <v>122.44</v>
      </c>
      <c r="H98" s="3060">
        <v>43543</v>
      </c>
      <c r="I98" s="3060">
        <v>43908</v>
      </c>
      <c r="J98" s="3060">
        <f>H98</f>
        <v>43543</v>
      </c>
      <c r="K98" s="3063"/>
      <c r="L98" s="3062">
        <f t="shared" ref="L98:L138" si="11">(I98-H98)/365</f>
        <v>1</v>
      </c>
      <c r="M98" s="3011" t="s">
        <v>3350</v>
      </c>
      <c r="N98" s="3085">
        <v>29000</v>
      </c>
      <c r="O98" s="3085">
        <v>29000</v>
      </c>
      <c r="P98" s="3085"/>
      <c r="Q98" s="3085"/>
      <c r="R98" s="3085"/>
      <c r="S98" s="3085"/>
      <c r="T98" s="3085"/>
      <c r="U98" s="3085"/>
      <c r="V98" s="3085"/>
      <c r="W98" s="3085"/>
      <c r="X98" s="3085"/>
      <c r="Y98" s="3085"/>
      <c r="Z98" s="3085"/>
      <c r="AA98" s="3064" t="s">
        <v>3209</v>
      </c>
      <c r="AB98" s="3063"/>
      <c r="AC98" s="3065"/>
      <c r="AD98" s="3066"/>
      <c r="AE98" s="3067">
        <v>58000</v>
      </c>
      <c r="AF98" s="3112"/>
      <c r="AG98" s="3113">
        <v>28500</v>
      </c>
      <c r="AH98" s="3088">
        <f>(N98-AG98)/AG98</f>
        <v>1.7543859649122806E-2</v>
      </c>
      <c r="AI98" s="3113">
        <v>122</v>
      </c>
    </row>
    <row r="99" spans="1:35" s="3114" customFormat="1" ht="30" customHeight="1">
      <c r="A99" s="3008">
        <v>7</v>
      </c>
      <c r="B99" s="3127" t="s">
        <v>3332</v>
      </c>
      <c r="C99" s="3024" t="s">
        <v>3351</v>
      </c>
      <c r="D99" s="3057"/>
      <c r="E99" s="3059" t="s">
        <v>3168</v>
      </c>
      <c r="F99" s="3011" t="s">
        <v>3352</v>
      </c>
      <c r="G99" s="3085">
        <v>124.05</v>
      </c>
      <c r="H99" s="3060">
        <v>43428</v>
      </c>
      <c r="I99" s="3060">
        <v>43792</v>
      </c>
      <c r="J99" s="3060">
        <f t="shared" ref="J99:J117" si="12">H99</f>
        <v>43428</v>
      </c>
      <c r="K99" s="3063"/>
      <c r="L99" s="3062">
        <f t="shared" si="11"/>
        <v>0.99726027397260275</v>
      </c>
      <c r="M99" s="3011" t="s">
        <v>3353</v>
      </c>
      <c r="N99" s="3085">
        <v>29800</v>
      </c>
      <c r="O99" s="3085"/>
      <c r="P99" s="3085"/>
      <c r="Q99" s="3085"/>
      <c r="R99" s="3085"/>
      <c r="S99" s="3085"/>
      <c r="T99" s="3085"/>
      <c r="U99" s="3085"/>
      <c r="V99" s="3085"/>
      <c r="W99" s="3085"/>
      <c r="X99" s="3085"/>
      <c r="Y99" s="3085"/>
      <c r="Z99" s="3085"/>
      <c r="AA99" s="3064" t="s">
        <v>3209</v>
      </c>
      <c r="AB99" s="3063"/>
      <c r="AC99" s="3065"/>
      <c r="AD99" s="3066"/>
      <c r="AE99" s="3067">
        <v>59600</v>
      </c>
      <c r="AF99" s="3112"/>
      <c r="AG99" s="3113">
        <v>29500</v>
      </c>
      <c r="AH99" s="3088">
        <f>(N99-AG99)/AG99</f>
        <v>1.0169491525423728E-2</v>
      </c>
      <c r="AI99" s="3113">
        <v>124</v>
      </c>
    </row>
    <row r="100" spans="1:35" s="3114" customFormat="1" ht="30" customHeight="1">
      <c r="A100" s="3008">
        <v>8</v>
      </c>
      <c r="B100" s="3127" t="s">
        <v>3332</v>
      </c>
      <c r="C100" s="3024" t="s">
        <v>3354</v>
      </c>
      <c r="D100" s="3057"/>
      <c r="E100" s="3059" t="s">
        <v>3168</v>
      </c>
      <c r="F100" s="3080" t="s">
        <v>3355</v>
      </c>
      <c r="G100" s="3081">
        <v>92</v>
      </c>
      <c r="H100" s="3111">
        <v>43232</v>
      </c>
      <c r="I100" s="3111">
        <v>43596</v>
      </c>
      <c r="J100" s="3060">
        <f t="shared" si="12"/>
        <v>43232</v>
      </c>
      <c r="K100" s="3063"/>
      <c r="L100" s="3062">
        <f t="shared" si="11"/>
        <v>0.99726027397260275</v>
      </c>
      <c r="M100" s="3011" t="s">
        <v>3356</v>
      </c>
      <c r="N100" s="3085">
        <v>22800</v>
      </c>
      <c r="O100" s="3085"/>
      <c r="P100" s="3085"/>
      <c r="Q100" s="3085"/>
      <c r="R100" s="3085"/>
      <c r="S100" s="3085"/>
      <c r="T100" s="3085"/>
      <c r="U100" s="3085"/>
      <c r="V100" s="3085"/>
      <c r="W100" s="3085"/>
      <c r="X100" s="3085"/>
      <c r="Y100" s="3085"/>
      <c r="Z100" s="3085"/>
      <c r="AA100" s="3064" t="s">
        <v>3209</v>
      </c>
      <c r="AB100" s="3063"/>
      <c r="AC100" s="3065"/>
      <c r="AD100" s="3066"/>
      <c r="AE100" s="3067">
        <v>45600</v>
      </c>
      <c r="AF100" s="3112"/>
      <c r="AG100" s="3113"/>
      <c r="AH100" s="3113"/>
      <c r="AI100" s="3113"/>
    </row>
    <row r="101" spans="1:35" s="3114" customFormat="1" ht="30" customHeight="1">
      <c r="A101" s="3008">
        <v>9</v>
      </c>
      <c r="B101" s="3127" t="s">
        <v>3332</v>
      </c>
      <c r="C101" s="3009" t="s">
        <v>3357</v>
      </c>
      <c r="D101" s="3079"/>
      <c r="E101" s="3059" t="s">
        <v>3168</v>
      </c>
      <c r="F101" s="3011" t="s">
        <v>3358</v>
      </c>
      <c r="G101" s="3081">
        <v>177.41</v>
      </c>
      <c r="H101" s="3082">
        <v>43423</v>
      </c>
      <c r="I101" s="3083">
        <v>43787</v>
      </c>
      <c r="J101" s="3060">
        <f t="shared" si="12"/>
        <v>43423</v>
      </c>
      <c r="K101" s="3084"/>
      <c r="L101" s="3062">
        <f t="shared" si="11"/>
        <v>0.99726027397260275</v>
      </c>
      <c r="M101" s="3011" t="s">
        <v>3356</v>
      </c>
      <c r="N101" s="3085">
        <v>39800</v>
      </c>
      <c r="O101" s="3085"/>
      <c r="P101" s="3085"/>
      <c r="Q101" s="3085"/>
      <c r="R101" s="3085"/>
      <c r="S101" s="3081"/>
      <c r="T101" s="3081"/>
      <c r="U101" s="3081"/>
      <c r="V101" s="3081"/>
      <c r="W101" s="3081"/>
      <c r="X101" s="3081"/>
      <c r="Y101" s="3081"/>
      <c r="Z101" s="3081"/>
      <c r="AA101" s="3064" t="s">
        <v>3209</v>
      </c>
      <c r="AB101" s="3084"/>
      <c r="AC101" s="3065"/>
      <c r="AD101" s="3066"/>
      <c r="AE101" s="3067">
        <v>79600</v>
      </c>
      <c r="AF101" s="3086"/>
      <c r="AG101" s="3087"/>
      <c r="AH101" s="3087"/>
      <c r="AI101" s="3087">
        <v>176</v>
      </c>
    </row>
    <row r="102" spans="1:35" s="3114" customFormat="1" ht="30" customHeight="1">
      <c r="A102" s="3008">
        <v>10</v>
      </c>
      <c r="B102" s="3127" t="s">
        <v>3332</v>
      </c>
      <c r="C102" s="3009" t="s">
        <v>3359</v>
      </c>
      <c r="D102" s="3057"/>
      <c r="E102" s="3059" t="s">
        <v>3168</v>
      </c>
      <c r="F102" s="3011" t="s">
        <v>3360</v>
      </c>
      <c r="G102" s="3085">
        <v>99.03</v>
      </c>
      <c r="H102" s="3060">
        <v>43235</v>
      </c>
      <c r="I102" s="3060">
        <v>43599</v>
      </c>
      <c r="J102" s="3060">
        <f t="shared" si="12"/>
        <v>43235</v>
      </c>
      <c r="K102" s="3063"/>
      <c r="L102" s="3062">
        <f t="shared" si="11"/>
        <v>0.99726027397260275</v>
      </c>
      <c r="M102" s="3011" t="s">
        <v>3356</v>
      </c>
      <c r="N102" s="3085">
        <v>23000</v>
      </c>
      <c r="O102" s="3085"/>
      <c r="P102" s="3085"/>
      <c r="Q102" s="3085"/>
      <c r="R102" s="3085"/>
      <c r="S102" s="3085"/>
      <c r="T102" s="3085"/>
      <c r="U102" s="3085"/>
      <c r="V102" s="3085"/>
      <c r="W102" s="3085"/>
      <c r="X102" s="3085"/>
      <c r="Y102" s="3085"/>
      <c r="Z102" s="3085"/>
      <c r="AA102" s="3064" t="s">
        <v>3209</v>
      </c>
      <c r="AB102" s="3063"/>
      <c r="AC102" s="3065"/>
      <c r="AD102" s="3066"/>
      <c r="AE102" s="3067">
        <v>46000</v>
      </c>
      <c r="AF102" s="3112"/>
      <c r="AG102" s="3113">
        <v>23000</v>
      </c>
      <c r="AH102" s="3088">
        <f t="shared" ref="AH102:AH108" si="13">(N102-AG102)/AG102</f>
        <v>0</v>
      </c>
      <c r="AI102" s="3113">
        <v>99</v>
      </c>
    </row>
    <row r="103" spans="1:35" s="3022" customFormat="1" ht="30" customHeight="1">
      <c r="A103" s="3008">
        <v>11</v>
      </c>
      <c r="B103" s="3127" t="s">
        <v>3332</v>
      </c>
      <c r="C103" s="3024" t="s">
        <v>3361</v>
      </c>
      <c r="D103" s="3057"/>
      <c r="E103" s="3059" t="s">
        <v>3168</v>
      </c>
      <c r="F103" s="3131" t="s">
        <v>3362</v>
      </c>
      <c r="G103" s="3085">
        <v>129.93</v>
      </c>
      <c r="H103" s="3111">
        <v>43365</v>
      </c>
      <c r="I103" s="3060">
        <v>43574</v>
      </c>
      <c r="J103" s="3060">
        <f t="shared" si="12"/>
        <v>43365</v>
      </c>
      <c r="K103" s="3061"/>
      <c r="L103" s="3062">
        <f t="shared" si="11"/>
        <v>0.57260273972602738</v>
      </c>
      <c r="M103" s="3011" t="s">
        <v>3363</v>
      </c>
      <c r="N103" s="3085">
        <v>29000</v>
      </c>
      <c r="O103" s="3085"/>
      <c r="P103" s="3085"/>
      <c r="Q103" s="3085"/>
      <c r="R103" s="3085"/>
      <c r="S103" s="3085"/>
      <c r="T103" s="3085"/>
      <c r="U103" s="3085"/>
      <c r="V103" s="3085"/>
      <c r="W103" s="3085"/>
      <c r="X103" s="3085"/>
      <c r="Y103" s="3085"/>
      <c r="Z103" s="3085"/>
      <c r="AA103" s="3064" t="s">
        <v>3209</v>
      </c>
      <c r="AB103" s="3063"/>
      <c r="AC103" s="3065"/>
      <c r="AD103" s="3066"/>
      <c r="AE103" s="3067">
        <v>58000</v>
      </c>
      <c r="AF103" s="3112"/>
      <c r="AG103" s="3113">
        <v>26000</v>
      </c>
      <c r="AH103" s="3021">
        <f t="shared" si="13"/>
        <v>0.11538461538461539</v>
      </c>
      <c r="AI103" s="3113">
        <v>129</v>
      </c>
    </row>
    <row r="104" spans="1:35" s="3022" customFormat="1" ht="30" customHeight="1">
      <c r="A104" s="3008">
        <v>12</v>
      </c>
      <c r="B104" s="3127" t="s">
        <v>3332</v>
      </c>
      <c r="C104" s="3024" t="s">
        <v>3364</v>
      </c>
      <c r="D104" s="3057"/>
      <c r="E104" s="3059" t="s">
        <v>3168</v>
      </c>
      <c r="F104" s="3131" t="s">
        <v>3365</v>
      </c>
      <c r="G104" s="3085">
        <v>134.84</v>
      </c>
      <c r="H104" s="3060">
        <v>43191</v>
      </c>
      <c r="I104" s="3060">
        <v>43555</v>
      </c>
      <c r="J104" s="3060">
        <f t="shared" si="12"/>
        <v>43191</v>
      </c>
      <c r="K104" s="3061"/>
      <c r="L104" s="3062">
        <f t="shared" si="11"/>
        <v>0.99726027397260275</v>
      </c>
      <c r="M104" s="3011" t="s">
        <v>3356</v>
      </c>
      <c r="N104" s="3085">
        <v>29500</v>
      </c>
      <c r="O104" s="3085"/>
      <c r="P104" s="3085"/>
      <c r="Q104" s="3085"/>
      <c r="R104" s="3085"/>
      <c r="S104" s="3085"/>
      <c r="T104" s="3085"/>
      <c r="U104" s="3085"/>
      <c r="V104" s="3085"/>
      <c r="W104" s="3085"/>
      <c r="X104" s="3085"/>
      <c r="Y104" s="3085"/>
      <c r="Z104" s="3085"/>
      <c r="AA104" s="3064" t="s">
        <v>3209</v>
      </c>
      <c r="AB104" s="3063"/>
      <c r="AC104" s="3065"/>
      <c r="AD104" s="3066"/>
      <c r="AE104" s="3067" t="s">
        <v>3277</v>
      </c>
      <c r="AF104" s="3112"/>
      <c r="AG104" s="3113"/>
      <c r="AH104" s="3021"/>
      <c r="AI104" s="3113">
        <v>135</v>
      </c>
    </row>
    <row r="105" spans="1:35" s="3022" customFormat="1" ht="30" customHeight="1">
      <c r="A105" s="3008">
        <v>13</v>
      </c>
      <c r="B105" s="3127" t="s">
        <v>3332</v>
      </c>
      <c r="C105" s="3024" t="s">
        <v>3366</v>
      </c>
      <c r="D105" s="3024"/>
      <c r="E105" s="3059" t="s">
        <v>3168</v>
      </c>
      <c r="F105" s="3132" t="s">
        <v>3365</v>
      </c>
      <c r="G105" s="3085">
        <v>92</v>
      </c>
      <c r="H105" s="3111">
        <v>43471</v>
      </c>
      <c r="I105" s="3111">
        <v>43835</v>
      </c>
      <c r="J105" s="3060">
        <f t="shared" si="12"/>
        <v>43471</v>
      </c>
      <c r="K105" s="3059"/>
      <c r="L105" s="3062">
        <f t="shared" si="11"/>
        <v>0.99726027397260275</v>
      </c>
      <c r="M105" s="3011" t="s">
        <v>3356</v>
      </c>
      <c r="N105" s="3085">
        <v>22000</v>
      </c>
      <c r="O105" s="3085">
        <v>22000</v>
      </c>
      <c r="P105" s="3085"/>
      <c r="Q105" s="3085"/>
      <c r="R105" s="3085"/>
      <c r="S105" s="3085"/>
      <c r="T105" s="3085"/>
      <c r="U105" s="3085"/>
      <c r="V105" s="3085"/>
      <c r="W105" s="3085"/>
      <c r="X105" s="3085"/>
      <c r="Y105" s="3085"/>
      <c r="Z105" s="3085"/>
      <c r="AA105" s="3064" t="s">
        <v>3209</v>
      </c>
      <c r="AB105" s="3063"/>
      <c r="AC105" s="3065"/>
      <c r="AD105" s="3066"/>
      <c r="AE105" s="3067" t="s">
        <v>3367</v>
      </c>
      <c r="AF105" s="3112"/>
      <c r="AG105" s="3113">
        <v>21000</v>
      </c>
      <c r="AH105" s="3021">
        <f t="shared" si="13"/>
        <v>4.7619047619047616E-2</v>
      </c>
      <c r="AI105" s="3113"/>
    </row>
    <row r="106" spans="1:35" s="3022" customFormat="1" ht="30" customHeight="1">
      <c r="A106" s="3008">
        <v>14</v>
      </c>
      <c r="B106" s="3127" t="s">
        <v>3332</v>
      </c>
      <c r="C106" s="3024" t="s">
        <v>3368</v>
      </c>
      <c r="D106" s="3057"/>
      <c r="E106" s="3059" t="s">
        <v>3168</v>
      </c>
      <c r="F106" s="3132" t="s">
        <v>3369</v>
      </c>
      <c r="G106" s="3085">
        <v>188.8</v>
      </c>
      <c r="H106" s="3060">
        <v>43240</v>
      </c>
      <c r="I106" s="3060">
        <v>43604</v>
      </c>
      <c r="J106" s="3060">
        <f t="shared" si="12"/>
        <v>43240</v>
      </c>
      <c r="K106" s="3063"/>
      <c r="L106" s="3062">
        <f t="shared" si="11"/>
        <v>0.99726027397260275</v>
      </c>
      <c r="M106" s="3011" t="s">
        <v>3370</v>
      </c>
      <c r="N106" s="3085">
        <v>39000</v>
      </c>
      <c r="O106" s="3085"/>
      <c r="P106" s="3085"/>
      <c r="Q106" s="3085"/>
      <c r="R106" s="3085"/>
      <c r="S106" s="3085"/>
      <c r="T106" s="3085"/>
      <c r="U106" s="3085"/>
      <c r="V106" s="3085"/>
      <c r="W106" s="3085"/>
      <c r="X106" s="3085"/>
      <c r="Y106" s="3085"/>
      <c r="Z106" s="3085"/>
      <c r="AA106" s="3064" t="s">
        <v>3209</v>
      </c>
      <c r="AB106" s="3063"/>
      <c r="AC106" s="3065"/>
      <c r="AD106" s="3066"/>
      <c r="AE106" s="3067">
        <v>78000</v>
      </c>
      <c r="AF106" s="3112"/>
      <c r="AG106" s="3113"/>
      <c r="AH106" s="3021"/>
      <c r="AI106" s="3113">
        <v>189</v>
      </c>
    </row>
    <row r="107" spans="1:35" s="3022" customFormat="1" ht="30" customHeight="1">
      <c r="A107" s="3008">
        <v>15</v>
      </c>
      <c r="B107" s="3127" t="s">
        <v>3332</v>
      </c>
      <c r="C107" s="3024" t="s">
        <v>3371</v>
      </c>
      <c r="D107" s="3057"/>
      <c r="E107" s="3059" t="s">
        <v>3168</v>
      </c>
      <c r="F107" s="3011" t="s">
        <v>3372</v>
      </c>
      <c r="G107" s="3085">
        <v>204.85</v>
      </c>
      <c r="H107" s="3060">
        <v>43466</v>
      </c>
      <c r="I107" s="3060">
        <v>43769</v>
      </c>
      <c r="J107" s="3060">
        <f t="shared" si="12"/>
        <v>43466</v>
      </c>
      <c r="K107" s="3063"/>
      <c r="L107" s="3062">
        <f t="shared" si="11"/>
        <v>0.83013698630136989</v>
      </c>
      <c r="M107" s="3011"/>
      <c r="N107" s="3085">
        <v>46700</v>
      </c>
      <c r="O107" s="3085"/>
      <c r="P107" s="3085"/>
      <c r="Q107" s="3085"/>
      <c r="R107" s="3085"/>
      <c r="S107" s="3085"/>
      <c r="T107" s="3085"/>
      <c r="U107" s="3085"/>
      <c r="V107" s="3085"/>
      <c r="W107" s="3085"/>
      <c r="X107" s="3085"/>
      <c r="Y107" s="3085"/>
      <c r="Z107" s="3085"/>
      <c r="AA107" s="3064" t="s">
        <v>3209</v>
      </c>
      <c r="AB107" s="3063"/>
      <c r="AC107" s="3065"/>
      <c r="AD107" s="3066"/>
      <c r="AE107" s="3067" t="s">
        <v>3373</v>
      </c>
      <c r="AF107" s="3112"/>
      <c r="AG107" s="3113">
        <v>46200</v>
      </c>
      <c r="AH107" s="3021">
        <f t="shared" si="13"/>
        <v>1.0822510822510822E-2</v>
      </c>
      <c r="AI107" s="3113"/>
    </row>
    <row r="108" spans="1:35" s="3022" customFormat="1" ht="30" customHeight="1">
      <c r="A108" s="3008">
        <v>16</v>
      </c>
      <c r="B108" s="3127" t="s">
        <v>3332</v>
      </c>
      <c r="C108" s="3024" t="s">
        <v>3374</v>
      </c>
      <c r="D108" s="3057"/>
      <c r="E108" s="3059" t="s">
        <v>3168</v>
      </c>
      <c r="F108" s="3011" t="s">
        <v>3375</v>
      </c>
      <c r="G108" s="3085">
        <v>77.680000000000007</v>
      </c>
      <c r="H108" s="3060">
        <v>43463</v>
      </c>
      <c r="I108" s="3060">
        <v>43827</v>
      </c>
      <c r="J108" s="3060">
        <f t="shared" si="12"/>
        <v>43463</v>
      </c>
      <c r="K108" s="3133"/>
      <c r="L108" s="3062">
        <f t="shared" si="11"/>
        <v>0.99726027397260275</v>
      </c>
      <c r="M108" s="3011" t="s">
        <v>3356</v>
      </c>
      <c r="N108" s="3085">
        <v>20000</v>
      </c>
      <c r="O108" s="3085"/>
      <c r="P108" s="3085"/>
      <c r="Q108" s="3085"/>
      <c r="R108" s="3085"/>
      <c r="S108" s="3085"/>
      <c r="T108" s="3085"/>
      <c r="U108" s="3085"/>
      <c r="V108" s="3085"/>
      <c r="W108" s="3085"/>
      <c r="X108" s="3085"/>
      <c r="Y108" s="3085"/>
      <c r="Z108" s="3085"/>
      <c r="AA108" s="3064" t="s">
        <v>3209</v>
      </c>
      <c r="AB108" s="3063"/>
      <c r="AC108" s="3065"/>
      <c r="AD108" s="3066"/>
      <c r="AE108" s="3067">
        <v>40000</v>
      </c>
      <c r="AF108" s="3112"/>
      <c r="AG108" s="3113">
        <v>19700</v>
      </c>
      <c r="AH108" s="3021">
        <f t="shared" si="13"/>
        <v>1.5228426395939087E-2</v>
      </c>
      <c r="AI108" s="3113"/>
    </row>
    <row r="109" spans="1:35" s="3022" customFormat="1" ht="30" customHeight="1">
      <c r="A109" s="3008">
        <v>17</v>
      </c>
      <c r="B109" s="3127" t="s">
        <v>3332</v>
      </c>
      <c r="C109" s="3024" t="s">
        <v>3376</v>
      </c>
      <c r="D109" s="3057"/>
      <c r="E109" s="3059" t="s">
        <v>3168</v>
      </c>
      <c r="F109" s="3131" t="s">
        <v>3169</v>
      </c>
      <c r="G109" s="3085">
        <v>227.82</v>
      </c>
      <c r="H109" s="3060">
        <v>42988</v>
      </c>
      <c r="I109" s="3060">
        <v>44083</v>
      </c>
      <c r="J109" s="3060">
        <f t="shared" si="12"/>
        <v>42988</v>
      </c>
      <c r="K109" s="3063"/>
      <c r="L109" s="3062">
        <f t="shared" si="11"/>
        <v>3</v>
      </c>
      <c r="M109" s="3011" t="s">
        <v>3370</v>
      </c>
      <c r="N109" s="3085">
        <v>42000</v>
      </c>
      <c r="O109" s="3085">
        <v>42000</v>
      </c>
      <c r="P109" s="3085"/>
      <c r="Q109" s="3085"/>
      <c r="R109" s="3085"/>
      <c r="S109" s="3085"/>
      <c r="T109" s="3085"/>
      <c r="U109" s="3085"/>
      <c r="V109" s="3085"/>
      <c r="W109" s="3085"/>
      <c r="X109" s="3085"/>
      <c r="Y109" s="3085"/>
      <c r="Z109" s="3085"/>
      <c r="AA109" s="3064" t="s">
        <v>3171</v>
      </c>
      <c r="AB109" s="3063"/>
      <c r="AC109" s="3065"/>
      <c r="AD109" s="3066"/>
      <c r="AE109" s="3067"/>
      <c r="AF109" s="3112"/>
      <c r="AG109" s="3113">
        <v>39500</v>
      </c>
      <c r="AH109" s="3021">
        <f>(N109-AG109)/AG109</f>
        <v>6.3291139240506333E-2</v>
      </c>
      <c r="AI109" s="3113"/>
    </row>
    <row r="110" spans="1:35" s="3022" customFormat="1" ht="30" customHeight="1">
      <c r="A110" s="3008">
        <v>18</v>
      </c>
      <c r="B110" s="3127" t="s">
        <v>3332</v>
      </c>
      <c r="C110" s="3024" t="s">
        <v>3377</v>
      </c>
      <c r="D110" s="3057"/>
      <c r="E110" s="3059" t="s">
        <v>3168</v>
      </c>
      <c r="F110" s="3011" t="s">
        <v>3378</v>
      </c>
      <c r="G110" s="3085">
        <v>129.33000000000001</v>
      </c>
      <c r="H110" s="3060" t="s">
        <v>3379</v>
      </c>
      <c r="I110" s="3111" t="s">
        <v>3380</v>
      </c>
      <c r="J110" s="3060" t="str">
        <f t="shared" si="12"/>
        <v>2018/04/07</v>
      </c>
      <c r="K110" s="3063"/>
      <c r="L110" s="3062">
        <f t="shared" si="11"/>
        <v>0.99726027397260275</v>
      </c>
      <c r="M110" s="3011"/>
      <c r="N110" s="3085">
        <v>29800</v>
      </c>
      <c r="O110" s="3085"/>
      <c r="P110" s="3085"/>
      <c r="Q110" s="3085"/>
      <c r="R110" s="3085"/>
      <c r="S110" s="3085"/>
      <c r="T110" s="3085"/>
      <c r="U110" s="3085"/>
      <c r="V110" s="3085"/>
      <c r="W110" s="3085"/>
      <c r="X110" s="3085"/>
      <c r="Y110" s="3085"/>
      <c r="Z110" s="3085"/>
      <c r="AA110" s="3064" t="s">
        <v>3209</v>
      </c>
      <c r="AB110" s="3063"/>
      <c r="AC110" s="3065"/>
      <c r="AD110" s="3066"/>
      <c r="AE110" s="3067">
        <v>59600</v>
      </c>
      <c r="AF110" s="3112"/>
      <c r="AG110" s="3113">
        <v>27800</v>
      </c>
      <c r="AH110" s="3021">
        <f>(N110-AG110)/AG110</f>
        <v>7.1942446043165464E-2</v>
      </c>
      <c r="AI110" s="3113"/>
    </row>
    <row r="111" spans="1:35" s="3022" customFormat="1" ht="30" customHeight="1">
      <c r="A111" s="3008">
        <v>19</v>
      </c>
      <c r="B111" s="3127" t="s">
        <v>3332</v>
      </c>
      <c r="C111" s="3024" t="s">
        <v>3381</v>
      </c>
      <c r="D111" s="3057"/>
      <c r="E111" s="3059" t="s">
        <v>3168</v>
      </c>
      <c r="F111" s="3132" t="s">
        <v>3382</v>
      </c>
      <c r="G111" s="3085">
        <v>134.84</v>
      </c>
      <c r="H111" s="3060" t="s">
        <v>3383</v>
      </c>
      <c r="I111" s="3060" t="s">
        <v>3384</v>
      </c>
      <c r="J111" s="3060" t="str">
        <f t="shared" si="12"/>
        <v>2017/08/01</v>
      </c>
      <c r="K111" s="3063"/>
      <c r="L111" s="3062">
        <f t="shared" si="11"/>
        <v>1.9972602739726026</v>
      </c>
      <c r="M111" s="3011" t="s">
        <v>3385</v>
      </c>
      <c r="N111" s="3085">
        <v>30500</v>
      </c>
      <c r="O111" s="3085"/>
      <c r="P111" s="3085"/>
      <c r="Q111" s="3085"/>
      <c r="R111" s="3085"/>
      <c r="S111" s="3085"/>
      <c r="T111" s="3085"/>
      <c r="U111" s="3085"/>
      <c r="V111" s="3085"/>
      <c r="W111" s="3085"/>
      <c r="X111" s="3085"/>
      <c r="Y111" s="3085"/>
      <c r="Z111" s="3085"/>
      <c r="AA111" s="3064" t="s">
        <v>3171</v>
      </c>
      <c r="AB111" s="3063"/>
      <c r="AC111" s="3065"/>
      <c r="AD111" s="3066"/>
      <c r="AE111" s="3067">
        <v>61000</v>
      </c>
      <c r="AF111" s="3112"/>
      <c r="AG111" s="3113"/>
      <c r="AH111" s="3021"/>
      <c r="AI111" s="3113"/>
    </row>
    <row r="112" spans="1:35" s="3022" customFormat="1" ht="30" customHeight="1">
      <c r="A112" s="3008">
        <v>20</v>
      </c>
      <c r="B112" s="3127" t="s">
        <v>3332</v>
      </c>
      <c r="C112" s="3024" t="s">
        <v>3386</v>
      </c>
      <c r="D112" s="3057"/>
      <c r="E112" s="3059" t="s">
        <v>3168</v>
      </c>
      <c r="F112" s="3011" t="s">
        <v>3387</v>
      </c>
      <c r="G112" s="3085">
        <v>92</v>
      </c>
      <c r="H112" s="3060" t="s">
        <v>3388</v>
      </c>
      <c r="I112" s="3060" t="s">
        <v>3389</v>
      </c>
      <c r="J112" s="3060" t="str">
        <f t="shared" si="12"/>
        <v>2018/04/01</v>
      </c>
      <c r="K112" s="3063"/>
      <c r="L112" s="3062">
        <f t="shared" si="11"/>
        <v>0.99726027397260275</v>
      </c>
      <c r="M112" s="3011" t="s">
        <v>3390</v>
      </c>
      <c r="N112" s="3085">
        <v>22000</v>
      </c>
      <c r="O112" s="3085"/>
      <c r="P112" s="3085"/>
      <c r="Q112" s="3085"/>
      <c r="R112" s="3085"/>
      <c r="S112" s="3085"/>
      <c r="T112" s="3085"/>
      <c r="U112" s="3085"/>
      <c r="V112" s="3085"/>
      <c r="W112" s="3085"/>
      <c r="X112" s="3085"/>
      <c r="Y112" s="3085"/>
      <c r="Z112" s="3085"/>
      <c r="AA112" s="3064" t="s">
        <v>3209</v>
      </c>
      <c r="AB112" s="3063"/>
      <c r="AC112" s="3065"/>
      <c r="AD112" s="3066"/>
      <c r="AE112" s="3067">
        <v>44000</v>
      </c>
      <c r="AF112" s="3112"/>
      <c r="AG112" s="3113">
        <v>20000</v>
      </c>
      <c r="AH112" s="3021">
        <f>(N112-AG112)/AG112</f>
        <v>0.1</v>
      </c>
      <c r="AI112" s="3113"/>
    </row>
    <row r="113" spans="1:35" s="3022" customFormat="1" ht="30" customHeight="1">
      <c r="A113" s="3008">
        <v>21</v>
      </c>
      <c r="B113" s="3127" t="s">
        <v>3332</v>
      </c>
      <c r="C113" s="3024" t="s">
        <v>3391</v>
      </c>
      <c r="D113" s="3057"/>
      <c r="E113" s="3059" t="s">
        <v>3168</v>
      </c>
      <c r="F113" s="3011" t="s">
        <v>3392</v>
      </c>
      <c r="G113" s="3085">
        <v>188.8</v>
      </c>
      <c r="H113" s="3060">
        <v>43435</v>
      </c>
      <c r="I113" s="3060" t="s">
        <v>3393</v>
      </c>
      <c r="J113" s="3060">
        <f t="shared" si="12"/>
        <v>43435</v>
      </c>
      <c r="K113" s="3063"/>
      <c r="L113" s="3062">
        <f t="shared" si="11"/>
        <v>0.57808219178082187</v>
      </c>
      <c r="M113" s="3011" t="s">
        <v>3394</v>
      </c>
      <c r="N113" s="3085">
        <v>40000</v>
      </c>
      <c r="O113" s="3085"/>
      <c r="P113" s="3085"/>
      <c r="Q113" s="3085"/>
      <c r="R113" s="3085"/>
      <c r="S113" s="3085"/>
      <c r="T113" s="3085"/>
      <c r="U113" s="3085"/>
      <c r="V113" s="3085"/>
      <c r="W113" s="3085"/>
      <c r="X113" s="3085"/>
      <c r="Y113" s="3085"/>
      <c r="Z113" s="3085"/>
      <c r="AA113" s="3064" t="s">
        <v>3209</v>
      </c>
      <c r="AB113" s="3063"/>
      <c r="AC113" s="3065"/>
      <c r="AD113" s="3066"/>
      <c r="AE113" s="3067" t="s">
        <v>3346</v>
      </c>
      <c r="AF113" s="3112"/>
      <c r="AG113" s="3113">
        <v>34500</v>
      </c>
      <c r="AH113" s="3021">
        <f>(N113-AG113)/AG113</f>
        <v>0.15942028985507245</v>
      </c>
      <c r="AI113" s="3113"/>
    </row>
    <row r="114" spans="1:35" s="3137" customFormat="1" ht="30" customHeight="1">
      <c r="A114" s="3096">
        <v>22</v>
      </c>
      <c r="B114" s="3134" t="s">
        <v>3332</v>
      </c>
      <c r="C114" s="3118" t="s">
        <v>3395</v>
      </c>
      <c r="D114" s="3096"/>
      <c r="E114" s="3097" t="s">
        <v>3168</v>
      </c>
      <c r="F114" s="3119" t="s">
        <v>3396</v>
      </c>
      <c r="G114" s="3102">
        <v>204.85</v>
      </c>
      <c r="H114" s="3099" t="s">
        <v>3397</v>
      </c>
      <c r="I114" s="3099" t="s">
        <v>3398</v>
      </c>
      <c r="J114" s="3099" t="str">
        <f t="shared" si="12"/>
        <v>2019/03/01</v>
      </c>
      <c r="K114" s="3100"/>
      <c r="L114" s="3100">
        <f t="shared" si="11"/>
        <v>0.83561643835616439</v>
      </c>
      <c r="M114" s="3119"/>
      <c r="N114" s="3102">
        <v>46200</v>
      </c>
      <c r="O114" s="3102"/>
      <c r="P114" s="3102"/>
      <c r="Q114" s="3102"/>
      <c r="R114" s="3102"/>
      <c r="S114" s="3102"/>
      <c r="T114" s="3102"/>
      <c r="U114" s="3102"/>
      <c r="V114" s="3102"/>
      <c r="W114" s="3102"/>
      <c r="X114" s="3102"/>
      <c r="Y114" s="3102"/>
      <c r="Z114" s="3102"/>
      <c r="AA114" s="3103"/>
      <c r="AB114" s="3100"/>
      <c r="AC114" s="3135"/>
      <c r="AD114" s="3104"/>
      <c r="AE114" s="3136" t="s">
        <v>3346</v>
      </c>
      <c r="AF114" s="3105"/>
      <c r="AG114" s="3106"/>
      <c r="AH114" s="3107"/>
      <c r="AI114" s="3106"/>
    </row>
    <row r="115" spans="1:35" s="3138" customFormat="1" ht="30" customHeight="1">
      <c r="A115" s="3008">
        <v>23</v>
      </c>
      <c r="B115" s="3127" t="s">
        <v>3332</v>
      </c>
      <c r="C115" s="3024" t="s">
        <v>3399</v>
      </c>
      <c r="D115" s="3057"/>
      <c r="E115" s="3059" t="s">
        <v>3168</v>
      </c>
      <c r="F115" s="3011" t="s">
        <v>3400</v>
      </c>
      <c r="G115" s="3085">
        <v>77.680000000000007</v>
      </c>
      <c r="H115" s="3060" t="s">
        <v>3401</v>
      </c>
      <c r="I115" s="3060" t="s">
        <v>3402</v>
      </c>
      <c r="J115" s="3060" t="str">
        <f t="shared" si="12"/>
        <v>2018/07/14</v>
      </c>
      <c r="K115" s="3063"/>
      <c r="L115" s="3062">
        <f t="shared" si="11"/>
        <v>0.99726027397260275</v>
      </c>
      <c r="M115" s="3011" t="s">
        <v>3403</v>
      </c>
      <c r="N115" s="3085">
        <v>20500</v>
      </c>
      <c r="O115" s="3085"/>
      <c r="P115" s="3085"/>
      <c r="Q115" s="3085"/>
      <c r="R115" s="3085"/>
      <c r="S115" s="3085"/>
      <c r="T115" s="3085"/>
      <c r="U115" s="3085"/>
      <c r="V115" s="3085"/>
      <c r="W115" s="3085"/>
      <c r="X115" s="3085"/>
      <c r="Y115" s="3085"/>
      <c r="Z115" s="3085"/>
      <c r="AA115" s="3064" t="s">
        <v>3209</v>
      </c>
      <c r="AB115" s="3063"/>
      <c r="AC115" s="3065"/>
      <c r="AD115" s="3066"/>
      <c r="AE115" s="3067">
        <v>41000</v>
      </c>
      <c r="AF115" s="3112"/>
      <c r="AG115" s="3113">
        <v>27000</v>
      </c>
      <c r="AH115" s="3021">
        <f>(N115-AG115)/AG115</f>
        <v>-0.24074074074074073</v>
      </c>
      <c r="AI115" s="3113">
        <v>86</v>
      </c>
    </row>
    <row r="116" spans="1:35" s="3129" customFormat="1" ht="30" customHeight="1">
      <c r="A116" s="3008">
        <v>24</v>
      </c>
      <c r="B116" s="3127" t="s">
        <v>3332</v>
      </c>
      <c r="C116" s="3024" t="s">
        <v>3404</v>
      </c>
      <c r="D116" s="3057"/>
      <c r="E116" s="3059" t="s">
        <v>3168</v>
      </c>
      <c r="F116" s="3011" t="s">
        <v>3169</v>
      </c>
      <c r="G116" s="3085">
        <v>227.82</v>
      </c>
      <c r="H116" s="3060" t="s">
        <v>3405</v>
      </c>
      <c r="I116" s="3060" t="s">
        <v>3406</v>
      </c>
      <c r="J116" s="3060" t="str">
        <f t="shared" si="12"/>
        <v>2017/10/20</v>
      </c>
      <c r="K116" s="3063"/>
      <c r="L116" s="3062">
        <f t="shared" si="11"/>
        <v>3</v>
      </c>
      <c r="M116" s="3011" t="s">
        <v>3407</v>
      </c>
      <c r="N116" s="3085">
        <v>42000</v>
      </c>
      <c r="O116" s="3085">
        <v>42000</v>
      </c>
      <c r="P116" s="3085"/>
      <c r="Q116" s="3085"/>
      <c r="R116" s="3085"/>
      <c r="S116" s="3085"/>
      <c r="T116" s="3085"/>
      <c r="U116" s="3085"/>
      <c r="V116" s="3085"/>
      <c r="W116" s="3085"/>
      <c r="X116" s="3085"/>
      <c r="Y116" s="3085"/>
      <c r="Z116" s="3085"/>
      <c r="AA116" s="3064" t="s">
        <v>3171</v>
      </c>
      <c r="AB116" s="3063"/>
      <c r="AC116" s="3065"/>
      <c r="AD116" s="3066"/>
      <c r="AE116" s="3067"/>
      <c r="AF116" s="3112"/>
      <c r="AG116" s="3113">
        <v>39500</v>
      </c>
      <c r="AH116" s="3021">
        <f>(N116-AG116)/AG116</f>
        <v>6.3291139240506333E-2</v>
      </c>
      <c r="AI116" s="3113"/>
    </row>
    <row r="117" spans="1:35" s="3022" customFormat="1" ht="30" customHeight="1">
      <c r="A117" s="3008">
        <v>25</v>
      </c>
      <c r="B117" s="3127" t="s">
        <v>3332</v>
      </c>
      <c r="C117" s="3024" t="s">
        <v>3408</v>
      </c>
      <c r="D117" s="3057"/>
      <c r="E117" s="3059" t="s">
        <v>3168</v>
      </c>
      <c r="F117" s="3011" t="s">
        <v>3409</v>
      </c>
      <c r="G117" s="3085">
        <v>129.93</v>
      </c>
      <c r="H117" s="3060" t="s">
        <v>3410</v>
      </c>
      <c r="I117" s="3060" t="s">
        <v>3411</v>
      </c>
      <c r="J117" s="3060" t="str">
        <f t="shared" si="12"/>
        <v>2019/03/03</v>
      </c>
      <c r="K117" s="3063"/>
      <c r="L117" s="3062">
        <f t="shared" si="11"/>
        <v>1</v>
      </c>
      <c r="M117" s="3011"/>
      <c r="N117" s="3085">
        <v>31000</v>
      </c>
      <c r="O117" s="3085">
        <v>31000</v>
      </c>
      <c r="P117" s="3085"/>
      <c r="Q117" s="3085"/>
      <c r="R117" s="3085"/>
      <c r="S117" s="3085"/>
      <c r="T117" s="3085"/>
      <c r="U117" s="3085"/>
      <c r="V117" s="3085"/>
      <c r="W117" s="3085"/>
      <c r="X117" s="3085"/>
      <c r="Y117" s="3085"/>
      <c r="Z117" s="3085"/>
      <c r="AA117" s="3064" t="s">
        <v>3209</v>
      </c>
      <c r="AB117" s="3063"/>
      <c r="AC117" s="3065"/>
      <c r="AD117" s="3066"/>
      <c r="AE117" s="3067">
        <v>62000</v>
      </c>
      <c r="AF117" s="3112"/>
      <c r="AG117" s="3113">
        <v>31000</v>
      </c>
      <c r="AH117" s="3088">
        <f>(N117-AG117)/AG117</f>
        <v>0</v>
      </c>
      <c r="AI117" s="3113">
        <v>130</v>
      </c>
    </row>
    <row r="118" spans="1:35" s="3022" customFormat="1" ht="30" customHeight="1">
      <c r="A118" s="3028">
        <v>26</v>
      </c>
      <c r="B118" s="3074" t="s">
        <v>3332</v>
      </c>
      <c r="C118" s="3120" t="s">
        <v>3412</v>
      </c>
      <c r="D118" s="3028"/>
      <c r="E118" s="3030" t="s">
        <v>3185</v>
      </c>
      <c r="F118" s="3031"/>
      <c r="G118" s="3032">
        <v>135</v>
      </c>
      <c r="H118" s="3033"/>
      <c r="I118" s="3033"/>
      <c r="J118" s="3033"/>
      <c r="K118" s="3039"/>
      <c r="L118" s="3035">
        <f t="shared" si="11"/>
        <v>0</v>
      </c>
      <c r="M118" s="3031"/>
      <c r="N118" s="3032"/>
      <c r="O118" s="3032"/>
      <c r="P118" s="3032"/>
      <c r="Q118" s="3032"/>
      <c r="R118" s="3032"/>
      <c r="S118" s="3032"/>
      <c r="T118" s="3032"/>
      <c r="U118" s="3032"/>
      <c r="V118" s="3032"/>
      <c r="W118" s="3032"/>
      <c r="X118" s="3032"/>
      <c r="Y118" s="3032"/>
      <c r="Z118" s="3032"/>
      <c r="AA118" s="3016"/>
      <c r="AB118" s="3039"/>
      <c r="AC118" s="3139"/>
      <c r="AD118" s="3117"/>
      <c r="AE118" s="3140"/>
      <c r="AF118" s="3023"/>
      <c r="AG118" s="3020"/>
      <c r="AH118" s="3021"/>
      <c r="AI118" s="3020"/>
    </row>
    <row r="119" spans="1:35" s="3022" customFormat="1" ht="30" customHeight="1">
      <c r="A119" s="3008">
        <v>27</v>
      </c>
      <c r="B119" s="3127" t="s">
        <v>3332</v>
      </c>
      <c r="C119" s="3024" t="s">
        <v>3413</v>
      </c>
      <c r="D119" s="3057"/>
      <c r="E119" s="3059" t="s">
        <v>3168</v>
      </c>
      <c r="F119" s="3011" t="s">
        <v>3414</v>
      </c>
      <c r="G119" s="3085">
        <v>92</v>
      </c>
      <c r="H119" s="3060" t="s">
        <v>3415</v>
      </c>
      <c r="I119" s="3060" t="s">
        <v>3393</v>
      </c>
      <c r="J119" s="3060" t="str">
        <f t="shared" ref="J119:J138" si="14">H119</f>
        <v>2018/07/01</v>
      </c>
      <c r="K119" s="3063"/>
      <c r="L119" s="3062">
        <f t="shared" si="11"/>
        <v>0.99726027397260275</v>
      </c>
      <c r="M119" s="3011" t="s">
        <v>3416</v>
      </c>
      <c r="N119" s="3085">
        <v>21800</v>
      </c>
      <c r="O119" s="3085"/>
      <c r="P119" s="3085"/>
      <c r="Q119" s="3085"/>
      <c r="R119" s="3085"/>
      <c r="S119" s="3085"/>
      <c r="T119" s="3085"/>
      <c r="U119" s="3085"/>
      <c r="V119" s="3085"/>
      <c r="W119" s="3085"/>
      <c r="X119" s="3085"/>
      <c r="Y119" s="3085"/>
      <c r="Z119" s="3085"/>
      <c r="AA119" s="3064"/>
      <c r="AB119" s="3063"/>
      <c r="AC119" s="3065"/>
      <c r="AD119" s="3066"/>
      <c r="AE119" s="3067">
        <v>43600</v>
      </c>
      <c r="AF119" s="3112"/>
      <c r="AG119" s="3113"/>
      <c r="AH119" s="3088"/>
      <c r="AI119" s="3113"/>
    </row>
    <row r="120" spans="1:35" s="3022" customFormat="1" ht="30" customHeight="1">
      <c r="A120" s="3008">
        <v>28</v>
      </c>
      <c r="B120" s="3127" t="s">
        <v>3332</v>
      </c>
      <c r="C120" s="3024" t="s">
        <v>3417</v>
      </c>
      <c r="D120" s="3057"/>
      <c r="E120" s="3059" t="s">
        <v>3168</v>
      </c>
      <c r="F120" s="3011" t="s">
        <v>3334</v>
      </c>
      <c r="G120" s="3085">
        <v>188.8</v>
      </c>
      <c r="H120" s="3060" t="s">
        <v>3418</v>
      </c>
      <c r="I120" s="3060" t="s">
        <v>3419</v>
      </c>
      <c r="J120" s="3060" t="str">
        <f t="shared" si="14"/>
        <v>2019/01/01</v>
      </c>
      <c r="K120" s="3063"/>
      <c r="L120" s="3062">
        <f t="shared" si="11"/>
        <v>1.2465753424657535</v>
      </c>
      <c r="M120" s="3011" t="s">
        <v>3420</v>
      </c>
      <c r="N120" s="3085">
        <v>44600</v>
      </c>
      <c r="O120" s="3085">
        <v>44600</v>
      </c>
      <c r="P120" s="3085"/>
      <c r="Q120" s="3085"/>
      <c r="R120" s="3085"/>
      <c r="S120" s="3085"/>
      <c r="T120" s="3085"/>
      <c r="U120" s="3085"/>
      <c r="V120" s="3085"/>
      <c r="W120" s="3085"/>
      <c r="X120" s="3085"/>
      <c r="Y120" s="3085"/>
      <c r="Z120" s="3085"/>
      <c r="AA120" s="3064" t="s">
        <v>3209</v>
      </c>
      <c r="AB120" s="3063"/>
      <c r="AC120" s="3065"/>
      <c r="AD120" s="3066"/>
      <c r="AE120" s="3067" t="s">
        <v>3346</v>
      </c>
      <c r="AF120" s="3112"/>
      <c r="AG120" s="3113">
        <v>45000</v>
      </c>
      <c r="AH120" s="3021">
        <f>(N120-AG120)/AG120</f>
        <v>-8.8888888888888889E-3</v>
      </c>
      <c r="AI120" s="3113">
        <v>202</v>
      </c>
    </row>
    <row r="121" spans="1:35" s="3022" customFormat="1" ht="30" customHeight="1">
      <c r="A121" s="3565">
        <v>29</v>
      </c>
      <c r="B121" s="3567" t="s">
        <v>3332</v>
      </c>
      <c r="C121" s="3569" t="s">
        <v>3421</v>
      </c>
      <c r="D121" s="3096"/>
      <c r="E121" s="3571" t="s">
        <v>3168</v>
      </c>
      <c r="F121" s="3573" t="s">
        <v>3422</v>
      </c>
      <c r="G121" s="3575">
        <v>204.85</v>
      </c>
      <c r="H121" s="3099" t="s">
        <v>3423</v>
      </c>
      <c r="I121" s="3099" t="s">
        <v>3424</v>
      </c>
      <c r="J121" s="3099" t="str">
        <f t="shared" si="14"/>
        <v>2018/03/18</v>
      </c>
      <c r="K121" s="3100"/>
      <c r="L121" s="3101">
        <f t="shared" si="11"/>
        <v>0.99726027397260275</v>
      </c>
      <c r="M121" s="3119" t="s">
        <v>3425</v>
      </c>
      <c r="N121" s="3102">
        <v>44000</v>
      </c>
      <c r="O121" s="3102"/>
      <c r="P121" s="3102"/>
      <c r="Q121" s="3102"/>
      <c r="R121" s="3102"/>
      <c r="S121" s="3102"/>
      <c r="T121" s="3102"/>
      <c r="U121" s="3102"/>
      <c r="V121" s="3102"/>
      <c r="W121" s="3102"/>
      <c r="X121" s="3102"/>
      <c r="Y121" s="3102"/>
      <c r="Z121" s="3102"/>
      <c r="AA121" s="3103" t="s">
        <v>3209</v>
      </c>
      <c r="AB121" s="3100"/>
      <c r="AC121" s="3135"/>
      <c r="AD121" s="3104"/>
      <c r="AE121" s="3136">
        <v>88000</v>
      </c>
      <c r="AF121" s="3105"/>
      <c r="AG121" s="3106"/>
      <c r="AH121" s="3021"/>
      <c r="AI121" s="3106">
        <v>205</v>
      </c>
    </row>
    <row r="122" spans="1:35" s="3022" customFormat="1" ht="30" customHeight="1">
      <c r="A122" s="3566"/>
      <c r="B122" s="3568"/>
      <c r="C122" s="3570"/>
      <c r="D122" s="3096"/>
      <c r="E122" s="3572"/>
      <c r="F122" s="3574"/>
      <c r="G122" s="3576"/>
      <c r="H122" s="3099" t="s">
        <v>3426</v>
      </c>
      <c r="I122" s="3099" t="s">
        <v>3427</v>
      </c>
      <c r="J122" s="3099" t="str">
        <f t="shared" si="14"/>
        <v>2019/03/18</v>
      </c>
      <c r="K122" s="3100"/>
      <c r="L122" s="3101">
        <f t="shared" si="11"/>
        <v>1</v>
      </c>
      <c r="M122" s="3119"/>
      <c r="N122" s="3102">
        <v>44000</v>
      </c>
      <c r="O122" s="3102">
        <v>44000</v>
      </c>
      <c r="P122" s="3102"/>
      <c r="Q122" s="3102"/>
      <c r="R122" s="3102"/>
      <c r="S122" s="3102"/>
      <c r="T122" s="3102"/>
      <c r="U122" s="3102"/>
      <c r="V122" s="3102"/>
      <c r="W122" s="3102"/>
      <c r="X122" s="3102"/>
      <c r="Y122" s="3102"/>
      <c r="Z122" s="3102"/>
      <c r="AA122" s="3103"/>
      <c r="AB122" s="3100"/>
      <c r="AC122" s="3135"/>
      <c r="AD122" s="3104"/>
      <c r="AE122" s="3136">
        <v>88000</v>
      </c>
      <c r="AF122" s="3105"/>
      <c r="AG122" s="3102">
        <v>44000</v>
      </c>
      <c r="AH122" s="3021">
        <f t="shared" ref="AH122:AH136" si="15">(N122-AG122)/AG122</f>
        <v>0</v>
      </c>
      <c r="AI122" s="3106"/>
    </row>
    <row r="123" spans="1:35" s="3022" customFormat="1" ht="30" customHeight="1">
      <c r="A123" s="3008">
        <v>30</v>
      </c>
      <c r="B123" s="3127" t="s">
        <v>3332</v>
      </c>
      <c r="C123" s="3024" t="s">
        <v>3428</v>
      </c>
      <c r="D123" s="3057"/>
      <c r="E123" s="3059" t="s">
        <v>3168</v>
      </c>
      <c r="F123" s="3011" t="s">
        <v>3429</v>
      </c>
      <c r="G123" s="3085">
        <v>77.680000000000007</v>
      </c>
      <c r="H123" s="3060" t="s">
        <v>3430</v>
      </c>
      <c r="I123" s="3060" t="s">
        <v>3431</v>
      </c>
      <c r="J123" s="3060" t="str">
        <f t="shared" si="14"/>
        <v>2019/01/11</v>
      </c>
      <c r="K123" s="3063"/>
      <c r="L123" s="3062">
        <f t="shared" si="11"/>
        <v>0.99726027397260275</v>
      </c>
      <c r="M123" s="3011" t="s">
        <v>3432</v>
      </c>
      <c r="N123" s="3085">
        <v>20000</v>
      </c>
      <c r="O123" s="3085">
        <v>20000</v>
      </c>
      <c r="P123" s="3085"/>
      <c r="Q123" s="3085"/>
      <c r="R123" s="3085"/>
      <c r="S123" s="3085"/>
      <c r="T123" s="3085"/>
      <c r="U123" s="3085"/>
      <c r="V123" s="3085"/>
      <c r="W123" s="3085"/>
      <c r="X123" s="3085"/>
      <c r="Y123" s="3085"/>
      <c r="Z123" s="3085"/>
      <c r="AA123" s="3064" t="s">
        <v>3209</v>
      </c>
      <c r="AB123" s="3063"/>
      <c r="AC123" s="3065"/>
      <c r="AD123" s="3066"/>
      <c r="AE123" s="3067">
        <v>40000</v>
      </c>
      <c r="AF123" s="3112"/>
      <c r="AG123" s="3113">
        <v>19200</v>
      </c>
      <c r="AH123" s="3021">
        <f t="shared" si="15"/>
        <v>4.1666666666666664E-2</v>
      </c>
      <c r="AI123" s="3113">
        <v>78</v>
      </c>
    </row>
    <row r="124" spans="1:35" s="3022" customFormat="1" ht="30" customHeight="1">
      <c r="A124" s="3008">
        <v>31</v>
      </c>
      <c r="B124" s="3127" t="s">
        <v>3332</v>
      </c>
      <c r="C124" s="3024" t="s">
        <v>3433</v>
      </c>
      <c r="D124" s="3057"/>
      <c r="E124" s="3059" t="s">
        <v>3168</v>
      </c>
      <c r="F124" s="3011" t="s">
        <v>3169</v>
      </c>
      <c r="G124" s="3085">
        <v>227.82</v>
      </c>
      <c r="H124" s="3060" t="s">
        <v>3434</v>
      </c>
      <c r="I124" s="3060" t="s">
        <v>3435</v>
      </c>
      <c r="J124" s="3060" t="str">
        <f t="shared" si="14"/>
        <v>2017/09/20</v>
      </c>
      <c r="K124" s="3063"/>
      <c r="L124" s="3062">
        <f t="shared" si="11"/>
        <v>3</v>
      </c>
      <c r="M124" s="3011" t="s">
        <v>3436</v>
      </c>
      <c r="N124" s="3085">
        <v>42000</v>
      </c>
      <c r="O124" s="3085">
        <v>42000</v>
      </c>
      <c r="P124" s="3085"/>
      <c r="Q124" s="3085"/>
      <c r="R124" s="3085"/>
      <c r="S124" s="3085"/>
      <c r="T124" s="3085"/>
      <c r="U124" s="3085"/>
      <c r="V124" s="3085"/>
      <c r="W124" s="3085"/>
      <c r="X124" s="3085"/>
      <c r="Y124" s="3085"/>
      <c r="Z124" s="3085"/>
      <c r="AA124" s="3064" t="s">
        <v>3171</v>
      </c>
      <c r="AB124" s="3063"/>
      <c r="AC124" s="3065"/>
      <c r="AD124" s="3066"/>
      <c r="AE124" s="3067"/>
      <c r="AF124" s="3112"/>
      <c r="AG124" s="3113">
        <v>39500</v>
      </c>
      <c r="AH124" s="3021">
        <f t="shared" si="15"/>
        <v>6.3291139240506333E-2</v>
      </c>
      <c r="AI124" s="3113"/>
    </row>
    <row r="125" spans="1:35" s="3022" customFormat="1" ht="30" customHeight="1">
      <c r="A125" s="3008">
        <v>32</v>
      </c>
      <c r="B125" s="3127" t="s">
        <v>3332</v>
      </c>
      <c r="C125" s="3024" t="s">
        <v>3437</v>
      </c>
      <c r="D125" s="3057"/>
      <c r="E125" s="3059" t="s">
        <v>3168</v>
      </c>
      <c r="F125" s="3011" t="s">
        <v>3438</v>
      </c>
      <c r="G125" s="3085">
        <v>131.06</v>
      </c>
      <c r="H125" s="3060" t="s">
        <v>3439</v>
      </c>
      <c r="I125" s="3060" t="s">
        <v>3440</v>
      </c>
      <c r="J125" s="3060" t="str">
        <f t="shared" si="14"/>
        <v>2019/01/13</v>
      </c>
      <c r="K125" s="3063"/>
      <c r="L125" s="3062">
        <f t="shared" si="11"/>
        <v>0.24931506849315069</v>
      </c>
      <c r="M125" s="3011" t="s">
        <v>3441</v>
      </c>
      <c r="N125" s="3085">
        <v>31000</v>
      </c>
      <c r="O125" s="3085"/>
      <c r="P125" s="3085"/>
      <c r="Q125" s="3085"/>
      <c r="R125" s="3085"/>
      <c r="S125" s="3085"/>
      <c r="T125" s="3085"/>
      <c r="U125" s="3085"/>
      <c r="V125" s="3085"/>
      <c r="W125" s="3085"/>
      <c r="X125" s="3085"/>
      <c r="Y125" s="3085"/>
      <c r="Z125" s="3085"/>
      <c r="AA125" s="3064" t="s">
        <v>3209</v>
      </c>
      <c r="AB125" s="3063"/>
      <c r="AC125" s="3065"/>
      <c r="AD125" s="3066"/>
      <c r="AE125" s="3067">
        <v>62000</v>
      </c>
      <c r="AF125" s="3112"/>
      <c r="AG125" s="3113">
        <v>25600</v>
      </c>
      <c r="AH125" s="3021">
        <f t="shared" si="15"/>
        <v>0.2109375</v>
      </c>
      <c r="AI125" s="3113">
        <v>131</v>
      </c>
    </row>
    <row r="126" spans="1:35" s="3022" customFormat="1" ht="30" customHeight="1">
      <c r="A126" s="3008">
        <v>33</v>
      </c>
      <c r="B126" s="3127" t="s">
        <v>3332</v>
      </c>
      <c r="C126" s="3024" t="s">
        <v>3442</v>
      </c>
      <c r="D126" s="3057"/>
      <c r="E126" s="3059" t="s">
        <v>3168</v>
      </c>
      <c r="F126" s="3011" t="s">
        <v>3443</v>
      </c>
      <c r="G126" s="3085">
        <v>141.18</v>
      </c>
      <c r="H126" s="3060" t="s">
        <v>3444</v>
      </c>
      <c r="I126" s="3060" t="s">
        <v>3445</v>
      </c>
      <c r="J126" s="3060" t="str">
        <f t="shared" si="14"/>
        <v>2018/12/07</v>
      </c>
      <c r="K126" s="3063"/>
      <c r="L126" s="3062">
        <f t="shared" si="11"/>
        <v>0.99726027397260275</v>
      </c>
      <c r="M126" s="3011" t="s">
        <v>3446</v>
      </c>
      <c r="N126" s="3085">
        <v>31000</v>
      </c>
      <c r="O126" s="3085"/>
      <c r="P126" s="3085"/>
      <c r="Q126" s="3085"/>
      <c r="R126" s="3085"/>
      <c r="S126" s="3085"/>
      <c r="T126" s="3085"/>
      <c r="U126" s="3085"/>
      <c r="V126" s="3085"/>
      <c r="W126" s="3085"/>
      <c r="X126" s="3085"/>
      <c r="Y126" s="3085"/>
      <c r="Z126" s="3085"/>
      <c r="AA126" s="3064" t="s">
        <v>3209</v>
      </c>
      <c r="AB126" s="3063"/>
      <c r="AC126" s="3065"/>
      <c r="AD126" s="3066"/>
      <c r="AE126" s="3067">
        <v>62000</v>
      </c>
      <c r="AF126" s="3112"/>
      <c r="AG126" s="3113">
        <v>30300</v>
      </c>
      <c r="AH126" s="3021">
        <f t="shared" si="15"/>
        <v>2.3102310231023101E-2</v>
      </c>
      <c r="AI126" s="3113">
        <v>141</v>
      </c>
    </row>
    <row r="127" spans="1:35" s="3022" customFormat="1" ht="30" customHeight="1">
      <c r="A127" s="3008">
        <v>34</v>
      </c>
      <c r="B127" s="3127" t="s">
        <v>3332</v>
      </c>
      <c r="C127" s="3024" t="s">
        <v>3447</v>
      </c>
      <c r="D127" s="3057"/>
      <c r="E127" s="3059" t="s">
        <v>3168</v>
      </c>
      <c r="F127" s="3011" t="s">
        <v>3448</v>
      </c>
      <c r="G127" s="3085">
        <v>92.04</v>
      </c>
      <c r="H127" s="3060" t="s">
        <v>3418</v>
      </c>
      <c r="I127" s="3060" t="s">
        <v>3389</v>
      </c>
      <c r="J127" s="3060" t="str">
        <f t="shared" si="14"/>
        <v>2019/01/01</v>
      </c>
      <c r="K127" s="3063"/>
      <c r="L127" s="3062">
        <f t="shared" si="11"/>
        <v>0.24383561643835616</v>
      </c>
      <c r="M127" s="3011" t="s">
        <v>3449</v>
      </c>
      <c r="N127" s="3085">
        <v>23000</v>
      </c>
      <c r="O127" s="3085"/>
      <c r="P127" s="3085"/>
      <c r="Q127" s="3085"/>
      <c r="R127" s="3085"/>
      <c r="S127" s="3085"/>
      <c r="T127" s="3085"/>
      <c r="U127" s="3085"/>
      <c r="V127" s="3085"/>
      <c r="W127" s="3085"/>
      <c r="X127" s="3085"/>
      <c r="Y127" s="3085"/>
      <c r="Z127" s="3085"/>
      <c r="AA127" s="3064" t="s">
        <v>3209</v>
      </c>
      <c r="AB127" s="3063"/>
      <c r="AC127" s="3065"/>
      <c r="AD127" s="3066"/>
      <c r="AE127" s="3067">
        <v>46000</v>
      </c>
      <c r="AF127" s="3112"/>
      <c r="AG127" s="3113">
        <v>25000</v>
      </c>
      <c r="AH127" s="3021">
        <f t="shared" si="15"/>
        <v>-0.08</v>
      </c>
      <c r="AI127" s="3113">
        <v>92</v>
      </c>
    </row>
    <row r="128" spans="1:35" s="3022" customFormat="1" ht="30" customHeight="1">
      <c r="A128" s="3008">
        <v>35</v>
      </c>
      <c r="B128" s="3127" t="s">
        <v>3332</v>
      </c>
      <c r="C128" s="3024" t="s">
        <v>3450</v>
      </c>
      <c r="D128" s="3057"/>
      <c r="E128" s="3059" t="s">
        <v>3168</v>
      </c>
      <c r="F128" s="3011" t="s">
        <v>3451</v>
      </c>
      <c r="G128" s="3085">
        <v>200.93</v>
      </c>
      <c r="H128" s="3060" t="s">
        <v>3452</v>
      </c>
      <c r="I128" s="3060" t="s">
        <v>3453</v>
      </c>
      <c r="J128" s="3060" t="str">
        <f t="shared" si="14"/>
        <v>2018/07/20</v>
      </c>
      <c r="K128" s="3063"/>
      <c r="L128" s="3062">
        <f t="shared" si="11"/>
        <v>0.99726027397260275</v>
      </c>
      <c r="M128" s="3011" t="s">
        <v>3454</v>
      </c>
      <c r="N128" s="3085">
        <v>43000</v>
      </c>
      <c r="O128" s="3085"/>
      <c r="P128" s="3085"/>
      <c r="Q128" s="3085"/>
      <c r="R128" s="3085"/>
      <c r="S128" s="3085"/>
      <c r="T128" s="3085"/>
      <c r="U128" s="3085"/>
      <c r="V128" s="3085"/>
      <c r="W128" s="3085"/>
      <c r="X128" s="3085"/>
      <c r="Y128" s="3085"/>
      <c r="Z128" s="3085"/>
      <c r="AA128" s="3064" t="s">
        <v>3209</v>
      </c>
      <c r="AB128" s="3063"/>
      <c r="AC128" s="3065"/>
      <c r="AD128" s="3066"/>
      <c r="AE128" s="3067">
        <v>86000</v>
      </c>
      <c r="AF128" s="3112"/>
      <c r="AG128" s="3113">
        <v>43000</v>
      </c>
      <c r="AH128" s="3021">
        <f t="shared" si="15"/>
        <v>0</v>
      </c>
      <c r="AI128" s="3113">
        <v>201</v>
      </c>
    </row>
    <row r="129" spans="1:35" s="3022" customFormat="1" ht="30" customHeight="1">
      <c r="A129" s="3008">
        <v>36</v>
      </c>
      <c r="B129" s="3127" t="s">
        <v>3332</v>
      </c>
      <c r="C129" s="3024" t="s">
        <v>3455</v>
      </c>
      <c r="D129" s="3057"/>
      <c r="E129" s="3059" t="s">
        <v>3168</v>
      </c>
      <c r="F129" s="3011" t="s">
        <v>3372</v>
      </c>
      <c r="G129" s="3085">
        <v>215.23</v>
      </c>
      <c r="H129" s="3060" t="s">
        <v>3456</v>
      </c>
      <c r="I129" s="3060" t="s">
        <v>3457</v>
      </c>
      <c r="J129" s="3060" t="str">
        <f t="shared" si="14"/>
        <v>2018/05/01</v>
      </c>
      <c r="K129" s="3063"/>
      <c r="L129" s="3062">
        <f t="shared" si="11"/>
        <v>0.99726027397260275</v>
      </c>
      <c r="M129" s="3011" t="s">
        <v>3458</v>
      </c>
      <c r="N129" s="3085">
        <v>46200</v>
      </c>
      <c r="O129" s="3085"/>
      <c r="P129" s="3085"/>
      <c r="Q129" s="3085"/>
      <c r="R129" s="3085"/>
      <c r="S129" s="3085"/>
      <c r="T129" s="3085"/>
      <c r="U129" s="3085"/>
      <c r="V129" s="3085"/>
      <c r="W129" s="3085"/>
      <c r="X129" s="3085"/>
      <c r="Y129" s="3085"/>
      <c r="Z129" s="3085"/>
      <c r="AA129" s="3064" t="s">
        <v>3209</v>
      </c>
      <c r="AB129" s="3063"/>
      <c r="AC129" s="3065"/>
      <c r="AD129" s="3066"/>
      <c r="AE129" s="3067" t="s">
        <v>3236</v>
      </c>
      <c r="AF129" s="3112"/>
      <c r="AG129" s="3113">
        <v>45200</v>
      </c>
      <c r="AH129" s="3021">
        <f t="shared" si="15"/>
        <v>2.2123893805309734E-2</v>
      </c>
      <c r="AI129" s="3113"/>
    </row>
    <row r="130" spans="1:35" s="3022" customFormat="1" ht="30" customHeight="1">
      <c r="A130" s="3008">
        <v>37</v>
      </c>
      <c r="B130" s="3127" t="s">
        <v>3332</v>
      </c>
      <c r="C130" s="3024" t="s">
        <v>3459</v>
      </c>
      <c r="D130" s="3057"/>
      <c r="E130" s="3059" t="s">
        <v>3168</v>
      </c>
      <c r="F130" s="3011" t="s">
        <v>3460</v>
      </c>
      <c r="G130" s="3085">
        <v>86.88</v>
      </c>
      <c r="H130" s="3060" t="s">
        <v>3461</v>
      </c>
      <c r="I130" s="3060" t="s">
        <v>3462</v>
      </c>
      <c r="J130" s="3060" t="str">
        <f t="shared" si="14"/>
        <v>2018/10/20</v>
      </c>
      <c r="K130" s="3063"/>
      <c r="L130" s="3062">
        <f t="shared" si="11"/>
        <v>0.99726027397260275</v>
      </c>
      <c r="M130" s="3011" t="s">
        <v>3463</v>
      </c>
      <c r="N130" s="3085">
        <v>21800</v>
      </c>
      <c r="O130" s="3085"/>
      <c r="P130" s="3085"/>
      <c r="Q130" s="3085"/>
      <c r="R130" s="3085"/>
      <c r="S130" s="3085"/>
      <c r="T130" s="3085"/>
      <c r="U130" s="3085"/>
      <c r="V130" s="3085"/>
      <c r="W130" s="3085"/>
      <c r="X130" s="3085"/>
      <c r="Y130" s="3085"/>
      <c r="Z130" s="3085"/>
      <c r="AA130" s="3064" t="s">
        <v>3209</v>
      </c>
      <c r="AB130" s="3063"/>
      <c r="AC130" s="3065"/>
      <c r="AD130" s="3066"/>
      <c r="AE130" s="3067">
        <v>43600</v>
      </c>
      <c r="AF130" s="3112"/>
      <c r="AG130" s="3113">
        <v>21800</v>
      </c>
      <c r="AH130" s="3021">
        <f t="shared" si="15"/>
        <v>0</v>
      </c>
      <c r="AI130" s="3113">
        <v>87</v>
      </c>
    </row>
    <row r="131" spans="1:35" s="3022" customFormat="1" ht="30" customHeight="1">
      <c r="A131" s="3008">
        <v>38</v>
      </c>
      <c r="B131" s="3127" t="s">
        <v>3332</v>
      </c>
      <c r="C131" s="3024" t="s">
        <v>3464</v>
      </c>
      <c r="D131" s="3057"/>
      <c r="E131" s="3059" t="s">
        <v>3168</v>
      </c>
      <c r="F131" s="3011" t="s">
        <v>3169</v>
      </c>
      <c r="G131" s="3085">
        <v>239.74</v>
      </c>
      <c r="H131" s="3060" t="s">
        <v>3465</v>
      </c>
      <c r="I131" s="3060" t="s">
        <v>3466</v>
      </c>
      <c r="J131" s="3060" t="str">
        <f t="shared" si="14"/>
        <v>2018/05/26</v>
      </c>
      <c r="K131" s="3063"/>
      <c r="L131" s="3062">
        <f t="shared" si="11"/>
        <v>3</v>
      </c>
      <c r="M131" s="3011" t="s">
        <v>3436</v>
      </c>
      <c r="N131" s="3085">
        <v>42000</v>
      </c>
      <c r="O131" s="3085">
        <v>42000</v>
      </c>
      <c r="P131" s="3085">
        <v>42000</v>
      </c>
      <c r="Q131" s="3085"/>
      <c r="R131" s="3085"/>
      <c r="S131" s="3085"/>
      <c r="T131" s="3085"/>
      <c r="U131" s="3085"/>
      <c r="V131" s="3085"/>
      <c r="W131" s="3085"/>
      <c r="X131" s="3085"/>
      <c r="Y131" s="3085"/>
      <c r="Z131" s="3085"/>
      <c r="AA131" s="3064" t="s">
        <v>3171</v>
      </c>
      <c r="AB131" s="3063"/>
      <c r="AC131" s="3065"/>
      <c r="AD131" s="3066"/>
      <c r="AE131" s="3067"/>
      <c r="AF131" s="3112"/>
      <c r="AG131" s="3113">
        <v>39500</v>
      </c>
      <c r="AH131" s="3021">
        <f t="shared" si="15"/>
        <v>6.3291139240506333E-2</v>
      </c>
      <c r="AI131" s="3113"/>
    </row>
    <row r="132" spans="1:35" s="3022" customFormat="1" ht="30" customHeight="1">
      <c r="A132" s="3008">
        <v>39</v>
      </c>
      <c r="B132" s="3127" t="s">
        <v>3332</v>
      </c>
      <c r="C132" s="3024" t="s">
        <v>3467</v>
      </c>
      <c r="D132" s="3057"/>
      <c r="E132" s="3059" t="s">
        <v>3168</v>
      </c>
      <c r="F132" s="3011" t="s">
        <v>3468</v>
      </c>
      <c r="G132" s="3085">
        <v>139.1</v>
      </c>
      <c r="H132" s="3060" t="s">
        <v>3343</v>
      </c>
      <c r="I132" s="3060" t="s">
        <v>3344</v>
      </c>
      <c r="J132" s="3060" t="str">
        <f t="shared" si="14"/>
        <v>2018/12/31</v>
      </c>
      <c r="K132" s="3063"/>
      <c r="L132" s="3062">
        <f t="shared" si="11"/>
        <v>2</v>
      </c>
      <c r="M132" s="3011" t="s">
        <v>3469</v>
      </c>
      <c r="N132" s="3085">
        <v>31000</v>
      </c>
      <c r="O132" s="3085">
        <v>31000</v>
      </c>
      <c r="P132" s="3085"/>
      <c r="Q132" s="3085"/>
      <c r="R132" s="3085"/>
      <c r="S132" s="3085"/>
      <c r="T132" s="3085"/>
      <c r="U132" s="3085"/>
      <c r="V132" s="3085"/>
      <c r="W132" s="3085"/>
      <c r="X132" s="3085"/>
      <c r="Y132" s="3085"/>
      <c r="Z132" s="3085"/>
      <c r="AA132" s="3064" t="s">
        <v>3209</v>
      </c>
      <c r="AB132" s="3063"/>
      <c r="AC132" s="3065"/>
      <c r="AD132" s="3066"/>
      <c r="AE132" s="3067">
        <v>62000</v>
      </c>
      <c r="AF132" s="3112"/>
      <c r="AG132" s="3113">
        <v>30000</v>
      </c>
      <c r="AH132" s="3021">
        <f t="shared" si="15"/>
        <v>3.3333333333333333E-2</v>
      </c>
      <c r="AI132" s="3113">
        <v>139.1</v>
      </c>
    </row>
    <row r="133" spans="1:35" s="3022" customFormat="1" ht="30" customHeight="1">
      <c r="A133" s="3008">
        <v>40</v>
      </c>
      <c r="B133" s="3127" t="s">
        <v>3332</v>
      </c>
      <c r="C133" s="3024" t="s">
        <v>3470</v>
      </c>
      <c r="D133" s="3057"/>
      <c r="E133" s="3059" t="s">
        <v>3168</v>
      </c>
      <c r="F133" s="3011" t="s">
        <v>3468</v>
      </c>
      <c r="G133" s="3085">
        <v>146.35</v>
      </c>
      <c r="H133" s="3060" t="s">
        <v>3471</v>
      </c>
      <c r="I133" s="3060" t="s">
        <v>3472</v>
      </c>
      <c r="J133" s="3060" t="str">
        <f t="shared" si="14"/>
        <v>2018/12/28</v>
      </c>
      <c r="K133" s="3063"/>
      <c r="L133" s="3062">
        <f t="shared" si="11"/>
        <v>2</v>
      </c>
      <c r="M133" s="3011" t="s">
        <v>3469</v>
      </c>
      <c r="N133" s="3085">
        <v>33000</v>
      </c>
      <c r="O133" s="3085">
        <v>33000</v>
      </c>
      <c r="P133" s="3085"/>
      <c r="Q133" s="3085"/>
      <c r="R133" s="3085"/>
      <c r="S133" s="3085"/>
      <c r="T133" s="3085"/>
      <c r="U133" s="3085"/>
      <c r="V133" s="3085"/>
      <c r="W133" s="3085"/>
      <c r="X133" s="3085"/>
      <c r="Y133" s="3085"/>
      <c r="Z133" s="3085"/>
      <c r="AA133" s="3064" t="s">
        <v>3209</v>
      </c>
      <c r="AB133" s="3063"/>
      <c r="AC133" s="3065"/>
      <c r="AD133" s="3066"/>
      <c r="AE133" s="3067">
        <v>66000</v>
      </c>
      <c r="AF133" s="3112"/>
      <c r="AG133" s="3113">
        <v>33000</v>
      </c>
      <c r="AH133" s="3021">
        <f t="shared" si="15"/>
        <v>0</v>
      </c>
      <c r="AI133" s="3113">
        <v>146</v>
      </c>
    </row>
    <row r="134" spans="1:35" s="3022" customFormat="1" ht="30" customHeight="1">
      <c r="A134" s="3008">
        <v>41</v>
      </c>
      <c r="B134" s="3127" t="s">
        <v>3332</v>
      </c>
      <c r="C134" s="3024" t="s">
        <v>3473</v>
      </c>
      <c r="D134" s="3057"/>
      <c r="E134" s="3059" t="s">
        <v>3168</v>
      </c>
      <c r="F134" s="3011" t="s">
        <v>3474</v>
      </c>
      <c r="G134" s="3085">
        <v>92</v>
      </c>
      <c r="H134" s="3060" t="s">
        <v>3475</v>
      </c>
      <c r="I134" s="3060" t="s">
        <v>3476</v>
      </c>
      <c r="J134" s="3060" t="str">
        <f t="shared" si="14"/>
        <v>2018/04/08</v>
      </c>
      <c r="K134" s="3063"/>
      <c r="L134" s="3062">
        <f t="shared" si="11"/>
        <v>0.99726027397260275</v>
      </c>
      <c r="M134" s="3011" t="s">
        <v>3477</v>
      </c>
      <c r="N134" s="3085">
        <v>23500</v>
      </c>
      <c r="O134" s="3085"/>
      <c r="P134" s="3085"/>
      <c r="Q134" s="3085"/>
      <c r="R134" s="3085"/>
      <c r="S134" s="3085"/>
      <c r="T134" s="3085"/>
      <c r="U134" s="3085"/>
      <c r="V134" s="3085"/>
      <c r="W134" s="3085"/>
      <c r="X134" s="3085"/>
      <c r="Y134" s="3085"/>
      <c r="Z134" s="3085"/>
      <c r="AA134" s="3064" t="s">
        <v>3209</v>
      </c>
      <c r="AB134" s="3063"/>
      <c r="AC134" s="3065"/>
      <c r="AD134" s="3066"/>
      <c r="AE134" s="3067">
        <v>47000</v>
      </c>
      <c r="AF134" s="3112"/>
      <c r="AG134" s="3113">
        <v>21000</v>
      </c>
      <c r="AH134" s="3021">
        <f t="shared" si="15"/>
        <v>0.11904761904761904</v>
      </c>
      <c r="AI134" s="3113">
        <v>92</v>
      </c>
    </row>
    <row r="135" spans="1:35" s="3022" customFormat="1" ht="30" customHeight="1">
      <c r="A135" s="3008">
        <v>42</v>
      </c>
      <c r="B135" s="3127" t="s">
        <v>3332</v>
      </c>
      <c r="C135" s="3024" t="s">
        <v>3478</v>
      </c>
      <c r="D135" s="3057"/>
      <c r="E135" s="3059" t="s">
        <v>3168</v>
      </c>
      <c r="F135" s="3011" t="s">
        <v>3334</v>
      </c>
      <c r="G135" s="3085">
        <v>207.1</v>
      </c>
      <c r="H135" s="3060" t="s">
        <v>3479</v>
      </c>
      <c r="I135" s="3060" t="s">
        <v>3480</v>
      </c>
      <c r="J135" s="3060" t="str">
        <f t="shared" si="14"/>
        <v>2018/10/05</v>
      </c>
      <c r="K135" s="3063"/>
      <c r="L135" s="3062">
        <f t="shared" si="11"/>
        <v>0.99726027397260275</v>
      </c>
      <c r="M135" s="3011" t="s">
        <v>3481</v>
      </c>
      <c r="N135" s="3085">
        <v>49900</v>
      </c>
      <c r="O135" s="3085"/>
      <c r="P135" s="3085"/>
      <c r="Q135" s="3085"/>
      <c r="R135" s="3085"/>
      <c r="S135" s="3085"/>
      <c r="T135" s="3085"/>
      <c r="U135" s="3085"/>
      <c r="V135" s="3085"/>
      <c r="W135" s="3085"/>
      <c r="X135" s="3085"/>
      <c r="Y135" s="3085"/>
      <c r="Z135" s="3085"/>
      <c r="AA135" s="3064" t="s">
        <v>3209</v>
      </c>
      <c r="AB135" s="3063"/>
      <c r="AC135" s="3065"/>
      <c r="AD135" s="3066"/>
      <c r="AE135" s="3067" t="s">
        <v>3346</v>
      </c>
      <c r="AF135" s="3112"/>
      <c r="AG135" s="3113">
        <v>46000</v>
      </c>
      <c r="AH135" s="3021">
        <f t="shared" si="15"/>
        <v>8.478260869565217E-2</v>
      </c>
      <c r="AI135" s="3113">
        <v>207</v>
      </c>
    </row>
    <row r="136" spans="1:35" s="3022" customFormat="1" ht="30" customHeight="1">
      <c r="A136" s="3008">
        <v>43</v>
      </c>
      <c r="B136" s="3127" t="s">
        <v>3332</v>
      </c>
      <c r="C136" s="3024" t="s">
        <v>3482</v>
      </c>
      <c r="D136" s="3057"/>
      <c r="E136" s="3059" t="s">
        <v>3168</v>
      </c>
      <c r="F136" s="3011" t="s">
        <v>3169</v>
      </c>
      <c r="G136" s="3085">
        <v>234.08</v>
      </c>
      <c r="H136" s="3060" t="s">
        <v>3483</v>
      </c>
      <c r="I136" s="3060" t="s">
        <v>3484</v>
      </c>
      <c r="J136" s="3060" t="str">
        <f t="shared" si="14"/>
        <v>2018/11/23</v>
      </c>
      <c r="K136" s="3063"/>
      <c r="L136" s="3062">
        <f t="shared" si="11"/>
        <v>3</v>
      </c>
      <c r="M136" s="3011" t="s">
        <v>3436</v>
      </c>
      <c r="N136" s="3085">
        <v>42000</v>
      </c>
      <c r="O136" s="3085">
        <v>42000</v>
      </c>
      <c r="P136" s="3085">
        <v>42000</v>
      </c>
      <c r="Q136" s="3085"/>
      <c r="R136" s="3085"/>
      <c r="S136" s="3085"/>
      <c r="T136" s="3085"/>
      <c r="U136" s="3085"/>
      <c r="V136" s="3085"/>
      <c r="W136" s="3085"/>
      <c r="X136" s="3085"/>
      <c r="Y136" s="3085"/>
      <c r="Z136" s="3085"/>
      <c r="AA136" s="3064" t="s">
        <v>3171</v>
      </c>
      <c r="AB136" s="3063"/>
      <c r="AC136" s="3065"/>
      <c r="AD136" s="3066"/>
      <c r="AE136" s="3067"/>
      <c r="AF136" s="3112"/>
      <c r="AG136" s="3113">
        <v>40000</v>
      </c>
      <c r="AH136" s="3021">
        <f t="shared" si="15"/>
        <v>0.05</v>
      </c>
      <c r="AI136" s="3113"/>
    </row>
    <row r="137" spans="1:35" s="3129" customFormat="1" ht="30" customHeight="1">
      <c r="A137" s="3008">
        <v>44</v>
      </c>
      <c r="B137" s="3127" t="s">
        <v>3332</v>
      </c>
      <c r="C137" s="3024" t="s">
        <v>3485</v>
      </c>
      <c r="D137" s="3057"/>
      <c r="E137" s="3059" t="s">
        <v>3168</v>
      </c>
      <c r="F137" s="3011" t="s">
        <v>3486</v>
      </c>
      <c r="G137" s="3085">
        <v>87.68</v>
      </c>
      <c r="H137" s="3060" t="s">
        <v>3487</v>
      </c>
      <c r="I137" s="3060" t="s">
        <v>3389</v>
      </c>
      <c r="J137" s="3060" t="str">
        <f t="shared" si="14"/>
        <v>2019/02/01</v>
      </c>
      <c r="K137" s="3063"/>
      <c r="L137" s="3062">
        <f t="shared" si="11"/>
        <v>0.15890410958904111</v>
      </c>
      <c r="M137" s="3011" t="s">
        <v>3449</v>
      </c>
      <c r="N137" s="3085">
        <v>24000</v>
      </c>
      <c r="O137" s="3085"/>
      <c r="P137" s="3085"/>
      <c r="Q137" s="3085"/>
      <c r="R137" s="3085"/>
      <c r="S137" s="3085"/>
      <c r="T137" s="3085"/>
      <c r="U137" s="3085"/>
      <c r="V137" s="3085"/>
      <c r="W137" s="3085"/>
      <c r="X137" s="3085"/>
      <c r="Y137" s="3085"/>
      <c r="Z137" s="3085"/>
      <c r="AA137" s="3064" t="s">
        <v>3209</v>
      </c>
      <c r="AB137" s="3063"/>
      <c r="AC137" s="3065"/>
      <c r="AD137" s="3066"/>
      <c r="AE137" s="3067">
        <v>24000</v>
      </c>
      <c r="AF137" s="3112"/>
      <c r="AG137" s="3113"/>
      <c r="AH137" s="3021"/>
      <c r="AI137" s="3113">
        <v>88</v>
      </c>
    </row>
    <row r="138" spans="1:35" s="3138" customFormat="1" ht="30" customHeight="1">
      <c r="A138" s="3008">
        <v>45</v>
      </c>
      <c r="B138" s="3127" t="s">
        <v>3332</v>
      </c>
      <c r="C138" s="3024" t="s">
        <v>3488</v>
      </c>
      <c r="D138" s="3057"/>
      <c r="E138" s="3059" t="s">
        <v>3168</v>
      </c>
      <c r="F138" s="3011" t="s">
        <v>3169</v>
      </c>
      <c r="G138" s="3085">
        <v>247.2</v>
      </c>
      <c r="H138" s="3060" t="s">
        <v>3489</v>
      </c>
      <c r="I138" s="3060" t="s">
        <v>3490</v>
      </c>
      <c r="J138" s="3060" t="str">
        <f t="shared" si="14"/>
        <v>2017/01/16</v>
      </c>
      <c r="K138" s="3063"/>
      <c r="L138" s="3062">
        <f t="shared" si="11"/>
        <v>2.9972602739726026</v>
      </c>
      <c r="M138" s="3011" t="s">
        <v>3436</v>
      </c>
      <c r="N138" s="3085">
        <v>42000</v>
      </c>
      <c r="O138" s="3085">
        <v>42000</v>
      </c>
      <c r="P138" s="3085"/>
      <c r="Q138" s="3085"/>
      <c r="R138" s="3085"/>
      <c r="S138" s="3085"/>
      <c r="T138" s="3085"/>
      <c r="U138" s="3085"/>
      <c r="V138" s="3085"/>
      <c r="W138" s="3085"/>
      <c r="X138" s="3085"/>
      <c r="Y138" s="3085"/>
      <c r="Z138" s="3085"/>
      <c r="AA138" s="3064" t="s">
        <v>3171</v>
      </c>
      <c r="AB138" s="3063"/>
      <c r="AC138" s="3065"/>
      <c r="AD138" s="3066"/>
      <c r="AE138" s="3067"/>
      <c r="AF138" s="3112"/>
      <c r="AG138" s="3113">
        <v>36051</v>
      </c>
      <c r="AH138" s="3021">
        <f>(N138-AG138)/AG138</f>
        <v>0.16501622701173338</v>
      </c>
      <c r="AI138" s="3113"/>
    </row>
    <row r="139" spans="1:35" s="3056" customFormat="1" ht="20.100000000000001" customHeight="1">
      <c r="A139" s="3041">
        <f>COUNT(A93:A138)</f>
        <v>45</v>
      </c>
      <c r="B139" s="3042"/>
      <c r="C139" s="3043" t="s">
        <v>3186</v>
      </c>
      <c r="D139" s="3044"/>
      <c r="E139" s="3043"/>
      <c r="F139" s="3045"/>
      <c r="G139" s="3046">
        <f>SUM(G93:G138)</f>
        <v>6674.2900000000018</v>
      </c>
      <c r="H139" s="3072"/>
      <c r="I139" s="3048"/>
      <c r="J139" s="3048"/>
      <c r="K139" s="3049"/>
      <c r="L139" s="3050"/>
      <c r="M139" s="3050"/>
      <c r="N139" s="3047"/>
      <c r="O139" s="3047"/>
      <c r="P139" s="3047"/>
      <c r="Q139" s="3047"/>
      <c r="R139" s="3047"/>
      <c r="S139" s="3047"/>
      <c r="T139" s="3047"/>
      <c r="U139" s="3047"/>
      <c r="V139" s="3047"/>
      <c r="W139" s="3047"/>
      <c r="X139" s="3047"/>
      <c r="Y139" s="3047"/>
      <c r="Z139" s="3047"/>
      <c r="AA139" s="3051"/>
      <c r="AB139" s="3047"/>
      <c r="AC139" s="3046"/>
      <c r="AD139" s="3046"/>
      <c r="AE139" s="3052"/>
      <c r="AF139" s="3053"/>
      <c r="AG139" s="3054"/>
      <c r="AH139" s="3073"/>
      <c r="AI139" s="3054"/>
    </row>
    <row r="140" spans="1:35" s="3144" customFormat="1" ht="66" customHeight="1">
      <c r="A140" s="3057">
        <v>1</v>
      </c>
      <c r="B140" s="3113" t="s">
        <v>3491</v>
      </c>
      <c r="C140" s="3024" t="s">
        <v>3492</v>
      </c>
      <c r="D140" s="3057"/>
      <c r="E140" s="3059" t="s">
        <v>3168</v>
      </c>
      <c r="F140" s="3113" t="s">
        <v>3493</v>
      </c>
      <c r="G140" s="3085">
        <v>55</v>
      </c>
      <c r="H140" s="3060" t="s">
        <v>3494</v>
      </c>
      <c r="I140" s="3060" t="s">
        <v>3384</v>
      </c>
      <c r="J140" s="3060" t="str">
        <f>H140</f>
        <v>2018/08/01</v>
      </c>
      <c r="K140" s="3061"/>
      <c r="L140" s="3062">
        <f t="shared" ref="L140:L148" si="16">(I140-H140)/365</f>
        <v>0.99726027397260275</v>
      </c>
      <c r="M140" s="3011" t="s">
        <v>3495</v>
      </c>
      <c r="N140" s="3141">
        <v>19000</v>
      </c>
      <c r="O140" s="3141"/>
      <c r="P140" s="3141"/>
      <c r="Q140" s="3141"/>
      <c r="R140" s="3141"/>
      <c r="S140" s="3141"/>
      <c r="T140" s="3141"/>
      <c r="U140" s="3141"/>
      <c r="V140" s="3085"/>
      <c r="W140" s="3085"/>
      <c r="X140" s="3085"/>
      <c r="Y140" s="3085"/>
      <c r="Z140" s="3085"/>
      <c r="AA140" s="3064" t="s">
        <v>3209</v>
      </c>
      <c r="AB140" s="3063"/>
      <c r="AC140" s="3142"/>
      <c r="AD140" s="3143"/>
      <c r="AE140" s="3067">
        <v>38000</v>
      </c>
      <c r="AF140" s="3112"/>
      <c r="AG140" s="3113">
        <v>19000</v>
      </c>
      <c r="AH140" s="3021">
        <f>(N140-AG140)/AG140</f>
        <v>0</v>
      </c>
      <c r="AI140" s="3113">
        <v>70</v>
      </c>
    </row>
    <row r="141" spans="1:35" s="3144" customFormat="1" ht="66" customHeight="1">
      <c r="A141" s="3057">
        <v>2</v>
      </c>
      <c r="B141" s="3113" t="s">
        <v>3491</v>
      </c>
      <c r="C141" s="3024" t="s">
        <v>3496</v>
      </c>
      <c r="D141" s="3057"/>
      <c r="E141" s="3059" t="s">
        <v>3168</v>
      </c>
      <c r="F141" s="3011" t="s">
        <v>3497</v>
      </c>
      <c r="G141" s="3085">
        <v>55</v>
      </c>
      <c r="H141" s="3060" t="s">
        <v>3498</v>
      </c>
      <c r="I141" s="3060" t="s">
        <v>3499</v>
      </c>
      <c r="J141" s="3060" t="str">
        <f t="shared" ref="J141:J148" si="17">H141</f>
        <v>2019/02/02</v>
      </c>
      <c r="K141" s="3063"/>
      <c r="L141" s="3062">
        <f t="shared" si="16"/>
        <v>0.15890410958904111</v>
      </c>
      <c r="M141" s="3011"/>
      <c r="N141" s="3085">
        <v>19000</v>
      </c>
      <c r="O141" s="3085"/>
      <c r="P141" s="3085"/>
      <c r="Q141" s="3085"/>
      <c r="R141" s="3085"/>
      <c r="S141" s="3085"/>
      <c r="T141" s="3085"/>
      <c r="U141" s="3085"/>
      <c r="V141" s="3085"/>
      <c r="W141" s="3085"/>
      <c r="X141" s="3085"/>
      <c r="Y141" s="3085"/>
      <c r="Z141" s="3085"/>
      <c r="AA141" s="3064"/>
      <c r="AB141" s="3063"/>
      <c r="AC141" s="3142"/>
      <c r="AD141" s="3143"/>
      <c r="AE141" s="3067">
        <v>38000</v>
      </c>
      <c r="AF141" s="3112"/>
      <c r="AG141" s="3113"/>
      <c r="AH141" s="3113"/>
      <c r="AI141" s="3113">
        <v>70</v>
      </c>
    </row>
    <row r="142" spans="1:35" s="3144" customFormat="1" ht="66" customHeight="1">
      <c r="A142" s="3057">
        <v>3</v>
      </c>
      <c r="B142" s="3113" t="s">
        <v>3491</v>
      </c>
      <c r="C142" s="3024" t="s">
        <v>3500</v>
      </c>
      <c r="D142" s="3057"/>
      <c r="E142" s="3059" t="s">
        <v>3168</v>
      </c>
      <c r="F142" s="3011" t="s">
        <v>3501</v>
      </c>
      <c r="G142" s="3085">
        <v>55</v>
      </c>
      <c r="H142" s="3060" t="s">
        <v>3502</v>
      </c>
      <c r="I142" s="3060" t="s">
        <v>3503</v>
      </c>
      <c r="J142" s="3060" t="str">
        <f t="shared" si="17"/>
        <v>2018/10/08</v>
      </c>
      <c r="K142" s="3063"/>
      <c r="L142" s="3062">
        <f t="shared" si="16"/>
        <v>0.99726027397260275</v>
      </c>
      <c r="M142" s="3011" t="s">
        <v>3504</v>
      </c>
      <c r="N142" s="3085">
        <v>19700</v>
      </c>
      <c r="O142" s="3085"/>
      <c r="P142" s="3085"/>
      <c r="Q142" s="3085"/>
      <c r="R142" s="3085"/>
      <c r="S142" s="3085"/>
      <c r="T142" s="3145"/>
      <c r="U142" s="3085"/>
      <c r="V142" s="3085"/>
      <c r="W142" s="3085"/>
      <c r="X142" s="3085"/>
      <c r="Y142" s="3085"/>
      <c r="Z142" s="3085"/>
      <c r="AA142" s="3064" t="s">
        <v>3209</v>
      </c>
      <c r="AB142" s="3063"/>
      <c r="AC142" s="3142"/>
      <c r="AD142" s="3143"/>
      <c r="AE142" s="3067">
        <v>39400</v>
      </c>
      <c r="AF142" s="3112"/>
      <c r="AG142" s="3113">
        <v>19700</v>
      </c>
      <c r="AH142" s="3021">
        <f t="shared" ref="AH142:AH147" si="18">(N142-AG142)/AG142</f>
        <v>0</v>
      </c>
      <c r="AI142" s="3113">
        <v>70</v>
      </c>
    </row>
    <row r="143" spans="1:35" s="3144" customFormat="1" ht="66" customHeight="1">
      <c r="A143" s="3057">
        <v>4</v>
      </c>
      <c r="B143" s="3113" t="s">
        <v>3491</v>
      </c>
      <c r="C143" s="3024" t="s">
        <v>3505</v>
      </c>
      <c r="D143" s="3057"/>
      <c r="E143" s="3059" t="s">
        <v>3168</v>
      </c>
      <c r="F143" s="3011" t="s">
        <v>3506</v>
      </c>
      <c r="G143" s="3085">
        <v>55</v>
      </c>
      <c r="H143" s="3111" t="s">
        <v>3494</v>
      </c>
      <c r="I143" s="3060" t="s">
        <v>3384</v>
      </c>
      <c r="J143" s="3060" t="str">
        <f t="shared" si="17"/>
        <v>2018/08/01</v>
      </c>
      <c r="K143" s="3063"/>
      <c r="L143" s="3062">
        <f t="shared" si="16"/>
        <v>0.99726027397260275</v>
      </c>
      <c r="M143" s="3011" t="s">
        <v>3507</v>
      </c>
      <c r="N143" s="3085">
        <v>18800</v>
      </c>
      <c r="O143" s="3085"/>
      <c r="P143" s="3085"/>
      <c r="Q143" s="3085"/>
      <c r="R143" s="3085"/>
      <c r="S143" s="3085"/>
      <c r="T143" s="3085"/>
      <c r="U143" s="3085"/>
      <c r="V143" s="3085"/>
      <c r="W143" s="3085"/>
      <c r="X143" s="3085"/>
      <c r="Y143" s="3085"/>
      <c r="Z143" s="3085"/>
      <c r="AA143" s="3064" t="s">
        <v>3209</v>
      </c>
      <c r="AB143" s="3063"/>
      <c r="AC143" s="3142"/>
      <c r="AD143" s="3143"/>
      <c r="AE143" s="3067">
        <v>37600</v>
      </c>
      <c r="AF143" s="3112"/>
      <c r="AG143" s="3113">
        <v>18300</v>
      </c>
      <c r="AH143" s="3021">
        <f t="shared" si="18"/>
        <v>2.7322404371584699E-2</v>
      </c>
      <c r="AI143" s="3113"/>
    </row>
    <row r="144" spans="1:35" s="3026" customFormat="1" ht="66" customHeight="1">
      <c r="A144" s="3057">
        <v>5</v>
      </c>
      <c r="B144" s="3113" t="s">
        <v>3491</v>
      </c>
      <c r="C144" s="3024" t="s">
        <v>3508</v>
      </c>
      <c r="D144" s="3057"/>
      <c r="E144" s="3059" t="s">
        <v>3168</v>
      </c>
      <c r="F144" s="3011" t="s">
        <v>3493</v>
      </c>
      <c r="G144" s="3085">
        <v>55</v>
      </c>
      <c r="H144" s="3060" t="s">
        <v>3509</v>
      </c>
      <c r="I144" s="3060" t="s">
        <v>3510</v>
      </c>
      <c r="J144" s="3060" t="str">
        <f t="shared" si="17"/>
        <v>2019/01/20</v>
      </c>
      <c r="K144" s="3063"/>
      <c r="L144" s="3062">
        <f t="shared" si="16"/>
        <v>0.99726027397260275</v>
      </c>
      <c r="M144" s="3011" t="s">
        <v>3511</v>
      </c>
      <c r="N144" s="3085">
        <v>19000</v>
      </c>
      <c r="O144" s="3085">
        <v>19000</v>
      </c>
      <c r="P144" s="3085"/>
      <c r="Q144" s="3085"/>
      <c r="R144" s="3085"/>
      <c r="S144" s="3085"/>
      <c r="T144" s="3085"/>
      <c r="U144" s="3085"/>
      <c r="V144" s="3085"/>
      <c r="W144" s="3085"/>
      <c r="X144" s="3085"/>
      <c r="Y144" s="3085"/>
      <c r="Z144" s="3085"/>
      <c r="AA144" s="3064" t="s">
        <v>3209</v>
      </c>
      <c r="AB144" s="3063"/>
      <c r="AC144" s="3142"/>
      <c r="AD144" s="3143"/>
      <c r="AE144" s="3067">
        <v>38000</v>
      </c>
      <c r="AF144" s="3112"/>
      <c r="AG144" s="3113">
        <v>17000</v>
      </c>
      <c r="AH144" s="3021">
        <f t="shared" si="18"/>
        <v>0.11764705882352941</v>
      </c>
      <c r="AI144" s="3113">
        <v>70</v>
      </c>
    </row>
    <row r="145" spans="1:35" s="3026" customFormat="1" ht="66" customHeight="1">
      <c r="A145" s="3057">
        <v>6</v>
      </c>
      <c r="B145" s="3113" t="s">
        <v>3491</v>
      </c>
      <c r="C145" s="3024" t="s">
        <v>3512</v>
      </c>
      <c r="D145" s="3057"/>
      <c r="E145" s="3059" t="s">
        <v>3168</v>
      </c>
      <c r="F145" s="3011" t="s">
        <v>3513</v>
      </c>
      <c r="G145" s="3085">
        <v>55</v>
      </c>
      <c r="H145" s="3060" t="s">
        <v>3514</v>
      </c>
      <c r="I145" s="3111" t="s">
        <v>3515</v>
      </c>
      <c r="J145" s="3060" t="str">
        <f t="shared" si="17"/>
        <v>2018/10/27</v>
      </c>
      <c r="K145" s="3063"/>
      <c r="L145" s="3062">
        <f t="shared" si="16"/>
        <v>0.99726027397260275</v>
      </c>
      <c r="M145" s="3011" t="s">
        <v>3516</v>
      </c>
      <c r="N145" s="3085">
        <v>20000</v>
      </c>
      <c r="O145" s="3085"/>
      <c r="P145" s="3085"/>
      <c r="Q145" s="3085"/>
      <c r="R145" s="3085"/>
      <c r="S145" s="3085"/>
      <c r="T145" s="3085"/>
      <c r="U145" s="3085"/>
      <c r="V145" s="3085"/>
      <c r="W145" s="3085"/>
      <c r="X145" s="3085"/>
      <c r="Y145" s="3085"/>
      <c r="Z145" s="3085"/>
      <c r="AA145" s="3064" t="s">
        <v>3209</v>
      </c>
      <c r="AB145" s="3063"/>
      <c r="AC145" s="3142"/>
      <c r="AD145" s="3143"/>
      <c r="AE145" s="3067">
        <v>40000</v>
      </c>
      <c r="AF145" s="3112"/>
      <c r="AG145" s="3113">
        <v>19000</v>
      </c>
      <c r="AH145" s="3021">
        <f t="shared" si="18"/>
        <v>5.2631578947368418E-2</v>
      </c>
      <c r="AI145" s="3113">
        <v>70</v>
      </c>
    </row>
    <row r="146" spans="1:35" s="3026" customFormat="1" ht="66" customHeight="1">
      <c r="A146" s="3057">
        <v>7</v>
      </c>
      <c r="B146" s="3113" t="s">
        <v>3491</v>
      </c>
      <c r="C146" s="3024" t="s">
        <v>3517</v>
      </c>
      <c r="D146" s="3057"/>
      <c r="E146" s="3059" t="s">
        <v>3168</v>
      </c>
      <c r="F146" s="3011" t="s">
        <v>3493</v>
      </c>
      <c r="G146" s="3085">
        <v>55</v>
      </c>
      <c r="H146" s="3060" t="s">
        <v>3518</v>
      </c>
      <c r="I146" s="3111" t="s">
        <v>3519</v>
      </c>
      <c r="J146" s="3060" t="str">
        <f t="shared" si="17"/>
        <v>2018/05/14</v>
      </c>
      <c r="K146" s="3063"/>
      <c r="L146" s="3062">
        <f t="shared" si="16"/>
        <v>0.99726027397260275</v>
      </c>
      <c r="M146" s="3011" t="s">
        <v>3511</v>
      </c>
      <c r="N146" s="3085">
        <v>19000</v>
      </c>
      <c r="O146" s="3085"/>
      <c r="P146" s="3085"/>
      <c r="Q146" s="3085"/>
      <c r="R146" s="3085"/>
      <c r="S146" s="3085"/>
      <c r="T146" s="3085"/>
      <c r="U146" s="3085"/>
      <c r="V146" s="3085"/>
      <c r="W146" s="3085"/>
      <c r="X146" s="3085"/>
      <c r="Y146" s="3085"/>
      <c r="Z146" s="3085"/>
      <c r="AA146" s="3064" t="s">
        <v>3209</v>
      </c>
      <c r="AB146" s="3063"/>
      <c r="AC146" s="3142"/>
      <c r="AD146" s="3143"/>
      <c r="AE146" s="3067">
        <v>38000</v>
      </c>
      <c r="AF146" s="3112"/>
      <c r="AG146" s="3113">
        <v>16000</v>
      </c>
      <c r="AH146" s="3021">
        <f t="shared" si="18"/>
        <v>0.1875</v>
      </c>
      <c r="AI146" s="3113">
        <v>70</v>
      </c>
    </row>
    <row r="147" spans="1:35" s="3026" customFormat="1" ht="66" customHeight="1">
      <c r="A147" s="3057">
        <v>8</v>
      </c>
      <c r="B147" s="3113" t="s">
        <v>3491</v>
      </c>
      <c r="C147" s="3024" t="s">
        <v>3520</v>
      </c>
      <c r="D147" s="3057"/>
      <c r="E147" s="3059" t="s">
        <v>3168</v>
      </c>
      <c r="F147" s="3011" t="s">
        <v>3506</v>
      </c>
      <c r="G147" s="3085">
        <v>55</v>
      </c>
      <c r="H147" s="3060" t="s">
        <v>3521</v>
      </c>
      <c r="I147" s="3060" t="s">
        <v>3522</v>
      </c>
      <c r="J147" s="3060" t="str">
        <f t="shared" si="17"/>
        <v>2018/08/16</v>
      </c>
      <c r="K147" s="3063"/>
      <c r="L147" s="3062">
        <f t="shared" si="16"/>
        <v>0.99726027397260275</v>
      </c>
      <c r="M147" s="3011" t="s">
        <v>3523</v>
      </c>
      <c r="N147" s="3085">
        <v>19000</v>
      </c>
      <c r="O147" s="3085"/>
      <c r="P147" s="3085"/>
      <c r="Q147" s="3085"/>
      <c r="R147" s="3085"/>
      <c r="S147" s="3085"/>
      <c r="T147" s="3085"/>
      <c r="U147" s="3085"/>
      <c r="V147" s="3085"/>
      <c r="W147" s="3085"/>
      <c r="X147" s="3085"/>
      <c r="Y147" s="3085"/>
      <c r="Z147" s="3085"/>
      <c r="AA147" s="3064" t="s">
        <v>3209</v>
      </c>
      <c r="AB147" s="3063"/>
      <c r="AC147" s="3142"/>
      <c r="AD147" s="3143"/>
      <c r="AE147" s="3067">
        <v>38000</v>
      </c>
      <c r="AF147" s="3112"/>
      <c r="AG147" s="3113">
        <v>19000</v>
      </c>
      <c r="AH147" s="3021">
        <f t="shared" si="18"/>
        <v>0</v>
      </c>
      <c r="AI147" s="3113"/>
    </row>
    <row r="148" spans="1:35" s="3026" customFormat="1" ht="66" customHeight="1">
      <c r="A148" s="3057">
        <v>9</v>
      </c>
      <c r="B148" s="3113" t="s">
        <v>3491</v>
      </c>
      <c r="C148" s="3024" t="s">
        <v>3524</v>
      </c>
      <c r="D148" s="3057"/>
      <c r="E148" s="3059" t="s">
        <v>3168</v>
      </c>
      <c r="F148" s="3011" t="s">
        <v>3525</v>
      </c>
      <c r="G148" s="3085">
        <v>63</v>
      </c>
      <c r="H148" s="3060" t="s">
        <v>3397</v>
      </c>
      <c r="I148" s="3060" t="s">
        <v>3526</v>
      </c>
      <c r="J148" s="3060" t="str">
        <f t="shared" si="17"/>
        <v>2019/03/01</v>
      </c>
      <c r="K148" s="3133"/>
      <c r="L148" s="3062">
        <f t="shared" si="16"/>
        <v>2</v>
      </c>
      <c r="M148" s="3011"/>
      <c r="N148" s="3085">
        <v>26000</v>
      </c>
      <c r="O148" s="3085"/>
      <c r="P148" s="3085"/>
      <c r="Q148" s="3085"/>
      <c r="R148" s="3085"/>
      <c r="S148" s="3085"/>
      <c r="T148" s="3085"/>
      <c r="U148" s="3085"/>
      <c r="V148" s="3085"/>
      <c r="W148" s="3085"/>
      <c r="X148" s="3085"/>
      <c r="Y148" s="3085"/>
      <c r="Z148" s="3085"/>
      <c r="AA148" s="3064"/>
      <c r="AB148" s="3063"/>
      <c r="AC148" s="3142"/>
      <c r="AD148" s="3143"/>
      <c r="AE148" s="3067">
        <v>52000</v>
      </c>
      <c r="AF148" s="3112"/>
      <c r="AG148" s="3113"/>
      <c r="AH148" s="3113"/>
      <c r="AI148" s="3113">
        <v>100</v>
      </c>
    </row>
    <row r="149" spans="1:35" s="3159" customFormat="1" ht="23.25" customHeight="1">
      <c r="A149" s="3146">
        <f>COUNT(A140:A148)</f>
        <v>9</v>
      </c>
      <c r="B149" s="3147"/>
      <c r="C149" s="3148" t="s">
        <v>3186</v>
      </c>
      <c r="D149" s="3149"/>
      <c r="E149" s="3148"/>
      <c r="F149" s="3150"/>
      <c r="G149" s="3151">
        <f>SUM(G140:G148)</f>
        <v>503</v>
      </c>
      <c r="H149" s="3152"/>
      <c r="I149" s="3153"/>
      <c r="J149" s="3153"/>
      <c r="K149" s="3154"/>
      <c r="L149" s="3155"/>
      <c r="M149" s="3155"/>
      <c r="N149" s="3156"/>
      <c r="O149" s="3156"/>
      <c r="P149" s="3156"/>
      <c r="Q149" s="3156"/>
      <c r="R149" s="3156"/>
      <c r="S149" s="3156"/>
      <c r="T149" s="3156"/>
      <c r="U149" s="3156"/>
      <c r="V149" s="3156"/>
      <c r="W149" s="3156"/>
      <c r="X149" s="3156"/>
      <c r="Y149" s="3156"/>
      <c r="Z149" s="3156"/>
      <c r="AA149" s="3157"/>
      <c r="AB149" s="3156"/>
      <c r="AC149" s="3151"/>
      <c r="AD149" s="3151"/>
      <c r="AE149" s="3158"/>
      <c r="AF149" s="3053"/>
      <c r="AG149" s="3054"/>
      <c r="AH149" s="3054"/>
      <c r="AI149" s="3054"/>
    </row>
    <row r="150" spans="1:35" s="3170" customFormat="1" ht="20.100000000000001" customHeight="1">
      <c r="A150" s="3160">
        <f>A149+A139+A92+A30+A15</f>
        <v>136</v>
      </c>
      <c r="B150" s="3161"/>
      <c r="C150" s="3162" t="s">
        <v>3527</v>
      </c>
      <c r="D150" s="3161"/>
      <c r="E150" s="3162"/>
      <c r="F150" s="3161"/>
      <c r="G150" s="3163">
        <f>G149+G139+G92+G30+G15</f>
        <v>19825.660000000003</v>
      </c>
      <c r="H150" s="3161"/>
      <c r="I150" s="3161"/>
      <c r="J150" s="3161"/>
      <c r="K150" s="3161"/>
      <c r="L150" s="3164"/>
      <c r="M150" s="3164"/>
      <c r="N150" s="3164"/>
      <c r="O150" s="3164"/>
      <c r="P150" s="3164"/>
      <c r="Q150" s="3164"/>
      <c r="R150" s="3164"/>
      <c r="S150" s="3164"/>
      <c r="T150" s="3164"/>
      <c r="U150" s="3164"/>
      <c r="V150" s="3164"/>
      <c r="W150" s="3164"/>
      <c r="X150" s="3164"/>
      <c r="Y150" s="3164"/>
      <c r="Z150" s="3164"/>
      <c r="AA150" s="3165"/>
      <c r="AB150" s="3166"/>
      <c r="AC150" s="3167"/>
      <c r="AD150" s="3168"/>
      <c r="AE150" s="3161"/>
      <c r="AF150" s="3161"/>
      <c r="AG150" s="3161"/>
      <c r="AH150" s="3169"/>
      <c r="AI150" s="3161"/>
    </row>
    <row r="151" spans="1:35" ht="20.100000000000001" customHeight="1">
      <c r="D151" s="3026"/>
      <c r="E151" s="3173"/>
      <c r="G151" s="3174"/>
      <c r="N151" s="3175">
        <f>SUM(N2:N150)*12/10000</f>
        <v>4940.6400000000003</v>
      </c>
      <c r="AG151" s="3180"/>
      <c r="AH151" s="3181"/>
      <c r="AI151" s="3180"/>
    </row>
    <row r="152" spans="1:35" ht="20.100000000000001" customHeight="1">
      <c r="B152" s="3183"/>
      <c r="C152" s="3172" t="s">
        <v>3528</v>
      </c>
      <c r="D152" s="3026"/>
      <c r="E152" s="3173"/>
      <c r="AG152" s="3180"/>
      <c r="AH152" s="3181"/>
      <c r="AI152" s="3180"/>
    </row>
    <row r="153" spans="1:35" ht="20.100000000000001" customHeight="1">
      <c r="B153" s="3182"/>
      <c r="C153" s="3182"/>
      <c r="D153" s="3026"/>
      <c r="E153" s="3173"/>
      <c r="F153" s="3184" t="s">
        <v>3529</v>
      </c>
      <c r="G153" s="3185">
        <f>[1]hx产权证面积汇总表!D178</f>
        <v>24747.890000000003</v>
      </c>
    </row>
    <row r="154" spans="1:35" ht="30.75" customHeight="1">
      <c r="B154" s="3182"/>
      <c r="C154" s="3182"/>
      <c r="D154" s="3026"/>
      <c r="E154" s="3173"/>
      <c r="F154" s="3186" t="s">
        <v>3530</v>
      </c>
      <c r="G154" s="3185">
        <f>[1]hx产权证面积汇总表!D178-[1]hx产权证面积汇总表!D177-[1]hx产权证面积汇总表!D176</f>
        <v>21101.620000000003</v>
      </c>
      <c r="I154" s="3263">
        <f>N151/G156/365*10000</f>
        <v>7.3709592048773791</v>
      </c>
    </row>
    <row r="155" spans="1:35" ht="20.100000000000001" customHeight="1">
      <c r="B155" s="3182"/>
      <c r="C155" s="3182"/>
      <c r="D155" s="3026"/>
      <c r="E155" s="3173"/>
      <c r="F155" s="3057" t="s">
        <v>3531</v>
      </c>
      <c r="G155" s="3187">
        <f>G156+G157+G158</f>
        <v>19825.660000000003</v>
      </c>
      <c r="H155" s="3174"/>
    </row>
    <row r="156" spans="1:35" ht="20.100000000000001" customHeight="1">
      <c r="B156" s="3182"/>
      <c r="C156" s="3182"/>
      <c r="D156" s="3026"/>
      <c r="E156" s="3173"/>
      <c r="F156" s="3113" t="s">
        <v>3532</v>
      </c>
      <c r="G156" s="3187">
        <f>SUM(G2:G13)+SUM(G16:G27)+SUM(G31:G32)+SUM(G34:G43)+G44+SUM(G46:G49)+SUM(G50:G54)+SUM(G56:G62)+SUM(G63:G67)+SUM(G69:G80)+G82+G83+G84+G86+SUM(G88:G91)+SUM(G93:G94)+G96+SUM(G98:G117)+G119+G120+G121+SUM(G123:G138)+SUM(G140:G148)+G81</f>
        <v>18363.960000000003</v>
      </c>
      <c r="H156" s="3188"/>
    </row>
    <row r="157" spans="1:35" ht="27" customHeight="1">
      <c r="B157" s="3182"/>
      <c r="C157" s="3182"/>
      <c r="D157" s="3026"/>
      <c r="E157" s="3173"/>
      <c r="F157" s="3113" t="s">
        <v>3533</v>
      </c>
      <c r="G157" s="3187">
        <f>G28+G29+G68+G87+G95+G97+G118+G14</f>
        <v>1200.32</v>
      </c>
      <c r="H157" s="3188"/>
      <c r="I157" s="3176"/>
    </row>
    <row r="158" spans="1:35" ht="20.100000000000001" customHeight="1">
      <c r="B158" s="3182"/>
      <c r="C158" s="3182"/>
      <c r="D158" s="3026"/>
      <c r="E158" s="3173"/>
      <c r="F158" s="3113" t="s">
        <v>3534</v>
      </c>
      <c r="G158" s="3187">
        <f>G33+G45+G55</f>
        <v>261.38</v>
      </c>
      <c r="H158" s="3188"/>
      <c r="I158" s="3188"/>
      <c r="J158" s="3189"/>
    </row>
    <row r="159" spans="1:35" ht="20.100000000000001" customHeight="1">
      <c r="B159" s="3182"/>
      <c r="C159" s="3182"/>
      <c r="D159" s="3026"/>
      <c r="E159" s="3173"/>
      <c r="F159" s="3113"/>
      <c r="G159" s="3190"/>
    </row>
    <row r="160" spans="1:35" ht="20.100000000000001" customHeight="1">
      <c r="C160" s="3190"/>
      <c r="D160" s="3026"/>
      <c r="E160" s="3173"/>
    </row>
    <row r="161" spans="1:35" ht="20.100000000000001" customHeight="1">
      <c r="A161" s="3564" t="s">
        <v>3535</v>
      </c>
      <c r="B161" s="3564"/>
      <c r="C161" s="3564"/>
      <c r="D161" s="3564"/>
      <c r="E161" s="3564"/>
      <c r="F161" s="3564"/>
      <c r="G161" s="3564"/>
      <c r="H161" s="3564"/>
      <c r="I161" s="3564"/>
      <c r="J161" s="3564"/>
      <c r="K161" s="3564"/>
      <c r="L161" s="3564"/>
    </row>
    <row r="162" spans="1:35" ht="20.100000000000001" customHeight="1">
      <c r="A162" s="3564"/>
      <c r="B162" s="3564"/>
      <c r="C162" s="3564"/>
      <c r="D162" s="3564"/>
      <c r="E162" s="3564"/>
      <c r="F162" s="3564"/>
      <c r="G162" s="3564"/>
      <c r="H162" s="3564"/>
      <c r="I162" s="3564"/>
      <c r="J162" s="3564"/>
      <c r="K162" s="3564"/>
      <c r="L162" s="3564"/>
    </row>
    <row r="163" spans="1:35" ht="20.100000000000001" customHeight="1">
      <c r="A163" s="3564"/>
      <c r="B163" s="3564"/>
      <c r="C163" s="3564"/>
      <c r="D163" s="3564"/>
      <c r="E163" s="3564"/>
      <c r="F163" s="3564"/>
      <c r="G163" s="3564"/>
      <c r="H163" s="3564"/>
      <c r="I163" s="3564"/>
      <c r="J163" s="3564"/>
      <c r="K163" s="3564"/>
      <c r="L163" s="3564"/>
    </row>
    <row r="164" spans="1:35" ht="20.100000000000001" customHeight="1">
      <c r="A164" s="3564"/>
      <c r="B164" s="3564"/>
      <c r="C164" s="3564"/>
      <c r="D164" s="3564"/>
      <c r="E164" s="3564"/>
      <c r="F164" s="3564"/>
      <c r="G164" s="3564"/>
      <c r="H164" s="3564"/>
      <c r="I164" s="3564"/>
      <c r="J164" s="3564"/>
      <c r="K164" s="3564"/>
      <c r="L164" s="3564"/>
    </row>
    <row r="165" spans="1:35" ht="20.100000000000001" customHeight="1">
      <c r="A165" s="3193"/>
      <c r="B165" s="3193"/>
      <c r="C165" s="3193"/>
      <c r="D165" s="3193"/>
      <c r="E165" s="3541" t="s">
        <v>3698</v>
      </c>
      <c r="F165" s="3541"/>
      <c r="G165" s="3541"/>
      <c r="H165" s="3541"/>
      <c r="I165" s="3541"/>
      <c r="J165" s="3541"/>
      <c r="K165" s="3193"/>
      <c r="Z165" s="3193"/>
      <c r="AA165" s="3177"/>
      <c r="AB165" s="3178"/>
      <c r="AC165" s="3179"/>
      <c r="AD165" s="3171"/>
      <c r="AE165" s="3026"/>
      <c r="AF165" s="3020"/>
      <c r="AG165" s="3021"/>
      <c r="AH165" s="3026"/>
      <c r="AI165" s="3182"/>
    </row>
    <row r="166" spans="1:35" ht="20.100000000000001" customHeight="1">
      <c r="D166" s="3026"/>
      <c r="E166" s="3185" t="s">
        <v>3692</v>
      </c>
      <c r="F166" s="3185" t="s">
        <v>3682</v>
      </c>
      <c r="G166" s="3185" t="s">
        <v>3683</v>
      </c>
      <c r="H166" s="3185" t="s">
        <v>3686</v>
      </c>
      <c r="I166" s="3185" t="s">
        <v>3689</v>
      </c>
      <c r="J166" s="3264" t="s">
        <v>3693</v>
      </c>
      <c r="K166" s="3175"/>
      <c r="Y166" s="3176"/>
      <c r="Z166" s="3177"/>
      <c r="AA166" s="3178"/>
      <c r="AB166" s="3179"/>
      <c r="AC166" s="3171"/>
      <c r="AD166" s="3026"/>
      <c r="AE166" s="3020"/>
      <c r="AF166" s="3021"/>
      <c r="AH166" s="3182"/>
      <c r="AI166" s="3182"/>
    </row>
    <row r="167" spans="1:35" ht="20.100000000000001" customHeight="1">
      <c r="D167" s="3026"/>
      <c r="E167" s="3185" t="s">
        <v>3681</v>
      </c>
      <c r="F167" s="3185">
        <v>80</v>
      </c>
      <c r="G167" s="3185">
        <v>21000</v>
      </c>
      <c r="H167" s="3185" t="s">
        <v>3687</v>
      </c>
      <c r="I167" s="3185">
        <v>3</v>
      </c>
      <c r="J167" s="3264" t="s">
        <v>3694</v>
      </c>
      <c r="K167" s="3175"/>
      <c r="Y167" s="3176"/>
      <c r="Z167" s="3177"/>
      <c r="AA167" s="3178"/>
      <c r="AB167" s="3179"/>
      <c r="AC167" s="3171"/>
      <c r="AD167" s="3026"/>
      <c r="AE167" s="3020"/>
      <c r="AF167" s="3021"/>
      <c r="AH167" s="3182"/>
      <c r="AI167" s="3182"/>
    </row>
    <row r="168" spans="1:35" ht="94.5">
      <c r="D168" s="3026"/>
      <c r="E168" s="3185" t="s">
        <v>3684</v>
      </c>
      <c r="F168" s="3185">
        <v>220</v>
      </c>
      <c r="G168" s="3184" t="s">
        <v>3685</v>
      </c>
      <c r="H168" s="3185" t="s">
        <v>3688</v>
      </c>
      <c r="I168" s="3185">
        <v>5</v>
      </c>
      <c r="J168" s="3264" t="s">
        <v>3696</v>
      </c>
      <c r="K168" s="3175"/>
      <c r="Y168" s="3176"/>
      <c r="Z168" s="3177"/>
      <c r="AA168" s="3178"/>
      <c r="AB168" s="3179"/>
      <c r="AC168" s="3171"/>
      <c r="AD168" s="3026"/>
      <c r="AE168" s="3020"/>
      <c r="AF168" s="3021"/>
      <c r="AH168" s="3182"/>
      <c r="AI168" s="3182"/>
    </row>
    <row r="169" spans="1:35" ht="27.75" customHeight="1">
      <c r="D169" s="3026"/>
      <c r="E169" s="3185" t="s">
        <v>3690</v>
      </c>
      <c r="F169" s="3185">
        <v>55</v>
      </c>
      <c r="G169" s="3185">
        <v>19000</v>
      </c>
      <c r="H169" s="3184" t="s">
        <v>3691</v>
      </c>
      <c r="I169" s="3185">
        <v>-1</v>
      </c>
      <c r="J169" s="3264" t="s">
        <v>3695</v>
      </c>
      <c r="K169" s="3175"/>
      <c r="Y169" s="3176"/>
      <c r="Z169" s="3177"/>
      <c r="AA169" s="3178"/>
      <c r="AB169" s="3179"/>
      <c r="AC169" s="3171"/>
      <c r="AD169" s="3026"/>
      <c r="AE169" s="3020"/>
      <c r="AF169" s="3021"/>
      <c r="AH169" s="3182"/>
      <c r="AI169" s="3182"/>
    </row>
    <row r="170" spans="1:35" ht="20.100000000000001" customHeight="1">
      <c r="D170" s="3026"/>
      <c r="E170" s="3540" t="s">
        <v>3697</v>
      </c>
      <c r="F170" s="3540"/>
      <c r="G170" s="3540"/>
      <c r="H170" s="3540"/>
      <c r="I170" s="3540"/>
      <c r="J170" s="3540"/>
      <c r="K170" s="3175"/>
      <c r="Z170" s="3176"/>
      <c r="AA170" s="3177"/>
      <c r="AB170" s="3178"/>
      <c r="AC170" s="3179"/>
      <c r="AD170" s="3171"/>
      <c r="AE170" s="3026"/>
      <c r="AF170" s="3020"/>
      <c r="AG170" s="3021"/>
      <c r="AH170" s="3020"/>
      <c r="AI170" s="3182"/>
    </row>
    <row r="171" spans="1:35" ht="39.75" customHeight="1">
      <c r="D171" s="3026"/>
      <c r="E171" s="3540"/>
      <c r="F171" s="3540"/>
      <c r="G171" s="3540"/>
      <c r="H171" s="3540"/>
      <c r="I171" s="3540"/>
      <c r="J171" s="3540"/>
      <c r="K171" s="3175"/>
      <c r="Z171" s="3176"/>
      <c r="AA171" s="3177"/>
      <c r="AB171" s="3178"/>
      <c r="AC171" s="3179"/>
      <c r="AD171" s="3171"/>
      <c r="AE171" s="3026"/>
      <c r="AF171" s="3020"/>
      <c r="AG171" s="3021"/>
      <c r="AH171" s="3020"/>
      <c r="AI171" s="3182"/>
    </row>
    <row r="172" spans="1:35" ht="20.100000000000001" customHeight="1" thickBot="1">
      <c r="D172" s="3026"/>
      <c r="E172" s="3173"/>
    </row>
    <row r="173" spans="1:35" ht="20.100000000000001" customHeight="1" thickBot="1">
      <c r="D173" s="3026"/>
      <c r="E173" s="3271" t="s">
        <v>3702</v>
      </c>
      <c r="F173" s="3272" t="s">
        <v>3711</v>
      </c>
      <c r="G173" s="3272" t="s">
        <v>3703</v>
      </c>
    </row>
    <row r="174" spans="1:35" ht="20.100000000000001" customHeight="1" thickBot="1">
      <c r="D174" s="3026"/>
      <c r="E174" s="3267" t="s">
        <v>3704</v>
      </c>
      <c r="F174" s="3268" t="s">
        <v>3705</v>
      </c>
      <c r="G174" s="3268">
        <v>72</v>
      </c>
    </row>
    <row r="175" spans="1:35" ht="20.100000000000001" customHeight="1" thickBot="1">
      <c r="D175" s="3026"/>
      <c r="E175" s="3267" t="s">
        <v>3706</v>
      </c>
      <c r="F175" s="3268" t="s">
        <v>3707</v>
      </c>
      <c r="G175" s="3268">
        <v>20</v>
      </c>
    </row>
    <row r="176" spans="1:35" ht="20.100000000000001" customHeight="1" thickBot="1">
      <c r="D176" s="3026"/>
      <c r="E176" s="3267" t="s">
        <v>3708</v>
      </c>
      <c r="F176" s="3268" t="s">
        <v>3709</v>
      </c>
      <c r="G176" s="3268">
        <v>30</v>
      </c>
    </row>
    <row r="177" spans="4:7" ht="20.100000000000001" customHeight="1" thickBot="1">
      <c r="D177" s="3026"/>
      <c r="E177" s="3267" t="s">
        <v>3710</v>
      </c>
      <c r="F177" s="3268">
        <v>310</v>
      </c>
      <c r="G177" s="3268">
        <v>14</v>
      </c>
    </row>
    <row r="178" spans="4:7" ht="20.100000000000001" customHeight="1" thickBot="1">
      <c r="D178" s="3026"/>
      <c r="E178" s="3269" t="s">
        <v>40</v>
      </c>
      <c r="F178" s="3270" t="s">
        <v>70</v>
      </c>
      <c r="G178" s="3270">
        <v>136</v>
      </c>
    </row>
    <row r="179" spans="4:7" ht="20.100000000000001" customHeight="1">
      <c r="D179" s="3026"/>
      <c r="E179" s="3173"/>
    </row>
    <row r="180" spans="4:7" ht="20.100000000000001" customHeight="1">
      <c r="D180" s="3026"/>
      <c r="E180" s="3173"/>
    </row>
    <row r="181" spans="4:7" ht="20.100000000000001" customHeight="1">
      <c r="D181" s="3026"/>
      <c r="E181" s="3173"/>
    </row>
    <row r="182" spans="4:7" ht="20.100000000000001" customHeight="1">
      <c r="D182" s="3026"/>
      <c r="E182" s="3173"/>
    </row>
    <row r="183" spans="4:7" ht="20.100000000000001" customHeight="1">
      <c r="D183" s="3026"/>
      <c r="E183" s="3173"/>
    </row>
    <row r="184" spans="4:7" ht="20.100000000000001" customHeight="1">
      <c r="D184" s="3026"/>
      <c r="E184" s="3173"/>
    </row>
    <row r="185" spans="4:7" ht="20.100000000000001" customHeight="1">
      <c r="D185" s="3026"/>
      <c r="E185" s="3173"/>
    </row>
    <row r="186" spans="4:7" ht="20.100000000000001" customHeight="1">
      <c r="D186" s="3026"/>
      <c r="E186" s="3173"/>
    </row>
    <row r="187" spans="4:7" ht="20.100000000000001" customHeight="1">
      <c r="D187" s="3026"/>
      <c r="E187" s="3173"/>
    </row>
    <row r="188" spans="4:7" ht="20.100000000000001" customHeight="1">
      <c r="D188" s="3026"/>
      <c r="E188" s="3173"/>
    </row>
    <row r="189" spans="4:7" ht="20.100000000000001" customHeight="1">
      <c r="D189" s="3026"/>
      <c r="E189" s="3173"/>
    </row>
    <row r="190" spans="4:7" ht="20.100000000000001" customHeight="1">
      <c r="D190" s="3026"/>
      <c r="E190" s="3173"/>
    </row>
    <row r="191" spans="4:7" ht="20.100000000000001" customHeight="1">
      <c r="D191" s="3026"/>
      <c r="E191" s="3173"/>
    </row>
    <row r="192" spans="4:7" ht="20.100000000000001" customHeight="1">
      <c r="D192" s="3026"/>
      <c r="E192" s="3173"/>
    </row>
    <row r="193" spans="4:5" ht="20.100000000000001" customHeight="1">
      <c r="D193" s="3026"/>
      <c r="E193" s="3173"/>
    </row>
    <row r="194" spans="4:5" ht="20.100000000000001" customHeight="1">
      <c r="D194" s="3026"/>
      <c r="E194" s="3173"/>
    </row>
    <row r="195" spans="4:5" ht="20.100000000000001" customHeight="1">
      <c r="D195" s="3026"/>
      <c r="E195" s="3173"/>
    </row>
    <row r="196" spans="4:5" ht="20.100000000000001" customHeight="1">
      <c r="D196" s="3026"/>
      <c r="E196" s="3173"/>
    </row>
    <row r="197" spans="4:5" ht="20.100000000000001" customHeight="1">
      <c r="D197" s="3026"/>
      <c r="E197" s="3173"/>
    </row>
    <row r="198" spans="4:5" ht="20.100000000000001" customHeight="1">
      <c r="D198" s="3026"/>
      <c r="E198" s="3173"/>
    </row>
    <row r="199" spans="4:5" ht="20.100000000000001" customHeight="1">
      <c r="D199" s="3026"/>
      <c r="E199" s="3173"/>
    </row>
    <row r="200" spans="4:5" ht="20.100000000000001" customHeight="1">
      <c r="D200" s="3026"/>
      <c r="E200" s="3173"/>
    </row>
    <row r="201" spans="4:5" ht="20.100000000000001" customHeight="1">
      <c r="D201" s="3026"/>
      <c r="E201" s="3173"/>
    </row>
    <row r="202" spans="4:5" ht="20.100000000000001" customHeight="1">
      <c r="D202" s="3026"/>
      <c r="E202" s="3173"/>
    </row>
    <row r="203" spans="4:5" ht="20.100000000000001" customHeight="1">
      <c r="D203" s="3026"/>
      <c r="E203" s="3173"/>
    </row>
    <row r="204" spans="4:5" ht="20.100000000000001" customHeight="1">
      <c r="D204" s="3026"/>
      <c r="E204" s="3173"/>
    </row>
    <row r="205" spans="4:5" ht="20.100000000000001" customHeight="1">
      <c r="D205" s="3026"/>
      <c r="E205" s="3173"/>
    </row>
    <row r="206" spans="4:5" ht="20.100000000000001" customHeight="1">
      <c r="D206" s="3026"/>
      <c r="E206" s="3173"/>
    </row>
    <row r="207" spans="4:5" ht="20.100000000000001" customHeight="1">
      <c r="D207" s="3026"/>
      <c r="E207" s="3173"/>
    </row>
    <row r="208" spans="4:5" ht="20.100000000000001" customHeight="1">
      <c r="D208" s="3026"/>
      <c r="E208" s="3173"/>
    </row>
    <row r="209" spans="4:5" ht="20.100000000000001" customHeight="1">
      <c r="D209" s="3026"/>
      <c r="E209" s="3173"/>
    </row>
    <row r="210" spans="4:5" ht="20.100000000000001" customHeight="1">
      <c r="D210" s="3026"/>
      <c r="E210" s="3173"/>
    </row>
    <row r="211" spans="4:5" ht="20.100000000000001" customHeight="1">
      <c r="D211" s="3026"/>
      <c r="E211" s="3173"/>
    </row>
    <row r="212" spans="4:5" ht="20.100000000000001" customHeight="1">
      <c r="D212" s="3026"/>
      <c r="E212" s="3173"/>
    </row>
    <row r="213" spans="4:5" ht="20.100000000000001" customHeight="1">
      <c r="D213" s="3026"/>
      <c r="E213" s="3173"/>
    </row>
    <row r="214" spans="4:5" ht="20.100000000000001" customHeight="1">
      <c r="D214" s="3026"/>
      <c r="E214" s="3173"/>
    </row>
    <row r="215" spans="4:5" ht="20.100000000000001" customHeight="1">
      <c r="D215" s="3026"/>
      <c r="E215" s="3173"/>
    </row>
    <row r="216" spans="4:5" ht="20.100000000000001" customHeight="1">
      <c r="D216" s="3026"/>
      <c r="E216" s="3173"/>
    </row>
    <row r="217" spans="4:5" ht="20.100000000000001" customHeight="1">
      <c r="D217" s="3026"/>
      <c r="E217" s="3173"/>
    </row>
    <row r="218" spans="4:5" ht="20.100000000000001" customHeight="1">
      <c r="D218" s="3026"/>
      <c r="E218" s="3173"/>
    </row>
    <row r="219" spans="4:5" ht="20.100000000000001" customHeight="1">
      <c r="D219" s="3026"/>
      <c r="E219" s="3173"/>
    </row>
    <row r="220" spans="4:5" ht="20.100000000000001" customHeight="1">
      <c r="D220" s="3026"/>
      <c r="E220" s="3173"/>
    </row>
    <row r="221" spans="4:5" ht="20.100000000000001" customHeight="1">
      <c r="D221" s="3026"/>
      <c r="E221" s="3173"/>
    </row>
    <row r="222" spans="4:5" ht="20.100000000000001" customHeight="1">
      <c r="D222" s="3026"/>
      <c r="E222" s="3173"/>
    </row>
    <row r="223" spans="4:5" ht="20.100000000000001" customHeight="1">
      <c r="D223" s="3026"/>
      <c r="E223" s="3173"/>
    </row>
    <row r="224" spans="4:5" ht="20.100000000000001" customHeight="1">
      <c r="D224" s="3026"/>
      <c r="E224" s="3173"/>
    </row>
    <row r="225" spans="3:5" ht="20.100000000000001" customHeight="1">
      <c r="D225" s="3026"/>
      <c r="E225" s="3173"/>
    </row>
    <row r="226" spans="3:5" ht="20.100000000000001" customHeight="1">
      <c r="D226" s="3026"/>
      <c r="E226" s="3173"/>
    </row>
    <row r="227" spans="3:5" ht="20.100000000000001" customHeight="1">
      <c r="D227" s="3026"/>
      <c r="E227" s="3173"/>
    </row>
    <row r="228" spans="3:5" ht="20.100000000000001" customHeight="1">
      <c r="C228" s="3191"/>
    </row>
    <row r="229" spans="3:5" ht="20.100000000000001" customHeight="1">
      <c r="C229" s="3191"/>
    </row>
    <row r="230" spans="3:5" ht="20.100000000000001" customHeight="1">
      <c r="C230" s="3191"/>
    </row>
    <row r="231" spans="3:5" ht="20.100000000000001" customHeight="1">
      <c r="C231" s="3191"/>
    </row>
    <row r="232" spans="3:5" ht="20.100000000000001" customHeight="1">
      <c r="C232" s="3191"/>
    </row>
    <row r="233" spans="3:5" ht="20.100000000000001" customHeight="1">
      <c r="C233" s="3191"/>
    </row>
  </sheetData>
  <protectedRanges>
    <protectedRange sqref="G2 G14" name="Range2_1_1_1"/>
    <protectedRange sqref="F4:F14" name="Range2_1_3_1_3"/>
    <protectedRange sqref="G9 G12 G4:G5" name="Range2_1_5_1_3"/>
    <protectedRange sqref="I8:I9 I4:I5 I12" name="Range2_1_6_1_3"/>
    <protectedRange sqref="H4:H5 H8:H9" name="Range4_1_2_1_3"/>
    <protectedRange sqref="K4:K5 K8:K9 K12" name="Range4_1_3_1_3"/>
    <protectedRange sqref="K4:K5 K8:K9 K12" name="Range2_1_8_1_3"/>
    <protectedRange sqref="G10:G11" name="Range2_1_5_1_1_1"/>
    <protectedRange sqref="I10:I11" name="Range4_1_1_1_1"/>
    <protectedRange sqref="K10:K11" name="Range4_1_3_1_1_1"/>
    <protectedRange sqref="G48" name="Range2_1_11_2"/>
    <protectedRange sqref="G35" name="Range4_7_1_5_23_1"/>
    <protectedRange sqref="G36" name="Range2_1_28_1"/>
    <protectedRange sqref="G34" name="Range4_1_6_1_3_1_11_2_1"/>
    <protectedRange sqref="G35" name="Range2_1_2_2_1_2"/>
    <protectedRange sqref="G36" name="Range2_1_27_1_2"/>
    <protectedRange sqref="G34" name="Range2_1_2_3_1_2"/>
    <protectedRange sqref="AE7" name="Range4_7_8_4_1_1_2"/>
    <protectedRange sqref="G13" name="Range2_1_5_1_3_4"/>
    <protectedRange sqref="I13" name="Range2_1_6_1_3_4"/>
    <protectedRange sqref="H13" name="Range4_1_2_1_3_2"/>
    <protectedRange sqref="K13" name="Range4_1_3_1_3_4"/>
    <protectedRange sqref="K13" name="Range2_1_8_1_3_4"/>
    <protectedRange sqref="G6" name="Range2_1_5_1_3_2"/>
    <protectedRange sqref="I6" name="Range2_1_6_1_3_2"/>
    <protectedRange sqref="H6" name="Range4_1_2_1_3_3"/>
    <protectedRange sqref="K6" name="Range4_1_3_1_3_2"/>
    <protectedRange sqref="K6" name="Range2_1_8_1_3_2"/>
    <protectedRange sqref="G3" name="Range2_1_5_1_3_3"/>
    <protectedRange sqref="I3" name="Range2_1_6_1_3_3"/>
    <protectedRange sqref="H3" name="Range4_1_2_1_3_4"/>
    <protectedRange sqref="K3" name="Range4_1_3_1_3_3"/>
    <protectedRange sqref="K3" name="Range2_1_8_1_3_3"/>
    <protectedRange sqref="G16 G28" name="Range2_1_1_1_1"/>
    <protectedRange sqref="G22:G23 G26:G27 G29 G18:G19" name="Range2_1_5_1_3_1"/>
    <protectedRange sqref="I29 I18:I20 I26 I22:I23" name="Range2_1_6_1_3_1"/>
    <protectedRange sqref="H18:H19 J29 H22:H23 J21 H29 J18 J24" name="Range4_1_2_1_3_1"/>
    <protectedRange sqref="K29 K22:K23 K26 K18:K19" name="Range4_1_3_1_3_1"/>
    <protectedRange sqref="K29 K22:K23 K26 K18:K19" name="Range2_1_8_1_3_1"/>
    <protectedRange sqref="G24:G25" name="Range2_1_5_1_1_1_1"/>
    <protectedRange sqref="I24:I25" name="Range4_1_1_1_1_1"/>
    <protectedRange sqref="K24:K25" name="Range4_1_3_1_1_1_1"/>
    <protectedRange sqref="AE21" name="Range4_7_8_4_1_1_2_1"/>
    <protectedRange sqref="I27" name="Range2_1_6_1_3_4_1"/>
    <protectedRange sqref="H27 J27" name="Range4_1_2_1_3_2_1"/>
    <protectedRange sqref="K27" name="Range4_1_3_1_3_4_1"/>
    <protectedRange sqref="K27" name="Range2_1_8_1_3_4_1"/>
    <protectedRange sqref="G20" name="Range2_1_5_1_3_2_1"/>
    <protectedRange sqref="H20" name="Range4_1_2_1_3_3_1"/>
    <protectedRange sqref="K20" name="Range4_1_3_1_3_2_1"/>
    <protectedRange sqref="K20" name="Range2_1_8_1_3_2_1"/>
    <protectedRange sqref="G17" name="Range2_1_5_1_3_3_1"/>
    <protectedRange sqref="I17" name="Range2_1_6_1_3_3_1"/>
    <protectedRange sqref="H17 J17 J20 J23" name="Range4_1_2_1_3_4_1"/>
    <protectedRange sqref="K17" name="Range4_1_3_1_3_3_1"/>
    <protectedRange sqref="K17" name="Range2_1_8_1_3_3_1"/>
    <protectedRange sqref="G111" name="Range2_1_11_2_2"/>
    <protectedRange sqref="G97" name="Range4_7_1_5_23_1_2"/>
    <protectedRange sqref="G98:G99" name="Range2_1_28_1_2"/>
    <protectedRange sqref="G113:G138" name="Range2_1_30_1_1"/>
    <protectedRange sqref="G96" name="Range4_1_6_1_3_1_11_2_1_2"/>
    <protectedRange sqref="G97" name="Range2_1_2_2_1_2_2"/>
    <protectedRange sqref="G98:G99" name="Range2_1_27_1_2_2"/>
    <protectedRange sqref="G96" name="Range2_1_2_3_1_2_2"/>
    <protectedRange sqref="G143" name="Range2_1_14_1_2_1"/>
    <protectedRange sqref="G145:G146" name="Range2_1_15_1_2_1"/>
    <protectedRange sqref="G147" name="Range2_1_15_2_1_2_1"/>
  </protectedRanges>
  <mergeCells count="49">
    <mergeCell ref="A71:A72"/>
    <mergeCell ref="B71:B72"/>
    <mergeCell ref="C71:C72"/>
    <mergeCell ref="G71:G72"/>
    <mergeCell ref="A161:L164"/>
    <mergeCell ref="A84:A85"/>
    <mergeCell ref="B84:B85"/>
    <mergeCell ref="C84:C85"/>
    <mergeCell ref="G84:G85"/>
    <mergeCell ref="A121:A122"/>
    <mergeCell ref="B121:B122"/>
    <mergeCell ref="C121:C122"/>
    <mergeCell ref="E121:E122"/>
    <mergeCell ref="F121:F122"/>
    <mergeCell ref="G121:G122"/>
    <mergeCell ref="A56:A57"/>
    <mergeCell ref="B56:B57"/>
    <mergeCell ref="C56:C57"/>
    <mergeCell ref="E56:E57"/>
    <mergeCell ref="F56:F57"/>
    <mergeCell ref="A61:A62"/>
    <mergeCell ref="B61:B62"/>
    <mergeCell ref="C61:C62"/>
    <mergeCell ref="E61:E62"/>
    <mergeCell ref="F61:F62"/>
    <mergeCell ref="A42:A43"/>
    <mergeCell ref="B42:B43"/>
    <mergeCell ref="C42:C43"/>
    <mergeCell ref="E42:E43"/>
    <mergeCell ref="F42:F43"/>
    <mergeCell ref="A48:A49"/>
    <mergeCell ref="B48:B49"/>
    <mergeCell ref="C48:C49"/>
    <mergeCell ref="E48:E49"/>
    <mergeCell ref="G48:G49"/>
    <mergeCell ref="E170:J171"/>
    <mergeCell ref="E165:J165"/>
    <mergeCell ref="G56:G57"/>
    <mergeCell ref="M42:M43"/>
    <mergeCell ref="AI42:AI43"/>
    <mergeCell ref="AI48:AI49"/>
    <mergeCell ref="G42:G43"/>
    <mergeCell ref="AI71:AI72"/>
    <mergeCell ref="M56:M57"/>
    <mergeCell ref="AI56:AI57"/>
    <mergeCell ref="G61:G62"/>
    <mergeCell ref="M61:M62"/>
    <mergeCell ref="AA61:AA62"/>
    <mergeCell ref="AE61:AE62"/>
  </mergeCells>
  <phoneticPr fontId="143"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4" workbookViewId="0">
      <selection activeCell="B20" sqref="B20"/>
    </sheetView>
  </sheetViews>
  <sheetFormatPr defaultRowHeight="13.5"/>
  <cols>
    <col min="1" max="1" width="16.5" customWidth="1"/>
    <col min="2" max="2" width="12.75" bestFit="1" customWidth="1"/>
    <col min="4" max="4" width="36.625" customWidth="1"/>
  </cols>
  <sheetData>
    <row r="1" spans="1:4">
      <c r="A1" s="3578" t="s">
        <v>3569</v>
      </c>
      <c r="B1" s="3578"/>
      <c r="C1" s="3578"/>
      <c r="D1" s="3578"/>
    </row>
    <row r="2" spans="1:4" s="3194" customFormat="1" ht="38.25">
      <c r="A2" s="3195" t="s">
        <v>3536</v>
      </c>
      <c r="B2" s="3195" t="s">
        <v>3537</v>
      </c>
      <c r="C2" s="3195" t="s">
        <v>3538</v>
      </c>
      <c r="D2" s="3195" t="s">
        <v>3539</v>
      </c>
    </row>
    <row r="3" spans="1:4" ht="25.5">
      <c r="A3" s="3196" t="s">
        <v>3540</v>
      </c>
      <c r="B3" s="3196" t="s">
        <v>3541</v>
      </c>
      <c r="C3" s="3196" t="s">
        <v>3542</v>
      </c>
      <c r="D3" s="3196" t="s">
        <v>3543</v>
      </c>
    </row>
    <row r="4" spans="1:4" ht="25.5">
      <c r="A4" s="3196" t="s">
        <v>3544</v>
      </c>
      <c r="B4" s="3196" t="s">
        <v>3545</v>
      </c>
      <c r="C4" s="3196" t="s">
        <v>3546</v>
      </c>
      <c r="D4" s="3196" t="s">
        <v>3547</v>
      </c>
    </row>
    <row r="5" spans="1:4" ht="25.5">
      <c r="A5" s="3196" t="s">
        <v>3548</v>
      </c>
      <c r="B5" s="3196" t="s">
        <v>3549</v>
      </c>
      <c r="C5" s="3196" t="s">
        <v>3550</v>
      </c>
      <c r="D5" s="3196" t="s">
        <v>3551</v>
      </c>
    </row>
    <row r="6" spans="1:4" ht="25.5">
      <c r="A6" s="3196" t="s">
        <v>3552</v>
      </c>
      <c r="B6" s="3196" t="s">
        <v>3553</v>
      </c>
      <c r="C6" s="3196" t="s">
        <v>3554</v>
      </c>
      <c r="D6" s="3196" t="s">
        <v>3555</v>
      </c>
    </row>
    <row r="7" spans="1:4" ht="25.5">
      <c r="A7" s="3197" t="s">
        <v>3556</v>
      </c>
      <c r="B7" s="3197" t="s">
        <v>3557</v>
      </c>
      <c r="C7" s="3198" t="s">
        <v>3558</v>
      </c>
      <c r="D7" s="3197" t="s">
        <v>3555</v>
      </c>
    </row>
    <row r="9" spans="1:4">
      <c r="A9" s="3578" t="s">
        <v>3570</v>
      </c>
      <c r="B9" s="3578"/>
      <c r="C9" s="3578"/>
      <c r="D9" s="3578"/>
    </row>
    <row r="10" spans="1:4" s="3194" customFormat="1">
      <c r="A10" s="3200" t="s">
        <v>3559</v>
      </c>
      <c r="B10" s="3579" t="s">
        <v>3561</v>
      </c>
      <c r="C10" s="3579" t="s">
        <v>3562</v>
      </c>
      <c r="D10" s="3579" t="s">
        <v>3563</v>
      </c>
    </row>
    <row r="11" spans="1:4" s="3194" customFormat="1">
      <c r="A11" s="3200" t="s">
        <v>3560</v>
      </c>
      <c r="B11" s="3579"/>
      <c r="C11" s="3579"/>
      <c r="D11" s="3579"/>
    </row>
    <row r="12" spans="1:4" ht="25.5">
      <c r="A12" s="3196" t="s">
        <v>3564</v>
      </c>
      <c r="B12" s="3201">
        <v>2049963.42</v>
      </c>
      <c r="C12" s="3201">
        <v>1700632.97</v>
      </c>
      <c r="D12" s="3201">
        <v>1814373.12</v>
      </c>
    </row>
    <row r="13" spans="1:4">
      <c r="A13" s="3196" t="s">
        <v>3565</v>
      </c>
      <c r="B13" s="3201">
        <v>32681.07</v>
      </c>
      <c r="C13" s="3201">
        <v>14989.2</v>
      </c>
      <c r="D13" s="3201">
        <v>9242.33</v>
      </c>
    </row>
    <row r="14" spans="1:4">
      <c r="A14" s="3196" t="s">
        <v>3566</v>
      </c>
      <c r="B14" s="3201">
        <v>479322.42</v>
      </c>
      <c r="C14" s="3201">
        <v>187365.03</v>
      </c>
      <c r="D14" s="3201">
        <v>369693.12</v>
      </c>
    </row>
    <row r="15" spans="1:4" ht="63.75">
      <c r="A15" s="3196" t="s">
        <v>3571</v>
      </c>
      <c r="B15" s="3204">
        <f>B12-B13-B14</f>
        <v>1537959.93</v>
      </c>
      <c r="C15" s="3204">
        <f>C12-C13-C14</f>
        <v>1498278.74</v>
      </c>
      <c r="D15" s="3204">
        <f>D12-D13-D14</f>
        <v>1435437.67</v>
      </c>
    </row>
    <row r="16" spans="1:4">
      <c r="A16" s="3196" t="s">
        <v>3572</v>
      </c>
      <c r="B16" s="3204">
        <f>四年收入支出!B5</f>
        <v>47354183.719999999</v>
      </c>
      <c r="C16" s="3204">
        <f>四年收入支出!C5</f>
        <v>46034196.599999994</v>
      </c>
      <c r="D16" s="3246">
        <f>四年收入支出!D5</f>
        <v>42419005.420000002</v>
      </c>
    </row>
    <row r="17" spans="1:4" ht="25.5">
      <c r="A17" s="3196" t="s">
        <v>3567</v>
      </c>
      <c r="B17" s="3202">
        <f>B15/B16</f>
        <v>3.2477804687623492E-2</v>
      </c>
      <c r="C17" s="3203">
        <f>C15/C16</f>
        <v>3.2547081314763297E-2</v>
      </c>
      <c r="D17" s="3203">
        <f>D15/D16</f>
        <v>3.3839493778494156E-2</v>
      </c>
    </row>
    <row r="18" spans="1:4">
      <c r="A18" s="3196" t="s">
        <v>3568</v>
      </c>
      <c r="B18" s="3577">
        <f>(B17+C17+D17)/3</f>
        <v>3.2954793260293651E-2</v>
      </c>
      <c r="C18" s="3577"/>
      <c r="D18" s="3577"/>
    </row>
    <row r="20" spans="1:4">
      <c r="B20">
        <f>ROUND((B16+B15)/10000,0)</f>
        <v>4889</v>
      </c>
      <c r="C20">
        <f>ROUND((C16+C15)/10000,0)</f>
        <v>4753</v>
      </c>
      <c r="D20">
        <f>ROUND((D16+D15)/10000,0)</f>
        <v>4385</v>
      </c>
    </row>
    <row r="21" spans="1:4">
      <c r="B21" s="3199">
        <f>B20/C20-1</f>
        <v>2.8613507258573589E-2</v>
      </c>
      <c r="C21" s="3199">
        <f>C20/D20-1</f>
        <v>8.3922462941847131E-2</v>
      </c>
    </row>
    <row r="22" spans="1:4">
      <c r="B22">
        <f>ROUND(B20+B12/10000,0)</f>
        <v>5094</v>
      </c>
      <c r="C22">
        <f t="shared" ref="C22:D22" si="0">ROUND(C20+C12/10000,0)</f>
        <v>4923</v>
      </c>
      <c r="D22">
        <f t="shared" si="0"/>
        <v>4566</v>
      </c>
    </row>
    <row r="23" spans="1:4">
      <c r="B23" s="3199">
        <f>B22/C22-1</f>
        <v>3.4734917733089565E-2</v>
      </c>
      <c r="C23" s="3199">
        <f>C22/D22-1</f>
        <v>7.8186596583442736E-2</v>
      </c>
    </row>
    <row r="24" spans="1:4">
      <c r="B24">
        <f ca="1">收益法!C5+'收益法 (配套)'!C5+'收益法 (车库)'!C5</f>
        <v>5200</v>
      </c>
    </row>
    <row r="25" spans="1:4">
      <c r="C25" s="3206" t="s">
        <v>3573</v>
      </c>
    </row>
    <row r="26" spans="1:4">
      <c r="C26">
        <v>8041</v>
      </c>
    </row>
  </sheetData>
  <mergeCells count="6">
    <mergeCell ref="B18:D18"/>
    <mergeCell ref="A9:D9"/>
    <mergeCell ref="A1:D1"/>
    <mergeCell ref="B10:B11"/>
    <mergeCell ref="C10:C11"/>
    <mergeCell ref="D10:D11"/>
  </mergeCells>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昆仑信托：</v>
      </c>
    </row>
    <row r="4" spans="1:1" ht="36">
      <c r="A4" s="1945" t="str">
        <f>"受贵公司委托，我公司对"&amp;项目基本情况!S1&amp;"进行了预评估。"</f>
        <v>受贵公司委托，我公司对北京市朝阳区朝阳公园西里北区5号房地产抵押价值进行了预评估。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估价对象为北京市朝阳区朝阳公园西里北区5号房地产，为所有。根据《不动产权证书》，估价对象（分摊）出让国有建设用地使用权面积为9464.04平方米，建筑面积为24747.89平方米。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西里北区5号房地产,属开发建设的居住项目，该项目尚在开发建设中。根据《不动产权证书》，估价对象（分摊）出让国有建设用地使用权面积为9464.04平方米，规划建筑面积为24747.89平方米。</v>
      </c>
    </row>
    <row r="11" spans="1:1" ht="76.5">
      <c r="A11" s="1948" t="s">
        <v>1611</v>
      </c>
    </row>
    <row r="12" spans="1:1" ht="18.75">
      <c r="A12" s="1946" t="s">
        <v>1612</v>
      </c>
    </row>
    <row r="13" spans="1:1" ht="38.25" customHeight="1">
      <c r="A13" s="1949" t="str">
        <f>IF(项目基本情况!B8="抵押",IF(项目基本情况!B5=项目基本情况!B6,定义!C51,定义!B51),定义!D51)</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2019年7月24日（评估专业人员实地查勘之日）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G19" sqref="G19"/>
    </sheetView>
  </sheetViews>
  <sheetFormatPr defaultRowHeight="13.5"/>
  <cols>
    <col min="1" max="1" width="25.625" customWidth="1"/>
    <col min="2" max="2" width="15.5" customWidth="1"/>
    <col min="3" max="3" width="14.625" customWidth="1"/>
    <col min="4" max="5" width="14.75" bestFit="1" customWidth="1"/>
    <col min="7" max="7" width="15.125" bestFit="1" customWidth="1"/>
  </cols>
  <sheetData>
    <row r="1" spans="1:10" ht="24">
      <c r="A1" s="3580" t="s">
        <v>3602</v>
      </c>
      <c r="B1" s="3581"/>
      <c r="C1" s="3581"/>
      <c r="D1" s="3222" t="s">
        <v>3627</v>
      </c>
      <c r="E1" s="3223"/>
      <c r="F1" s="1633"/>
      <c r="G1" s="1633"/>
      <c r="H1" s="1633"/>
      <c r="I1" s="1633"/>
      <c r="J1" s="1633"/>
    </row>
    <row r="2" spans="1:10" ht="23.25">
      <c r="A2" s="3224" t="s">
        <v>3603</v>
      </c>
      <c r="B2" s="3225"/>
      <c r="C2" s="3225"/>
      <c r="D2" s="1633"/>
      <c r="E2" s="3223"/>
      <c r="F2" s="1633"/>
      <c r="G2" s="1633"/>
      <c r="H2" s="1633"/>
      <c r="I2" s="1633"/>
      <c r="J2" s="1633"/>
    </row>
    <row r="3" spans="1:10" ht="28.5" customHeight="1">
      <c r="A3" s="3226" t="s">
        <v>3560</v>
      </c>
      <c r="B3" s="3227" t="s">
        <v>3604</v>
      </c>
      <c r="C3" s="3227" t="s">
        <v>3605</v>
      </c>
      <c r="D3" s="3227" t="s">
        <v>3606</v>
      </c>
      <c r="E3" s="3228" t="s">
        <v>3628</v>
      </c>
      <c r="F3" s="3229"/>
      <c r="G3" s="3230"/>
      <c r="H3" s="3230">
        <v>2018</v>
      </c>
      <c r="I3" s="3230">
        <v>2017</v>
      </c>
      <c r="J3" s="3230">
        <v>2016</v>
      </c>
    </row>
    <row r="4" spans="1:10" ht="20.100000000000001" customHeight="1">
      <c r="A4" s="3231" t="s">
        <v>3607</v>
      </c>
      <c r="B4" s="3240">
        <v>49404147.140000001</v>
      </c>
      <c r="C4" s="3240">
        <v>47734829.569999993</v>
      </c>
      <c r="D4" s="3240">
        <v>44233378.540000007</v>
      </c>
      <c r="E4" s="3240">
        <v>40090783.439999998</v>
      </c>
      <c r="F4" s="1633"/>
      <c r="G4" s="3232" t="s">
        <v>3608</v>
      </c>
      <c r="H4" s="3233">
        <f>(B4-C4)/C4</f>
        <v>3.4970640621059791E-2</v>
      </c>
      <c r="I4" s="3233">
        <f>(C4-D4)/D4</f>
        <v>7.915857087049416E-2</v>
      </c>
      <c r="J4" s="3233">
        <f t="shared" ref="H4:J5" si="0">(D4-E4)/E4</f>
        <v>0.10333036036075051</v>
      </c>
    </row>
    <row r="5" spans="1:10" ht="20.100000000000001" customHeight="1">
      <c r="A5" s="3234" t="s">
        <v>3609</v>
      </c>
      <c r="B5" s="3241">
        <v>47354183.719999999</v>
      </c>
      <c r="C5" s="3241">
        <v>46034196.599999994</v>
      </c>
      <c r="D5" s="3242">
        <v>42419005.420000002</v>
      </c>
      <c r="E5" s="3242">
        <v>38552552</v>
      </c>
      <c r="F5" s="1633"/>
      <c r="G5" s="3232" t="s">
        <v>3610</v>
      </c>
      <c r="H5" s="3233">
        <f t="shared" si="0"/>
        <v>2.8674055756194188E-2</v>
      </c>
      <c r="I5" s="3233">
        <f t="shared" si="0"/>
        <v>8.5225741249828485E-2</v>
      </c>
      <c r="J5" s="3233">
        <f t="shared" si="0"/>
        <v>0.10029046637431425</v>
      </c>
    </row>
    <row r="6" spans="1:10" ht="20.100000000000001" customHeight="1">
      <c r="A6" s="3235" t="s">
        <v>3611</v>
      </c>
      <c r="B6" s="3243">
        <v>960594.29</v>
      </c>
      <c r="C6" s="3241">
        <v>951172.85000000009</v>
      </c>
      <c r="D6" s="3242">
        <v>890140.31</v>
      </c>
      <c r="E6" s="3582">
        <v>1538231.44</v>
      </c>
      <c r="F6" s="1633"/>
      <c r="G6" s="3232" t="s">
        <v>3612</v>
      </c>
      <c r="H6" s="3233">
        <f>(B6-C6)/C6</f>
        <v>9.9050766640363455E-3</v>
      </c>
      <c r="I6" s="3233">
        <f>(C6-D6)/D6</f>
        <v>6.8565078240305777E-2</v>
      </c>
      <c r="J6" s="3233">
        <f>(D6+D7-E6)/E6</f>
        <v>0.17951894157097723</v>
      </c>
    </row>
    <row r="7" spans="1:10" ht="20.100000000000001" customHeight="1">
      <c r="A7" s="3234" t="s">
        <v>3613</v>
      </c>
      <c r="B7" s="3241">
        <v>1089369.1300000004</v>
      </c>
      <c r="C7" s="3241">
        <v>749460.12</v>
      </c>
      <c r="D7" s="3242">
        <v>924232.81</v>
      </c>
      <c r="E7" s="3583"/>
      <c r="F7" s="1633"/>
      <c r="G7" s="1633"/>
      <c r="H7" s="1633"/>
      <c r="I7" s="1633"/>
      <c r="J7" s="1633"/>
    </row>
    <row r="8" spans="1:10" ht="20.100000000000001" customHeight="1">
      <c r="A8" s="3231" t="s">
        <v>3614</v>
      </c>
      <c r="B8" s="3241">
        <v>12284554.890000001</v>
      </c>
      <c r="C8" s="3241">
        <v>13266997.769999998</v>
      </c>
      <c r="D8" s="3241">
        <v>12539650.390000001</v>
      </c>
      <c r="E8" s="3241">
        <v>12482119.949999999</v>
      </c>
      <c r="F8" s="1633"/>
      <c r="G8" s="1633"/>
      <c r="H8" s="1633"/>
      <c r="I8" s="1633"/>
      <c r="J8" s="1633"/>
    </row>
    <row r="9" spans="1:10" ht="20.100000000000001" customHeight="1">
      <c r="A9" s="3234" t="s">
        <v>3615</v>
      </c>
      <c r="B9" s="3241">
        <v>6703566.4500000002</v>
      </c>
      <c r="C9" s="3241">
        <v>7015089.3599999994</v>
      </c>
      <c r="D9" s="3242">
        <v>6476963.0199999996</v>
      </c>
      <c r="E9" s="3242">
        <v>6634677.1699999999</v>
      </c>
      <c r="F9" s="1633"/>
      <c r="G9" s="1633"/>
      <c r="H9" s="1633"/>
      <c r="I9" s="1633"/>
      <c r="J9" s="1633"/>
    </row>
    <row r="10" spans="1:10" ht="20.100000000000001" customHeight="1">
      <c r="A10" s="3236" t="s">
        <v>3616</v>
      </c>
      <c r="B10" s="3241">
        <v>92000</v>
      </c>
      <c r="C10" s="3241">
        <v>92000</v>
      </c>
      <c r="D10" s="3242">
        <v>93950</v>
      </c>
      <c r="E10" s="3242">
        <v>93250</v>
      </c>
      <c r="F10" s="1633"/>
      <c r="G10" s="1633"/>
      <c r="H10" s="1633"/>
      <c r="I10" s="1633"/>
      <c r="J10" s="1633"/>
    </row>
    <row r="11" spans="1:10" ht="20.100000000000001" customHeight="1">
      <c r="A11" s="3234" t="s">
        <v>3617</v>
      </c>
      <c r="B11" s="3241">
        <v>2000</v>
      </c>
      <c r="C11" s="3241">
        <v>50400.49</v>
      </c>
      <c r="D11" s="3242">
        <v>23915.01</v>
      </c>
      <c r="E11" s="3242">
        <v>34629.25</v>
      </c>
      <c r="F11" s="1633"/>
      <c r="G11" s="1633"/>
      <c r="H11" s="1633"/>
      <c r="I11" s="1633"/>
      <c r="J11" s="1633"/>
    </row>
    <row r="12" spans="1:10" ht="20.100000000000001" customHeight="1">
      <c r="A12" s="3235" t="s">
        <v>3618</v>
      </c>
      <c r="B12" s="3241">
        <v>2230629.7400000002</v>
      </c>
      <c r="C12" s="3241">
        <v>2355239.87</v>
      </c>
      <c r="D12" s="3242">
        <v>2370193.61</v>
      </c>
      <c r="E12" s="3242">
        <v>2413687.0099999998</v>
      </c>
      <c r="F12" s="1633"/>
      <c r="G12" s="1633"/>
      <c r="H12" s="1633"/>
      <c r="I12" s="1633"/>
      <c r="J12" s="1633"/>
    </row>
    <row r="13" spans="1:10" ht="20.100000000000001" customHeight="1">
      <c r="A13" s="3237" t="s">
        <v>3625</v>
      </c>
      <c r="B13" s="3244">
        <v>2032752.25</v>
      </c>
      <c r="C13" s="3244">
        <v>2031570.63</v>
      </c>
      <c r="D13" s="3245">
        <v>2034753.5300000012</v>
      </c>
      <c r="E13" s="3245">
        <v>1944367.52</v>
      </c>
      <c r="F13" s="3238"/>
      <c r="G13" s="3238"/>
      <c r="H13" s="3238"/>
      <c r="I13" s="3238"/>
      <c r="J13" s="3238"/>
    </row>
    <row r="14" spans="1:10" ht="20.100000000000001" customHeight="1">
      <c r="A14" s="3237" t="s">
        <v>3626</v>
      </c>
      <c r="B14" s="3244">
        <v>1223606.4500000002</v>
      </c>
      <c r="C14" s="3244">
        <v>1722697.42</v>
      </c>
      <c r="D14" s="3245">
        <v>1539875.22</v>
      </c>
      <c r="E14" s="3245">
        <v>1361509</v>
      </c>
      <c r="F14" s="3238"/>
      <c r="G14" s="3238"/>
      <c r="H14" s="3238"/>
      <c r="I14" s="3238"/>
      <c r="J14" s="3238"/>
    </row>
    <row r="15" spans="1:10" ht="20.100000000000001" customHeight="1">
      <c r="A15" s="3231" t="s">
        <v>3619</v>
      </c>
      <c r="B15" s="3241">
        <v>9012077.7400000002</v>
      </c>
      <c r="C15" s="3241">
        <v>8617229.6900000013</v>
      </c>
      <c r="D15" s="3241">
        <v>8122518.96</v>
      </c>
      <c r="E15" s="3241">
        <v>8076848.2300000004</v>
      </c>
      <c r="F15" s="1633"/>
      <c r="G15" s="1633"/>
      <c r="H15" s="1633"/>
      <c r="I15" s="1633"/>
      <c r="J15" s="1633"/>
    </row>
    <row r="16" spans="1:10" ht="20.100000000000001" customHeight="1">
      <c r="A16" s="3234" t="s">
        <v>3620</v>
      </c>
      <c r="B16" s="3241">
        <v>1663100.3</v>
      </c>
      <c r="C16" s="3241">
        <v>1556960.2200000002</v>
      </c>
      <c r="D16" s="3242">
        <v>1813959.16</v>
      </c>
      <c r="E16" s="3242">
        <v>1495182.4100000001</v>
      </c>
      <c r="F16" s="1633"/>
      <c r="G16" s="1633"/>
      <c r="H16" s="1633"/>
      <c r="I16" s="1633"/>
      <c r="J16" s="1633"/>
    </row>
    <row r="17" spans="1:10" ht="20.100000000000001" customHeight="1">
      <c r="A17" s="3234" t="s">
        <v>3621</v>
      </c>
      <c r="B17" s="3241">
        <v>4877080.28</v>
      </c>
      <c r="C17" s="3241">
        <v>4625542.09</v>
      </c>
      <c r="D17" s="3242">
        <v>4270287.95</v>
      </c>
      <c r="E17" s="3242">
        <v>4329949.46</v>
      </c>
      <c r="F17" s="1633"/>
      <c r="G17" s="1633"/>
      <c r="H17" s="1633"/>
      <c r="I17" s="1633"/>
      <c r="J17" s="1633"/>
    </row>
    <row r="18" spans="1:10" ht="20.100000000000001" customHeight="1">
      <c r="A18" s="3235" t="s">
        <v>3622</v>
      </c>
      <c r="B18" s="3241">
        <v>1816101.16</v>
      </c>
      <c r="C18" s="3241">
        <v>1768280.33</v>
      </c>
      <c r="D18" s="3242">
        <v>1838444.25</v>
      </c>
      <c r="E18" s="3242">
        <v>1568691.96</v>
      </c>
      <c r="F18" s="1633"/>
      <c r="G18" s="1633"/>
      <c r="H18" s="1633"/>
      <c r="I18" s="1633"/>
      <c r="J18" s="1633"/>
    </row>
    <row r="19" spans="1:10" ht="20.100000000000001" customHeight="1">
      <c r="A19" s="3235" t="s">
        <v>3629</v>
      </c>
      <c r="B19" s="3241">
        <v>655796</v>
      </c>
      <c r="C19" s="3241">
        <v>666447.05000000005</v>
      </c>
      <c r="D19" s="3242">
        <v>199827.6</v>
      </c>
      <c r="E19" s="3242">
        <v>683024.4</v>
      </c>
      <c r="F19" s="1633"/>
      <c r="G19" s="1633"/>
      <c r="H19" s="1633"/>
      <c r="I19" s="1633"/>
      <c r="J19" s="1633"/>
    </row>
    <row r="20" spans="1:10" ht="20.100000000000001" customHeight="1">
      <c r="A20" s="3239" t="s">
        <v>3623</v>
      </c>
      <c r="B20" s="3241">
        <v>21296632.630000003</v>
      </c>
      <c r="C20" s="3241">
        <v>21884227.460000001</v>
      </c>
      <c r="D20" s="3242">
        <v>20662169.350000001</v>
      </c>
      <c r="E20" s="3242">
        <v>20558968.18</v>
      </c>
      <c r="F20" s="1633"/>
      <c r="G20" s="1633"/>
      <c r="H20" s="1633"/>
      <c r="I20" s="1633"/>
      <c r="J20" s="1633"/>
    </row>
    <row r="21" spans="1:10" ht="20.100000000000001" customHeight="1">
      <c r="A21" s="3239" t="s">
        <v>3624</v>
      </c>
      <c r="B21" s="3241">
        <v>28107514.509999998</v>
      </c>
      <c r="C21" s="3241">
        <v>25850602.109999992</v>
      </c>
      <c r="D21" s="3241">
        <v>23571209.190000005</v>
      </c>
      <c r="E21" s="3241">
        <v>19531815.259999998</v>
      </c>
      <c r="F21" s="1633"/>
      <c r="G21" s="1633"/>
      <c r="H21" s="1633"/>
      <c r="I21" s="1633"/>
      <c r="J21" s="1633"/>
    </row>
  </sheetData>
  <mergeCells count="2">
    <mergeCell ref="A1:C1"/>
    <mergeCell ref="E6:E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3050</v>
      </c>
      <c r="D1" s="2405"/>
      <c r="E1" s="2405"/>
      <c r="F1" s="2407" t="s">
        <v>2107</v>
      </c>
      <c r="G1" s="2064" t="s">
        <v>3078</v>
      </c>
      <c r="H1" s="2408" t="str">
        <f>IF(G1="现房","——","估价对象范围")</f>
        <v>——</v>
      </c>
      <c r="I1" s="2409" t="s">
        <v>3100</v>
      </c>
    </row>
    <row r="2" spans="1:12" ht="21.75" customHeight="1" thickBot="1">
      <c r="A2" s="3399" t="str">
        <f>项目基本情况!S2</f>
        <v>北京市朝阳区朝阳公园西里北区5号房地产</v>
      </c>
      <c r="B2" s="3400"/>
      <c r="C2" s="3400"/>
      <c r="D2" s="3400"/>
      <c r="E2" s="3400"/>
      <c r="F2" s="3400"/>
      <c r="G2" s="3400"/>
      <c r="H2" s="3400"/>
      <c r="I2" s="3401"/>
    </row>
    <row r="3" spans="1:12" ht="12.75">
      <c r="A3" s="3403" t="s">
        <v>2108</v>
      </c>
      <c r="B3" s="3404"/>
      <c r="C3" s="3404"/>
      <c r="D3" s="3404"/>
      <c r="E3" s="3404"/>
      <c r="F3" s="3404"/>
      <c r="G3" s="3404"/>
      <c r="H3" s="3404"/>
      <c r="I3" s="3404"/>
    </row>
    <row r="4" spans="1:12" ht="14.25">
      <c r="A4" s="2412" t="s">
        <v>2109</v>
      </c>
      <c r="B4" s="2413" t="s">
        <v>2110</v>
      </c>
      <c r="C4" s="2414" t="s">
        <v>3096</v>
      </c>
      <c r="D4" s="2414" t="s">
        <v>3092</v>
      </c>
      <c r="E4" s="3396" t="s">
        <v>2111</v>
      </c>
      <c r="F4" s="3397"/>
      <c r="G4" s="3397"/>
      <c r="H4" s="3397"/>
      <c r="I4" s="3405"/>
      <c r="K4" s="2415" t="str">
        <f>IF(ISNUMBER(FIND("比较法",'结果表 (配套)'!C4)),"比较法",IF(ISNUMBER(FIND("成本法",'结果表 (配套)'!C4)),"成本法",IF(ISNUMBER(FIND("假设开发法",'结果表 (配套)'!C4)),"假设开发法",IF(ISNUMBER(FIND("收益法",'结果表 (配套)'!C4)),"收益法","基准地价系数修正法"))))</f>
        <v>成本法</v>
      </c>
      <c r="L4" s="2415" t="str">
        <f>IF(ISNUMBER(FIND("比较法",'结果表 (配套)'!D4)),"比较法",IF(ISNUMBER(FIND("成本法",'结果表 (配套)'!D4)),"成本法",IF(ISNUMBER(FIND("假设开发法",'结果表 (配套)'!D4)),"假设开发法",IF(ISNUMBER(FIND("收益法",'结果表 (配套)'!D4)),"收益法","基准地价系数修正法"))))</f>
        <v>收益法</v>
      </c>
    </row>
    <row r="5" spans="1:12" ht="12.75">
      <c r="A5" s="3379" t="s">
        <v>2112</v>
      </c>
      <c r="B5" s="3317">
        <v>25</v>
      </c>
      <c r="C5" s="3382"/>
      <c r="D5" s="3402"/>
      <c r="E5" s="140" t="s">
        <v>2113</v>
      </c>
      <c r="F5" s="2416"/>
      <c r="G5" s="2416"/>
      <c r="H5" s="2416"/>
      <c r="I5" s="1829"/>
    </row>
    <row r="6" spans="1:12" ht="12.75">
      <c r="A6" s="3379"/>
      <c r="B6" s="3317"/>
      <c r="C6" s="3383"/>
      <c r="D6" s="3402"/>
      <c r="E6" s="140" t="s">
        <v>2114</v>
      </c>
      <c r="F6" s="2416"/>
      <c r="G6" s="2416"/>
      <c r="H6" s="2416"/>
      <c r="I6" s="1829"/>
    </row>
    <row r="7" spans="1:12" ht="12.75">
      <c r="A7" s="3379"/>
      <c r="B7" s="3317"/>
      <c r="C7" s="3384"/>
      <c r="D7" s="3402"/>
      <c r="E7" s="140" t="s">
        <v>2115</v>
      </c>
      <c r="F7" s="2416"/>
      <c r="G7" s="2416"/>
      <c r="H7" s="2416"/>
      <c r="I7" s="1829"/>
    </row>
    <row r="8" spans="1:12" ht="12.75">
      <c r="A8" s="3379" t="s">
        <v>2116</v>
      </c>
      <c r="B8" s="3317">
        <v>15</v>
      </c>
      <c r="C8" s="3382"/>
      <c r="D8" s="3402"/>
      <c r="E8" s="140" t="s">
        <v>2117</v>
      </c>
      <c r="F8" s="2416"/>
      <c r="G8" s="2416"/>
      <c r="H8" s="2416"/>
      <c r="I8" s="1829"/>
    </row>
    <row r="9" spans="1:12" ht="12.75">
      <c r="A9" s="3379"/>
      <c r="B9" s="3317"/>
      <c r="C9" s="3384"/>
      <c r="D9" s="3402"/>
      <c r="E9" s="140" t="s">
        <v>2118</v>
      </c>
      <c r="F9" s="2416"/>
      <c r="G9" s="2416"/>
      <c r="H9" s="2416"/>
      <c r="I9" s="1829"/>
    </row>
    <row r="10" spans="1:12" ht="12.75">
      <c r="A10" s="3379" t="s">
        <v>2119</v>
      </c>
      <c r="B10" s="3317">
        <v>15</v>
      </c>
      <c r="C10" s="3382"/>
      <c r="D10" s="3402"/>
      <c r="E10" s="140" t="s">
        <v>2120</v>
      </c>
      <c r="F10" s="2416"/>
      <c r="G10" s="2416"/>
      <c r="H10" s="2416"/>
      <c r="I10" s="1829"/>
    </row>
    <row r="11" spans="1:12" ht="12.75">
      <c r="A11" s="3379"/>
      <c r="B11" s="3317"/>
      <c r="C11" s="3384"/>
      <c r="D11" s="3402"/>
      <c r="E11" s="140" t="s">
        <v>2121</v>
      </c>
      <c r="F11" s="2416"/>
      <c r="G11" s="2416"/>
      <c r="H11" s="2416"/>
      <c r="I11" s="1829"/>
    </row>
    <row r="12" spans="1:12" ht="12.75">
      <c r="A12" s="3379" t="s">
        <v>2122</v>
      </c>
      <c r="B12" s="3317">
        <v>15</v>
      </c>
      <c r="C12" s="3382"/>
      <c r="D12" s="3402"/>
      <c r="E12" s="140" t="s">
        <v>2123</v>
      </c>
      <c r="F12" s="2416"/>
      <c r="G12" s="2416"/>
      <c r="H12" s="2416"/>
      <c r="I12" s="1829"/>
    </row>
    <row r="13" spans="1:12" ht="12.75">
      <c r="A13" s="3379"/>
      <c r="B13" s="3317"/>
      <c r="C13" s="3384"/>
      <c r="D13" s="3402"/>
      <c r="E13" s="140" t="s">
        <v>2124</v>
      </c>
      <c r="F13" s="2416"/>
      <c r="G13" s="2416"/>
      <c r="H13" s="2416"/>
      <c r="I13" s="1829"/>
    </row>
    <row r="14" spans="1:12" ht="12.75">
      <c r="A14" s="3379" t="s">
        <v>2125</v>
      </c>
      <c r="B14" s="3317">
        <v>30</v>
      </c>
      <c r="C14" s="3382">
        <v>5</v>
      </c>
      <c r="D14" s="3402">
        <v>5</v>
      </c>
      <c r="E14" s="140" t="s">
        <v>2126</v>
      </c>
      <c r="F14" s="2416"/>
      <c r="G14" s="2416"/>
      <c r="H14" s="2416"/>
      <c r="I14" s="1829"/>
    </row>
    <row r="15" spans="1:12" ht="12.75">
      <c r="A15" s="3379"/>
      <c r="B15" s="3317"/>
      <c r="C15" s="3383"/>
      <c r="D15" s="3402"/>
      <c r="E15" s="140" t="s">
        <v>2127</v>
      </c>
      <c r="F15" s="2416"/>
      <c r="G15" s="2416"/>
      <c r="H15" s="2416"/>
      <c r="I15" s="1829"/>
    </row>
    <row r="16" spans="1:12" ht="12.75">
      <c r="A16" s="3379"/>
      <c r="B16" s="3317"/>
      <c r="C16" s="3384"/>
      <c r="D16" s="3402"/>
      <c r="E16" s="140" t="s">
        <v>2128</v>
      </c>
      <c r="F16" s="2416"/>
      <c r="G16" s="2416"/>
      <c r="H16" s="2416"/>
      <c r="I16" s="1829"/>
    </row>
    <row r="17" spans="1:35" ht="15">
      <c r="A17" s="2417" t="s">
        <v>2129</v>
      </c>
      <c r="B17" s="64"/>
      <c r="C17" s="141">
        <f>SUM(C5:C16)</f>
        <v>5</v>
      </c>
      <c r="D17" s="141">
        <f>SUM(D5:D16)</f>
        <v>5</v>
      </c>
      <c r="E17" s="138"/>
      <c r="F17" s="138"/>
      <c r="G17" s="138"/>
      <c r="H17" s="138"/>
      <c r="I17" s="138"/>
      <c r="K17" s="2415"/>
      <c r="L17" s="2418" t="s">
        <v>2130</v>
      </c>
      <c r="M17" s="2418" t="s">
        <v>2131</v>
      </c>
    </row>
    <row r="18" spans="1:35" ht="15.75" thickBot="1">
      <c r="A18" s="2419" t="s">
        <v>2132</v>
      </c>
      <c r="B18" s="2420"/>
      <c r="C18" s="142">
        <f>ROUND(C17/SUM(C17:D17),2)</f>
        <v>0.5</v>
      </c>
      <c r="D18" s="142">
        <f>1-C18</f>
        <v>0.5</v>
      </c>
      <c r="E18" s="138"/>
      <c r="F18" s="138"/>
      <c r="G18" s="138"/>
      <c r="H18" s="138"/>
      <c r="I18" s="138"/>
      <c r="K18" s="2415" t="s">
        <v>2133</v>
      </c>
      <c r="L18" s="2415">
        <f>IF(C1="",'数据-汇总表'!E3,SUMIF(项目类型,C1,'数据-汇总表'!E17:E26)+SUMIF(项目类型,C1,'数据-汇总表'!I17:I26))</f>
        <v>807.05</v>
      </c>
      <c r="M18" s="2415">
        <f>IF(C1="",'数据-汇总表'!E3,SUMIF(项目类型,C1,'数据-汇总表'!E17:E26))</f>
        <v>794.62</v>
      </c>
    </row>
    <row r="19" spans="1:35" ht="15">
      <c r="A19" s="2421" t="s">
        <v>2134</v>
      </c>
      <c r="B19" s="2422" t="s">
        <v>2135</v>
      </c>
      <c r="C19" s="143">
        <f ca="1">SUMIF(INDIRECT("'"&amp;C4&amp;"'"&amp;"!A:A"),'结果表 (配套)'!B19,INDIRECT("'"&amp;C4&amp;"'"&amp;"!B:B"))</f>
        <v>1412</v>
      </c>
      <c r="D19" s="144">
        <f ca="1">SUMIF(INDIRECT("'"&amp;D4&amp;"'"&amp;"!A:A"),'结果表 (配套)'!B19,INDIRECT("'"&amp;D4&amp;"'"&amp;"!B:B"))</f>
        <v>1095</v>
      </c>
      <c r="E19" s="2421" t="s">
        <v>2136</v>
      </c>
      <c r="F19" s="2422" t="s">
        <v>2135</v>
      </c>
      <c r="G19" s="145">
        <f ca="1">ROUND(C19*$C$18+D19*$D$18,0)</f>
        <v>1254</v>
      </c>
      <c r="H19" s="2423" t="s">
        <v>2137</v>
      </c>
      <c r="I19" s="138"/>
      <c r="K19" s="2415" t="s">
        <v>2138</v>
      </c>
      <c r="L19" s="2415">
        <f>IF(C1="",'数据-汇总表'!D3,SUMIF(项目类型,C1,'数据-汇总表'!D17:D26)+SUMIF(项目类型,C1,'数据-汇总表'!H17:H27))</f>
        <v>308.63</v>
      </c>
      <c r="M19" s="2415">
        <f>IF(C1="",'数据-汇总表'!D3,SUMIF(项目类型,C1,'数据-汇总表'!D17:D26))</f>
        <v>303.88</v>
      </c>
    </row>
    <row r="20" spans="1:35" ht="15">
      <c r="A20" s="2424"/>
      <c r="B20" s="1246" t="s">
        <v>2139</v>
      </c>
      <c r="C20" s="146">
        <f ca="1">SUMIF(INDIRECT("'"&amp;C4&amp;"'"&amp;"!A:A"),'结果表 (配套)'!B20,INDIRECT("'"&amp;C4&amp;"'"&amp;"!B:B"))</f>
        <v>17769</v>
      </c>
      <c r="D20" s="147">
        <f ca="1">SUMIF(INDIRECT("'"&amp;D4&amp;"'"&amp;"!A:A"),'结果表 (配套)'!B20,INDIRECT("'"&amp;D4&amp;"'"&amp;"!B:B"))</f>
        <v>13780</v>
      </c>
      <c r="E20" s="2424"/>
      <c r="F20" s="1246" t="s">
        <v>2139</v>
      </c>
      <c r="G20" s="148">
        <f ca="1">ROUND(C20*$C$18+D20*$D$18,0)</f>
        <v>15775</v>
      </c>
      <c r="H20" s="980" t="s">
        <v>2140</v>
      </c>
      <c r="I20" s="138"/>
    </row>
    <row r="21" spans="1:35" ht="15" customHeight="1" thickBot="1">
      <c r="A21" s="1000"/>
      <c r="B21" s="2425" t="s">
        <v>2141</v>
      </c>
      <c r="C21" s="789">
        <f ca="1">ROUND(C19*10000/L19,0)</f>
        <v>45751</v>
      </c>
      <c r="D21" s="790">
        <f ca="1">ROUND(D19*10000/L19,0)</f>
        <v>35479</v>
      </c>
      <c r="E21" s="1000"/>
      <c r="F21" s="2425" t="s">
        <v>2141</v>
      </c>
      <c r="G21" s="149">
        <f ca="1">ROUND(G19*10000/L19,0)</f>
        <v>40631</v>
      </c>
      <c r="H21" s="2426" t="s">
        <v>2140</v>
      </c>
      <c r="I21" s="138"/>
    </row>
    <row r="22" spans="1:35" ht="15" thickBot="1">
      <c r="A22" s="2270" t="s">
        <v>2142</v>
      </c>
      <c r="B22" s="2427"/>
      <c r="C22" s="2428"/>
      <c r="D22" s="791">
        <f ca="1">IF(C19&lt;D19,D19/C19-1,C19/D19-1)</f>
        <v>0.28949771689497728</v>
      </c>
      <c r="E22" s="138"/>
      <c r="F22" s="138"/>
      <c r="G22" s="138"/>
      <c r="H22" s="138"/>
      <c r="I22" s="138"/>
    </row>
    <row r="23" spans="1:35" ht="13.5" thickBot="1">
      <c r="A23" s="2405"/>
      <c r="B23" s="2405"/>
      <c r="C23" s="2405"/>
      <c r="D23" s="2405"/>
      <c r="E23" s="138"/>
      <c r="F23" s="138"/>
      <c r="G23" s="138"/>
      <c r="H23" s="138"/>
      <c r="I23" s="138"/>
    </row>
    <row r="24" spans="1:35" ht="14.25">
      <c r="A24" s="3373" t="s">
        <v>2143</v>
      </c>
      <c r="B24" s="2422" t="s">
        <v>2135</v>
      </c>
      <c r="C24" s="145">
        <f>IF(B30=0,0,D30)</f>
        <v>0</v>
      </c>
      <c r="D24" s="2429"/>
      <c r="E24" s="138"/>
      <c r="F24" s="138"/>
      <c r="G24" s="138"/>
      <c r="H24" s="138"/>
      <c r="I24" s="138"/>
    </row>
    <row r="25" spans="1:35" ht="14.25">
      <c r="A25" s="3374"/>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1254</v>
      </c>
      <c r="D32" s="2436" t="s">
        <v>2150</v>
      </c>
      <c r="E32" s="138"/>
      <c r="F32" s="138"/>
      <c r="G32" s="138"/>
      <c r="H32" s="138"/>
      <c r="I32" s="138"/>
    </row>
    <row r="33" spans="1:15" ht="15">
      <c r="A33" s="957" t="s">
        <v>2151</v>
      </c>
      <c r="B33" s="2437"/>
      <c r="C33" s="2438" t="s">
        <v>3680</v>
      </c>
      <c r="D33" s="2439" t="s">
        <v>3096</v>
      </c>
      <c r="E33" s="2440" t="s">
        <v>2152</v>
      </c>
      <c r="F33" s="2940" t="str">
        <f>IF(D32="楼面单价","取值（单价）","取值（总价）")</f>
        <v>取值（总价）</v>
      </c>
      <c r="G33" s="138"/>
      <c r="H33" s="138"/>
      <c r="I33" s="138"/>
    </row>
    <row r="34" spans="1:15" ht="15">
      <c r="A34" s="2442"/>
      <c r="B34" s="2443" t="s">
        <v>2153</v>
      </c>
      <c r="C34" s="157">
        <f ca="1">IF(C33="自定义",F34,C32-C35)</f>
        <v>953</v>
      </c>
      <c r="D34" s="1054">
        <f ca="1">IF(C33="自定义",ROUND(C34/C32,3),IF(C33="收益比率",SUMIF(INDIRECT("'"&amp;D33&amp;"'"&amp;"!b:b"),"土地收益比率",INDIRECT("'"&amp;D33&amp;"'"&amp;"!c:c")),SUMIF(INDIRECT("'"&amp;D33&amp;"'"&amp;"!b:b"),"土地成本比率",INDIRECT("'"&amp;D33&amp;"'"&amp;"!c:c"))))</f>
        <v>0.76</v>
      </c>
      <c r="E34" s="2444" t="s">
        <v>2154</v>
      </c>
      <c r="F34" s="1734"/>
      <c r="G34" s="138"/>
      <c r="H34" s="138"/>
      <c r="I34" s="138"/>
    </row>
    <row r="35" spans="1:15" ht="15.75" thickBot="1">
      <c r="A35" s="2445"/>
      <c r="B35" s="2446" t="s">
        <v>2155</v>
      </c>
      <c r="C35" s="1440">
        <f ca="1">IF(C33="自定义",F35,ROUND(C32*D35,0))</f>
        <v>301</v>
      </c>
      <c r="D35" s="1441">
        <f ca="1">IF(C33="自定义",ROUND(C35/C32,3),IF(C33="收益比率",SUMIF(INDIRECT("'"&amp;D33&amp;"'"&amp;"!b:b"),"建筑物收益比率",INDIRECT("'"&amp;D33&amp;"'"&amp;"!c:c")),SUMIF(INDIRECT("'"&amp;D33&amp;"'"&amp;"!b:b"),"建筑物成本比率",INDIRECT("'"&amp;D33&amp;"'"&amp;"!c:c"))))</f>
        <v>0.24</v>
      </c>
      <c r="E35" s="2447" t="s">
        <v>2156</v>
      </c>
      <c r="F35" s="163"/>
      <c r="G35" s="138"/>
      <c r="H35" s="138"/>
      <c r="I35" s="138"/>
    </row>
    <row r="36" spans="1:15" ht="15.75" thickBot="1">
      <c r="A36" s="3391" t="s">
        <v>2157</v>
      </c>
      <c r="B36" s="2448" t="s">
        <v>2158</v>
      </c>
      <c r="C36" s="154"/>
      <c r="D36" s="2449"/>
      <c r="E36" s="2450"/>
      <c r="F36" s="2451"/>
      <c r="G36" s="138"/>
      <c r="H36" s="138"/>
      <c r="I36" s="138"/>
    </row>
    <row r="37" spans="1:15" ht="15.75" thickBot="1">
      <c r="A37" s="3392"/>
      <c r="B37" s="2256" t="s">
        <v>2159</v>
      </c>
      <c r="C37" s="156"/>
      <c r="D37" s="1391"/>
      <c r="E37" s="1391"/>
      <c r="F37" s="2451"/>
      <c r="G37" s="138"/>
      <c r="H37" s="138"/>
      <c r="I37" s="138"/>
    </row>
    <row r="38" spans="1:15" ht="15.75" thickBot="1">
      <c r="A38" s="3393"/>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70" t="s">
        <v>2171</v>
      </c>
      <c r="B45" s="3371"/>
      <c r="C45" s="3372"/>
      <c r="D45" s="164">
        <f ca="1">ROUND(H101*F45,0)</f>
        <v>1254</v>
      </c>
      <c r="E45" s="165" t="s">
        <v>2172</v>
      </c>
      <c r="F45" s="166">
        <v>1</v>
      </c>
      <c r="G45" s="167" t="s">
        <v>2173</v>
      </c>
      <c r="H45" s="138"/>
      <c r="I45" s="138"/>
      <c r="J45" s="3430" t="s">
        <v>2174</v>
      </c>
      <c r="K45" s="3430"/>
      <c r="L45" s="3430"/>
      <c r="M45" s="3430"/>
      <c r="N45" s="3430"/>
      <c r="O45" s="3430"/>
    </row>
    <row r="46" spans="1:15" ht="14.25" customHeight="1">
      <c r="A46" s="3367" t="s">
        <v>2175</v>
      </c>
      <c r="B46" s="3368"/>
      <c r="C46" s="3368"/>
      <c r="D46" s="3368"/>
      <c r="E46" s="3368"/>
      <c r="F46" s="3368"/>
      <c r="G46" s="3369"/>
      <c r="H46" s="2467"/>
      <c r="I46" s="168"/>
      <c r="J46" s="2952">
        <v>1</v>
      </c>
      <c r="K46" s="3430" t="s">
        <v>2176</v>
      </c>
      <c r="L46" s="3430"/>
      <c r="M46" s="3450"/>
      <c r="N46" s="3450"/>
      <c r="O46" s="3450"/>
    </row>
    <row r="47" spans="1:15" ht="12" customHeight="1">
      <c r="A47" s="169" t="s">
        <v>2177</v>
      </c>
      <c r="B47" s="170"/>
      <c r="C47" s="171"/>
      <c r="D47" s="172" t="s">
        <v>2178</v>
      </c>
      <c r="E47" s="24" t="s">
        <v>2179</v>
      </c>
      <c r="F47" s="173" t="s">
        <v>2180</v>
      </c>
      <c r="G47" s="174" t="s">
        <v>2181</v>
      </c>
      <c r="H47" s="2467"/>
      <c r="I47" s="168"/>
      <c r="J47" s="2952">
        <v>2</v>
      </c>
      <c r="K47" s="3430" t="s">
        <v>2182</v>
      </c>
      <c r="L47" s="3430"/>
      <c r="M47" s="3451">
        <f>'数据-取费表'!B2</f>
        <v>43670</v>
      </c>
      <c r="N47" s="3451"/>
      <c r="O47" s="3451"/>
    </row>
    <row r="48" spans="1:15" ht="25.5">
      <c r="A48" s="3398" t="s">
        <v>2183</v>
      </c>
      <c r="B48" s="3381"/>
      <c r="C48" s="3381"/>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430" t="s">
        <v>2186</v>
      </c>
      <c r="L48" s="3430"/>
      <c r="M48" s="3452">
        <f ca="1">H101</f>
        <v>1254</v>
      </c>
      <c r="N48" s="3452"/>
      <c r="O48" s="3452"/>
    </row>
    <row r="49" spans="1:35" ht="25.5" customHeight="1">
      <c r="A49" s="176" t="s">
        <v>2187</v>
      </c>
      <c r="B49" s="3366" t="s">
        <v>2188</v>
      </c>
      <c r="C49" s="3366"/>
      <c r="D49" s="177">
        <v>0</v>
      </c>
      <c r="E49" s="23" t="s">
        <v>2189</v>
      </c>
      <c r="F49" s="28" t="s">
        <v>34</v>
      </c>
      <c r="G49" s="3436"/>
      <c r="H49" s="138"/>
      <c r="I49" s="2470"/>
      <c r="J49" s="2952">
        <v>4</v>
      </c>
      <c r="K49" s="3430" t="str">
        <f>IF(项目基本情况!E8="房地产抵押价值","房地产抵押价值","抵押担保权已注销时的房地产抵押价值")</f>
        <v>房地产抵押价值</v>
      </c>
      <c r="L49" s="3430"/>
      <c r="M49" s="3452">
        <f ca="1">IF(项目基本情况!E8="房地产抵押价值",H107,H109)</f>
        <v>1254</v>
      </c>
      <c r="N49" s="3452"/>
      <c r="O49" s="3452"/>
    </row>
    <row r="50" spans="1:35" ht="25.5" customHeight="1">
      <c r="A50" s="178"/>
      <c r="B50" s="3366" t="s">
        <v>2190</v>
      </c>
      <c r="C50" s="3366"/>
      <c r="D50" s="179"/>
      <c r="E50" s="31"/>
      <c r="F50" s="180"/>
      <c r="G50" s="3437"/>
      <c r="H50" s="138"/>
      <c r="I50" s="2470"/>
      <c r="J50" s="3430" t="s">
        <v>2191</v>
      </c>
      <c r="K50" s="3430"/>
      <c r="L50" s="3430"/>
      <c r="M50" s="3430"/>
      <c r="N50" s="3430"/>
      <c r="O50" s="3430"/>
    </row>
    <row r="51" spans="1:35" ht="12" customHeight="1">
      <c r="A51" s="181"/>
      <c r="B51" s="3366" t="s">
        <v>2192</v>
      </c>
      <c r="C51" s="3366"/>
      <c r="D51" s="182"/>
      <c r="E51" s="30"/>
      <c r="F51" s="180"/>
      <c r="G51" s="3438"/>
      <c r="H51" s="138"/>
      <c r="I51" s="2470"/>
      <c r="J51" s="2951" t="s">
        <v>2193</v>
      </c>
      <c r="K51" s="3430" t="s">
        <v>2194</v>
      </c>
      <c r="L51" s="3430"/>
      <c r="M51" s="2951" t="s">
        <v>2195</v>
      </c>
      <c r="N51" s="2951" t="s">
        <v>2196</v>
      </c>
      <c r="O51" s="2951" t="s">
        <v>2197</v>
      </c>
    </row>
    <row r="52" spans="1:35" ht="24" customHeight="1">
      <c r="A52" s="183" t="s">
        <v>2198</v>
      </c>
      <c r="B52" s="3366" t="s">
        <v>2199</v>
      </c>
      <c r="C52" s="3366"/>
      <c r="D52" s="182">
        <f ca="1">ROUND(D45*'数据-取费表'!B41/(1+'数据-取费表'!C42),0)</f>
        <v>67</v>
      </c>
      <c r="E52" s="11" t="s">
        <v>2200</v>
      </c>
      <c r="F52" s="184">
        <f>'数据-取费表'!B41</f>
        <v>5.6000000000000001E-2</v>
      </c>
      <c r="G52" s="2472"/>
      <c r="H52" s="138"/>
      <c r="I52" s="2470"/>
      <c r="J52" s="2952">
        <v>1</v>
      </c>
      <c r="K52" s="3431" t="s">
        <v>2201</v>
      </c>
      <c r="L52" s="3431"/>
      <c r="M52" s="1749">
        <f>D48</f>
        <v>0</v>
      </c>
      <c r="N52" s="2952" t="str">
        <f>E48</f>
        <v>销售额×税（费）率</v>
      </c>
      <c r="O52" s="1750" t="str">
        <f>F48</f>
        <v>免征</v>
      </c>
    </row>
    <row r="53" spans="1:35" ht="12" customHeight="1">
      <c r="A53" s="183" t="s">
        <v>2202</v>
      </c>
      <c r="B53" s="3389" t="s">
        <v>2203</v>
      </c>
      <c r="C53" s="3390"/>
      <c r="D53" s="182">
        <f ca="1">ROUND(D45*'数据-取费表'!B41/(1+'数据-取费表'!C42),0)</f>
        <v>67</v>
      </c>
      <c r="E53" s="11" t="s">
        <v>2200</v>
      </c>
      <c r="F53" s="184">
        <f>'数据-取费表'!B41</f>
        <v>5.6000000000000001E-2</v>
      </c>
      <c r="G53" s="2472"/>
      <c r="H53" s="138"/>
      <c r="I53" s="2470"/>
      <c r="J53" s="2952">
        <v>2</v>
      </c>
      <c r="K53" s="3431" t="s">
        <v>2204</v>
      </c>
      <c r="L53" s="3431"/>
      <c r="M53" s="1749">
        <f t="shared" ref="M53:O54" ca="1" si="0">D55</f>
        <v>1</v>
      </c>
      <c r="N53" s="2952" t="str">
        <f t="shared" si="0"/>
        <v>销售额×税（费）率</v>
      </c>
      <c r="O53" s="1750">
        <f t="shared" si="0"/>
        <v>5.0000000000000001E-4</v>
      </c>
    </row>
    <row r="54" spans="1:35" ht="12" customHeight="1">
      <c r="A54" s="183" t="s">
        <v>2205</v>
      </c>
      <c r="B54" s="3389" t="s">
        <v>2206</v>
      </c>
      <c r="C54" s="3390"/>
      <c r="D54" s="182">
        <f ca="1">C68</f>
        <v>67</v>
      </c>
      <c r="E54" s="30" t="s">
        <v>2207</v>
      </c>
      <c r="F54" s="184">
        <f>'数据-取费表'!B41</f>
        <v>5.6000000000000001E-2</v>
      </c>
      <c r="G54" s="2472"/>
      <c r="H54" s="2473"/>
      <c r="I54" s="2470"/>
      <c r="J54" s="2952">
        <v>3</v>
      </c>
      <c r="K54" s="3431" t="s">
        <v>2208</v>
      </c>
      <c r="L54" s="3431"/>
      <c r="M54" s="1749">
        <f t="shared" ca="1" si="0"/>
        <v>710</v>
      </c>
      <c r="N54" s="2952" t="str">
        <f t="shared" si="0"/>
        <v>增值额×税（费）率</v>
      </c>
      <c r="O54" s="1751" t="str">
        <f t="shared" si="0"/>
        <v>——</v>
      </c>
    </row>
    <row r="55" spans="1:35" ht="24" customHeight="1">
      <c r="A55" s="3380" t="s">
        <v>2209</v>
      </c>
      <c r="B55" s="3381"/>
      <c r="C55" s="3381"/>
      <c r="D55" s="185">
        <f ca="1">IF(H55="个人住宅",0,ROUND(D45*I55,0))</f>
        <v>1</v>
      </c>
      <c r="E55" s="11" t="s">
        <v>2210</v>
      </c>
      <c r="F55" s="184">
        <f>IF(H55="正常",I55,"免征")</f>
        <v>5.0000000000000001E-4</v>
      </c>
      <c r="G55" s="2472"/>
      <c r="H55" s="2469" t="s">
        <v>2211</v>
      </c>
      <c r="I55" s="186">
        <f>'数据-取费表'!B49</f>
        <v>5.0000000000000001E-4</v>
      </c>
      <c r="J55" s="2952" t="str">
        <f>IF(H59="非个人房产","",4)</f>
        <v/>
      </c>
      <c r="K55" s="3431" t="str">
        <f>IF(H59="非个人房产","——","个人所得税")</f>
        <v>——</v>
      </c>
      <c r="L55" s="3431"/>
      <c r="M55" s="1752" t="str">
        <f>D59</f>
        <v>——</v>
      </c>
      <c r="N55" s="2953" t="str">
        <f>E59</f>
        <v>——</v>
      </c>
      <c r="O55" s="1753" t="str">
        <f>F59</f>
        <v>——</v>
      </c>
    </row>
    <row r="56" spans="1:35" ht="24.75">
      <c r="A56" s="3380" t="s">
        <v>2212</v>
      </c>
      <c r="B56" s="3381"/>
      <c r="C56" s="3381"/>
      <c r="D56" s="185">
        <f ca="1">IF(H56="个人住宅",D57,D58)</f>
        <v>710</v>
      </c>
      <c r="E56" s="11" t="s">
        <v>2213</v>
      </c>
      <c r="F56" s="184" t="str">
        <f>IF(H56="正常",F58,"免征")</f>
        <v>——</v>
      </c>
      <c r="G56" s="2474" t="s">
        <v>2214</v>
      </c>
      <c r="H56" s="2475" t="s">
        <v>2211</v>
      </c>
      <c r="I56" s="2476"/>
      <c r="J56" s="2952" t="str">
        <f>IF(项目基本情况!K6="上海银行",IF(J55="",4,J55+1),"")</f>
        <v/>
      </c>
      <c r="K56" s="3454" t="str">
        <f>IF(项目基本情况!K6="上海银行","其他处置费用","")</f>
        <v/>
      </c>
      <c r="L56" s="3455"/>
      <c r="M56" s="1749" t="str">
        <f>IF(项目基本情况!K6="上海银行",M69,"")</f>
        <v/>
      </c>
      <c r="N56" s="3457" t="str">
        <f>IF(项目基本情况!K6="上海银行","包含处置中涉及的律师、诉讼、拍卖、评估等费用","")</f>
        <v/>
      </c>
      <c r="O56" s="3458"/>
    </row>
    <row r="57" spans="1:35" ht="12.75">
      <c r="A57" s="183" t="s">
        <v>2187</v>
      </c>
      <c r="B57" s="3396" t="s">
        <v>2215</v>
      </c>
      <c r="C57" s="3405"/>
      <c r="D57" s="187">
        <v>0</v>
      </c>
      <c r="E57" s="23" t="s">
        <v>2189</v>
      </c>
      <c r="F57" s="155"/>
      <c r="G57" s="2472"/>
      <c r="H57" s="2476"/>
      <c r="I57" s="2476"/>
      <c r="J57" s="3431">
        <f>IF(AND(J55="",J56=""),4,IF(项目基本情况!K6="上海银行",'结果表 (配套)'!J56+1,'结果表 (配套)'!J55+1))</f>
        <v>4</v>
      </c>
      <c r="K57" s="3431" t="s">
        <v>2216</v>
      </c>
      <c r="L57" s="2477" t="s">
        <v>2217</v>
      </c>
      <c r="M57" s="1754"/>
      <c r="N57" s="1755">
        <f ca="1">SUMIF(M52:M56,"&lt;9e307")</f>
        <v>711</v>
      </c>
      <c r="O57" s="2478"/>
      <c r="P57" s="1748">
        <f ca="1">N57/M49</f>
        <v>0.56698564593301437</v>
      </c>
    </row>
    <row r="58" spans="1:35" ht="24.75">
      <c r="A58" s="183" t="s">
        <v>2198</v>
      </c>
      <c r="B58" s="3396" t="s">
        <v>2218</v>
      </c>
      <c r="C58" s="3397"/>
      <c r="D58" s="185">
        <f ca="1">IF(H58="转让取得",C81,C97)</f>
        <v>710</v>
      </c>
      <c r="E58" s="11" t="s">
        <v>2213</v>
      </c>
      <c r="F58" s="24" t="s">
        <v>34</v>
      </c>
      <c r="G58" s="2472"/>
      <c r="H58" s="2475" t="s">
        <v>2219</v>
      </c>
      <c r="I58" s="2476"/>
      <c r="J58" s="3431"/>
      <c r="K58" s="3431"/>
      <c r="L58" s="2477" t="s">
        <v>2220</v>
      </c>
      <c r="M58" s="1756"/>
      <c r="N58" s="2479" t="str">
        <f ca="1">NUMBERSTRING(INT(N57*10000),2)&amp;"元整"</f>
        <v>柒佰壹拾壹万元整</v>
      </c>
      <c r="O58" s="2480"/>
    </row>
    <row r="59" spans="1:35" ht="24.75" thickBot="1">
      <c r="A59" s="3434" t="s">
        <v>2221</v>
      </c>
      <c r="B59" s="3435"/>
      <c r="C59" s="3435"/>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32">
        <f>J57+1</f>
        <v>5</v>
      </c>
      <c r="K59" s="3431" t="s">
        <v>2223</v>
      </c>
      <c r="L59" s="2952" t="s">
        <v>2217</v>
      </c>
      <c r="M59" s="1757"/>
      <c r="N59" s="1758">
        <f ca="1">M49-N57</f>
        <v>543</v>
      </c>
      <c r="O59" s="2482"/>
    </row>
    <row r="60" spans="1:35" ht="12" customHeight="1">
      <c r="A60" s="2483"/>
      <c r="B60" s="2405"/>
      <c r="C60" s="2405"/>
      <c r="D60" s="2405"/>
      <c r="E60" s="2156"/>
      <c r="F60" s="2476"/>
      <c r="G60" s="2476"/>
      <c r="H60" s="2484"/>
      <c r="I60" s="138"/>
      <c r="J60" s="3433"/>
      <c r="K60" s="3431"/>
      <c r="L60" s="2477" t="s">
        <v>2220</v>
      </c>
      <c r="M60" s="1756"/>
      <c r="N60" s="2479" t="str">
        <f ca="1">NUMBERSTRING(INT(N59*10000),2)&amp;"元整"</f>
        <v>伍佰肆拾叁万元整</v>
      </c>
      <c r="O60" s="2480"/>
    </row>
    <row r="61" spans="1:35" ht="13.5" thickBot="1">
      <c r="A61" s="3378" t="s">
        <v>2224</v>
      </c>
      <c r="B61" s="3378"/>
      <c r="C61" s="3378"/>
      <c r="D61" s="3378"/>
      <c r="E61" s="3378"/>
      <c r="F61" s="2476"/>
      <c r="G61" s="2476"/>
      <c r="H61" s="2484"/>
      <c r="I61" s="138"/>
      <c r="J61" s="2952">
        <f>J59+1</f>
        <v>6</v>
      </c>
      <c r="K61" s="3431" t="s">
        <v>2225</v>
      </c>
      <c r="L61" s="3431"/>
      <c r="M61" s="1759"/>
      <c r="N61" s="1760">
        <f ca="1">ROUND(N59*10000/'数据-汇总表'!E3,0)</f>
        <v>219</v>
      </c>
      <c r="O61" s="2485"/>
    </row>
    <row r="62" spans="1:35" ht="12.75">
      <c r="A62" s="3394" t="s">
        <v>2226</v>
      </c>
      <c r="B62" s="3395"/>
      <c r="C62" s="2947"/>
      <c r="D62" s="2947" t="s">
        <v>2227</v>
      </c>
      <c r="E62" s="192" t="s">
        <v>2228</v>
      </c>
      <c r="F62" s="2476"/>
      <c r="G62" s="2476"/>
      <c r="H62" s="2484"/>
      <c r="I62" s="138"/>
    </row>
    <row r="63" spans="1:35" ht="12.75">
      <c r="A63" s="203" t="s">
        <v>775</v>
      </c>
      <c r="B63" s="193" t="s">
        <v>2229</v>
      </c>
      <c r="C63" s="194">
        <f ca="1">ROUND((C64+C65)/(1+'数据-取费表'!C42),0)</f>
        <v>1194</v>
      </c>
      <c r="D63" s="195"/>
      <c r="E63" s="196"/>
      <c r="F63" s="2476"/>
      <c r="G63" s="2476"/>
      <c r="H63" s="2484"/>
      <c r="I63" s="138"/>
      <c r="J63" s="3456" t="s">
        <v>2230</v>
      </c>
      <c r="K63" s="2957" t="s">
        <v>2231</v>
      </c>
      <c r="L63" s="1747">
        <f ca="1">IF(M49&gt;10000,M49*0.5%,IF(AND(M49&gt;1000,M49&lt;=10000),M49*1%,IF(AND(M49&gt;100,M49&lt;=1000),M49*3%,IF(AND(M49&gt;10,M49&lt;=100),M49*5%,M49*8%))))</f>
        <v>12.540000000000001</v>
      </c>
      <c r="M63" s="24">
        <f ca="1">ROUND(L63,1)</f>
        <v>12.5</v>
      </c>
      <c r="Z63" s="2410"/>
      <c r="AI63" s="2411"/>
    </row>
    <row r="64" spans="1:35" ht="14.25" customHeight="1">
      <c r="A64" s="197" t="s">
        <v>770</v>
      </c>
      <c r="B64" s="198" t="s">
        <v>2232</v>
      </c>
      <c r="C64" s="199">
        <f ca="1">D45</f>
        <v>1254</v>
      </c>
      <c r="D64" s="200" t="s">
        <v>32</v>
      </c>
      <c r="E64" s="201"/>
      <c r="F64" s="2476"/>
      <c r="G64" s="2476"/>
      <c r="H64" s="2484"/>
      <c r="I64" s="138"/>
      <c r="J64" s="3456"/>
      <c r="K64" s="2957" t="s">
        <v>2233</v>
      </c>
      <c r="L64" s="1747">
        <f ca="1">IF(M49&gt;2000,M49*0.5%,IF(AND(M49&gt;1000,M49&lt;=2000),M49*0.6%,IF(AND(M49&gt;500,M49&lt;=1000),M49*0.7%,IF(AND(M49&gt;200,M49&lt;=500),M49*0.8%,IF(AND(M49&gt;100,M49&lt;=200),M49*0.9%,IF(AND(M49&gt;50,M49&lt;=100),M49*1%,IF(AND(M49&gt;20,M49&lt;=50),M49*1.5%,IF(AND(M49&gt;10,M49&lt;=20),M49*2%,IF(AND(M49&gt;1,M49&lt;=10),M49*2.5%)))))))))</f>
        <v>7.524</v>
      </c>
      <c r="M64" s="24">
        <f t="shared" ref="M64:M65" ca="1" si="1">ROUND(L64,1)</f>
        <v>7.5</v>
      </c>
      <c r="N64" s="138" t="s">
        <v>2234</v>
      </c>
      <c r="Z64" s="2410"/>
      <c r="AI64" s="2411"/>
    </row>
    <row r="65" spans="1:35" ht="14.25" customHeight="1">
      <c r="A65" s="197" t="s">
        <v>771</v>
      </c>
      <c r="B65" s="198" t="s">
        <v>2235</v>
      </c>
      <c r="C65" s="202"/>
      <c r="D65" s="200"/>
      <c r="E65" s="201"/>
      <c r="F65" s="2476"/>
      <c r="G65" s="2476"/>
      <c r="H65" s="2484"/>
      <c r="I65" s="138"/>
      <c r="J65" s="3456"/>
      <c r="K65" s="2957" t="s">
        <v>2236</v>
      </c>
      <c r="L65" s="1747">
        <f ca="1">IF(M49&gt;1000,M49*0.1%,IF(AND(M49&gt;500,M49&lt;=1000),M49*0.5%,IF(AND(M49&gt;50,M49&lt;=500),M49*1%,IF(AND(M49&gt;1,M49&lt;=50),M49*1.5%))))</f>
        <v>1.254</v>
      </c>
      <c r="M65" s="24">
        <f t="shared" ca="1" si="1"/>
        <v>1.3</v>
      </c>
      <c r="N65" s="138" t="s">
        <v>2234</v>
      </c>
      <c r="Z65" s="2410"/>
      <c r="AI65" s="2411"/>
    </row>
    <row r="66" spans="1:35" ht="14.25" customHeight="1">
      <c r="A66" s="203" t="s">
        <v>772</v>
      </c>
      <c r="B66" s="204" t="s">
        <v>2237</v>
      </c>
      <c r="C66" s="205"/>
      <c r="D66" s="206" t="s">
        <v>32</v>
      </c>
      <c r="E66" s="1771" t="s">
        <v>1367</v>
      </c>
      <c r="F66" s="2476"/>
      <c r="G66" s="2476"/>
      <c r="H66" s="2484"/>
      <c r="I66" s="138"/>
      <c r="J66" s="3456"/>
      <c r="K66" s="2957" t="s">
        <v>2238</v>
      </c>
      <c r="L66" s="1747">
        <f ca="1">M49*0.5%</f>
        <v>6.2700000000000005</v>
      </c>
      <c r="M66" s="24">
        <f ca="1">IF(L66&gt;0.5,0.5,ROUND(L66,0))</f>
        <v>0.5</v>
      </c>
      <c r="N66" s="138" t="s">
        <v>2239</v>
      </c>
      <c r="Z66" s="2410"/>
      <c r="AI66" s="2411"/>
    </row>
    <row r="67" spans="1:35" ht="14.25" customHeight="1">
      <c r="A67" s="203" t="s">
        <v>773</v>
      </c>
      <c r="B67" s="204" t="s">
        <v>2240</v>
      </c>
      <c r="C67" s="207">
        <f ca="1">C63-C66</f>
        <v>1194</v>
      </c>
      <c r="D67" s="200" t="s">
        <v>32</v>
      </c>
      <c r="E67" s="201"/>
      <c r="F67" s="2476"/>
      <c r="G67" s="2476"/>
      <c r="H67" s="2484"/>
      <c r="I67" s="138"/>
      <c r="J67" s="3456"/>
      <c r="K67" s="2957" t="s">
        <v>2241</v>
      </c>
      <c r="L67" s="1747">
        <f ca="1">IF(M49&gt;=10000,(8.25+(M49-10000)*0.01%),IF(AND(M49&gt;=8000,M49&lt;10000),(7.85+(M49-8000)*0.02%),IF(AND(M49&gt;=5000,M49&lt;8000),(6.65+(M49-5000)*0.04%),IF(AND(M49&gt;=2000,M49&lt;5000),(4.25+(PM49-2000)*0.08%),IF(AND(M49&gt;=1000,M49&lt;2000),(2.75+(M49-1000)*0.15%),IF(AND(M49&gt;=100,M49&lt;1000),(0.5+(M49-100)*0.25%),IF(AND(M49&gt;0,M49&lt;100),M49*0.5%)))))))</f>
        <v>3.1310000000000002</v>
      </c>
      <c r="M67" s="24">
        <f ca="1">ROUND(L67*0.9,1)</f>
        <v>2.8</v>
      </c>
      <c r="Z67" s="2410"/>
      <c r="AI67" s="2411"/>
    </row>
    <row r="68" spans="1:35" ht="14.25" customHeight="1" thickBot="1">
      <c r="A68" s="208" t="s">
        <v>774</v>
      </c>
      <c r="B68" s="209" t="s">
        <v>2242</v>
      </c>
      <c r="C68" s="210">
        <f ca="1">IF(C67&lt;=0,0,ROUND(C67*D68,0))</f>
        <v>67</v>
      </c>
      <c r="D68" s="211">
        <f>'数据-取费表'!B41</f>
        <v>5.6000000000000001E-2</v>
      </c>
      <c r="E68" s="212"/>
      <c r="F68" s="2476"/>
      <c r="G68" s="2476"/>
      <c r="H68" s="2484"/>
      <c r="I68" s="138"/>
      <c r="J68" s="3456"/>
      <c r="K68" s="2957" t="s">
        <v>2243</v>
      </c>
      <c r="L68" s="1747">
        <f ca="1">IF(M49&gt;10000,M49*0.5%,IF(AND(M49&gt;5000,M49&lt;=10000),M49*1%,IF(AND(M49&gt;1000,M49&lt;=5000),M49*2%,IF(AND(M49&gt;200,M49&lt;=1000),M49*3%,M49*5%))))</f>
        <v>25.080000000000002</v>
      </c>
      <c r="M68" s="24">
        <f ca="1">ROUND(L68,1)</f>
        <v>25.1</v>
      </c>
      <c r="Z68" s="2410"/>
      <c r="AI68" s="2411"/>
    </row>
    <row r="69" spans="1:35" s="2433" customFormat="1" ht="16.5" customHeight="1">
      <c r="A69" s="2487"/>
      <c r="B69" s="2488"/>
      <c r="C69" s="2489"/>
      <c r="D69" s="2490"/>
      <c r="E69" s="2491"/>
      <c r="F69" s="2156"/>
      <c r="G69" s="2156"/>
      <c r="H69" s="2155"/>
      <c r="I69" s="2405"/>
      <c r="J69" s="3456"/>
      <c r="K69" s="2957" t="s">
        <v>2244</v>
      </c>
      <c r="L69" s="2492"/>
      <c r="M69" s="24">
        <f ca="1">ROUND(SUM(M63:M68),0)</f>
        <v>50</v>
      </c>
      <c r="N69" s="1748">
        <f ca="1">M69/M49</f>
        <v>3.9872408293460927E-2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415" t="s">
        <v>2245</v>
      </c>
      <c r="B70" s="3416"/>
      <c r="C70" s="3416"/>
      <c r="D70" s="3416"/>
      <c r="E70" s="3416"/>
      <c r="F70" s="3416"/>
      <c r="G70" s="3416"/>
      <c r="H70" s="3416"/>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394" t="s">
        <v>2226</v>
      </c>
      <c r="B71" s="3395"/>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f ca="1">ROUND(D45/(1+'数据-取费表'!C42),0)</f>
        <v>1194</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f ca="1">C74+C78</f>
        <v>7</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389" t="s">
        <v>2254</v>
      </c>
      <c r="F76" s="3366"/>
      <c r="G76" s="3366"/>
      <c r="H76" s="3414"/>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f ca="1">ROUND(D45*D78/(1+'数据-取费表'!C42),0)</f>
        <v>7</v>
      </c>
      <c r="D78" s="226">
        <f>'数据-取费表'!B43</f>
        <v>6.000000000000001E-3</v>
      </c>
      <c r="E78" s="3375" t="s">
        <v>2259</v>
      </c>
      <c r="F78" s="3376"/>
      <c r="G78" s="3376"/>
      <c r="H78" s="3385"/>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f ca="1">C72-C73</f>
        <v>1187</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f ca="1">IF(C79&lt;=0,0,C79/C73)</f>
        <v>169.57142857142858</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f ca="1">ROUND(IF(C79&lt;=0,0,IF(C80&gt;=200%,C79*60%-C73*35%,IF(C80&gt;=100%,C79*50%-C73*15%,IF(C80&gt;=50%,C79*40%-C73*5%,IF(C80&lt;50%,C79*30%,0))))),0)</f>
        <v>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415" t="s">
        <v>2263</v>
      </c>
      <c r="B83" s="3416"/>
      <c r="C83" s="3416"/>
      <c r="D83" s="3416"/>
      <c r="E83" s="3416"/>
      <c r="F83" s="3416"/>
      <c r="G83" s="3416"/>
      <c r="H83" s="3416"/>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394" t="s">
        <v>2226</v>
      </c>
      <c r="B84" s="3395"/>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f ca="1">ROUND(D45/(1+'数据-取费表'!C42),0)</f>
        <v>1194</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f ca="1">IF(H88="仅含出让金",C87+C90+C91+C92+C93+C94,C87+C91+C92+C93+C94)</f>
        <v>7</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75" t="s">
        <v>2272</v>
      </c>
      <c r="F91" s="3376"/>
      <c r="G91" s="3376"/>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75" t="s">
        <v>2276</v>
      </c>
      <c r="F92" s="3376"/>
      <c r="G92" s="3376"/>
      <c r="H92" s="3385"/>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f ca="1">ROUND(D45*D93/(1+'数据-取费表'!C42),0)</f>
        <v>7</v>
      </c>
      <c r="D93" s="226">
        <f>'数据-取费表'!B43</f>
        <v>6.000000000000001E-3</v>
      </c>
      <c r="E93" s="3375" t="s">
        <v>2259</v>
      </c>
      <c r="F93" s="3376"/>
      <c r="G93" s="3376"/>
      <c r="H93" s="3385"/>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386" t="s">
        <v>2280</v>
      </c>
      <c r="F94" s="3387"/>
      <c r="G94" s="3387"/>
      <c r="H94" s="3388"/>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f ca="1">ROUND(C85-C86,0)</f>
        <v>1187</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f ca="1">IF(C95&lt;=0,0,C95/C86)</f>
        <v>169.57142857142858</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f ca="1">ROUND(IF(C95&lt;=0,0,IF(C96&gt;=200%,C95*60%-C86*35%,IF(C96&gt;=100%,C95*50%-C86*15%,IF(C96&gt;=50%,C95*40%-C86*5%,IF(C96&lt;50%,C95*30%,0))))),0)</f>
        <v>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60" t="s">
        <v>2282</v>
      </c>
      <c r="B100" s="3361"/>
      <c r="C100" s="3361"/>
      <c r="D100" s="3377"/>
      <c r="E100" s="3361" t="s">
        <v>2283</v>
      </c>
      <c r="F100" s="3361"/>
      <c r="G100" s="3361"/>
      <c r="H100" s="3377"/>
      <c r="I100" s="138"/>
    </row>
    <row r="101" spans="1:35" ht="18.75" customHeight="1">
      <c r="A101" s="3439" t="s">
        <v>2284</v>
      </c>
      <c r="B101" s="3440"/>
      <c r="C101" s="736" t="str">
        <f>C4</f>
        <v>成本法（配套）</v>
      </c>
      <c r="D101" s="737" t="str">
        <f>D4</f>
        <v>收益法 (配套)</v>
      </c>
      <c r="E101" s="3453" t="s">
        <v>2285</v>
      </c>
      <c r="F101" s="3407"/>
      <c r="G101" s="2507" t="s">
        <v>2286</v>
      </c>
      <c r="H101" s="1045">
        <f ca="1">H118</f>
        <v>1254</v>
      </c>
      <c r="I101" s="138"/>
    </row>
    <row r="102" spans="1:35" ht="18.75" customHeight="1">
      <c r="A102" s="3409" t="s">
        <v>2287</v>
      </c>
      <c r="B102" s="2507" t="s">
        <v>2286</v>
      </c>
      <c r="C102" s="736">
        <f ca="1">C19</f>
        <v>1412</v>
      </c>
      <c r="D102" s="737">
        <f ca="1">D19</f>
        <v>1095</v>
      </c>
      <c r="E102" s="3453"/>
      <c r="F102" s="3407"/>
      <c r="G102" s="2507" t="s">
        <v>2288</v>
      </c>
      <c r="H102" s="371">
        <f ca="1">I118</f>
        <v>15781</v>
      </c>
      <c r="I102" s="138"/>
    </row>
    <row r="103" spans="1:35" ht="42.75" customHeight="1">
      <c r="A103" s="3409"/>
      <c r="B103" s="2507" t="s">
        <v>2288</v>
      </c>
      <c r="C103" s="738">
        <f ca="1">C20</f>
        <v>17769</v>
      </c>
      <c r="D103" s="739">
        <f ca="1">D20</f>
        <v>13780</v>
      </c>
      <c r="E103" s="3448" t="s">
        <v>2289</v>
      </c>
      <c r="F103" s="3449"/>
      <c r="G103" s="2508" t="s">
        <v>2290</v>
      </c>
      <c r="H103" s="1045">
        <f>IF(D36="正常操作",H104+H105+H106,H105+H106)</f>
        <v>0</v>
      </c>
      <c r="I103" s="138"/>
    </row>
    <row r="104" spans="1:35" ht="18.75" customHeight="1">
      <c r="A104" s="3409" t="s">
        <v>2291</v>
      </c>
      <c r="B104" s="2509" t="s">
        <v>2286</v>
      </c>
      <c r="C104" s="740">
        <f ca="1">H118</f>
        <v>1254</v>
      </c>
      <c r="D104" s="741"/>
      <c r="E104" s="2256" t="s">
        <v>2292</v>
      </c>
      <c r="F104" s="2248"/>
      <c r="G104" s="2508" t="s">
        <v>2290</v>
      </c>
      <c r="H104" s="1046">
        <f>IF(D36="同一抵押权人同一抵押物续贷",C36&amp;"（未扣减，详见特别提示）",C36)</f>
        <v>0</v>
      </c>
      <c r="I104" s="138"/>
    </row>
    <row r="105" spans="1:35" ht="18.75" customHeight="1" thickBot="1">
      <c r="A105" s="3410"/>
      <c r="B105" s="2510" t="s">
        <v>2288</v>
      </c>
      <c r="C105" s="742">
        <f ca="1">I118</f>
        <v>15781</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06" t="str">
        <f>IF(项目基本情况!E8="已注销","——","3.房地产抵押价值")</f>
        <v>3.房地产抵押价值</v>
      </c>
      <c r="F107" s="3407"/>
      <c r="G107" s="2507" t="s">
        <v>2286</v>
      </c>
      <c r="H107" s="1045">
        <f ca="1">IF(E107="——","——",H101-H103)</f>
        <v>1254</v>
      </c>
      <c r="I107" s="138"/>
    </row>
    <row r="108" spans="1:35" ht="18.75" customHeight="1">
      <c r="A108" s="138"/>
      <c r="B108" s="138"/>
      <c r="C108" s="138"/>
      <c r="D108" s="138"/>
      <c r="E108" s="3406"/>
      <c r="F108" s="3407"/>
      <c r="G108" s="2507" t="s">
        <v>2288</v>
      </c>
      <c r="H108" s="371">
        <f ca="1">ROUND(H107*10000/'数据-汇总表'!E3,0)</f>
        <v>507</v>
      </c>
      <c r="I108" s="138"/>
    </row>
    <row r="109" spans="1:35" ht="18.75" customHeight="1">
      <c r="A109" s="138"/>
      <c r="B109" s="138"/>
      <c r="C109" s="138"/>
      <c r="D109" s="138"/>
      <c r="E109" s="3406" t="str">
        <f>IF(项目基本情况!E8="已注销及未注销","4.抵押担保权已注销时的房地产抵押价值",IF(项目基本情况!E8="已注销","3.抵押担保权已注销时的房地产抵押价值","——"))</f>
        <v>——</v>
      </c>
      <c r="F109" s="3407"/>
      <c r="G109" s="2507" t="s">
        <v>2286</v>
      </c>
      <c r="H109" s="348" t="str">
        <f>IF(E109="——","——",H101-H105-H106)</f>
        <v>——</v>
      </c>
      <c r="I109" s="138"/>
    </row>
    <row r="110" spans="1:35" ht="18.75" customHeight="1">
      <c r="A110" s="138"/>
      <c r="B110" s="138"/>
      <c r="C110" s="138"/>
      <c r="D110" s="138"/>
      <c r="E110" s="3406"/>
      <c r="F110" s="3407"/>
      <c r="G110" s="2507" t="s">
        <v>2288</v>
      </c>
      <c r="H110" s="371" t="str">
        <f>IF(H109="——","——",ROUND(H109*10000/'数据-汇总表'!E3,0))</f>
        <v>——</v>
      </c>
      <c r="I110" s="138"/>
    </row>
    <row r="111" spans="1:35" ht="18.75" customHeight="1">
      <c r="A111" s="138"/>
      <c r="B111" s="138"/>
      <c r="C111" s="138"/>
      <c r="D111" s="138"/>
      <c r="E111" s="3441" t="str">
        <f>IF(项目基本情况!E9="抵押净值",IF(OR(项目基本情况!E8="已注销",项目基本情况!E8="房地产抵押价值"),"4.抵押净值","5.抵押净值"),"——")</f>
        <v>——</v>
      </c>
      <c r="F111" s="3442"/>
      <c r="G111" s="2507" t="s">
        <v>2286</v>
      </c>
      <c r="H111" s="1045" t="str">
        <f>IF(E111="——","——",N59)</f>
        <v>——</v>
      </c>
      <c r="I111" s="138"/>
    </row>
    <row r="112" spans="1:35" ht="18.75" customHeight="1" thickBot="1">
      <c r="A112" s="138"/>
      <c r="B112" s="138"/>
      <c r="C112" s="138"/>
      <c r="D112" s="138"/>
      <c r="E112" s="3443"/>
      <c r="F112" s="3444"/>
      <c r="G112" s="2512" t="s">
        <v>2288</v>
      </c>
      <c r="H112" s="790" t="str">
        <f>IF(E111="——","——",N61)</f>
        <v>——</v>
      </c>
      <c r="I112" s="138"/>
    </row>
    <row r="113" spans="1:11" ht="18.75" customHeight="1">
      <c r="A113" s="138"/>
      <c r="B113" s="138"/>
      <c r="C113" s="138"/>
      <c r="D113" s="138"/>
      <c r="E113" s="3411" t="s">
        <v>2294</v>
      </c>
      <c r="F113" s="3411"/>
      <c r="G113" s="3411"/>
      <c r="H113" s="3411"/>
      <c r="I113" s="138"/>
    </row>
    <row r="114" spans="1:11" ht="3.75" customHeight="1">
      <c r="A114" s="2405"/>
      <c r="B114" s="2405"/>
      <c r="C114" s="2405"/>
      <c r="D114" s="2405"/>
      <c r="E114" s="2483"/>
      <c r="F114" s="2483"/>
      <c r="G114" s="2483"/>
      <c r="H114" s="2483"/>
      <c r="I114" s="2405"/>
    </row>
    <row r="115" spans="1:11" ht="18.75" customHeight="1">
      <c r="A115" s="3424" t="s">
        <v>2296</v>
      </c>
      <c r="B115" s="3425"/>
      <c r="C115" s="3425"/>
      <c r="D115" s="3425"/>
      <c r="E115" s="3425"/>
      <c r="F115" s="3425"/>
      <c r="G115" s="3425"/>
      <c r="H115" s="3425"/>
      <c r="I115" s="3426"/>
    </row>
    <row r="116" spans="1:11" ht="27" customHeight="1">
      <c r="A116" s="3317" t="s">
        <v>2297</v>
      </c>
      <c r="B116" s="3412" t="s">
        <v>2298</v>
      </c>
      <c r="C116" s="3412" t="s">
        <v>2299</v>
      </c>
      <c r="D116" s="3428" t="s">
        <v>2300</v>
      </c>
      <c r="E116" s="3429"/>
      <c r="F116" s="3420" t="s">
        <v>2301</v>
      </c>
      <c r="G116" s="3420"/>
      <c r="H116" s="3317" t="s">
        <v>2302</v>
      </c>
      <c r="I116" s="3317"/>
    </row>
    <row r="117" spans="1:11" ht="18.75" customHeight="1">
      <c r="A117" s="3317"/>
      <c r="B117" s="3413"/>
      <c r="C117" s="3413"/>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794.62</v>
      </c>
      <c r="C118" s="2939">
        <f>M19</f>
        <v>303.88</v>
      </c>
      <c r="D118" s="2939">
        <f ca="1">ROUND(IF(D32="总价",C34,E118*B118/10000),0)</f>
        <v>953</v>
      </c>
      <c r="E118" s="2939">
        <f ca="1">ROUND(IF(C33="自定义",IF(D32="楼面单价",C34,D118*10000/B118),I118-G118),0)</f>
        <v>11993</v>
      </c>
      <c r="F118" s="2939">
        <f ca="1">ROUND(IF(D32="总价",C35,G118*B118/10000),0)</f>
        <v>301</v>
      </c>
      <c r="G118" s="2939">
        <f ca="1">ROUND(IF(D32="楼面单价",C35,F118*10000/B118),0)</f>
        <v>3788</v>
      </c>
      <c r="H118" s="2939">
        <f ca="1">ROUND(IF(D32="总价",C32,I118*B118/10000),0)</f>
        <v>1254</v>
      </c>
      <c r="I118" s="2939">
        <f ca="1">ROUND(IF(D32="楼面单价",C32,H118*10000/B118),0)</f>
        <v>15781</v>
      </c>
    </row>
    <row r="119" spans="1:11" ht="18.75" customHeight="1">
      <c r="A119" s="3317" t="s">
        <v>2306</v>
      </c>
      <c r="B119" s="3317"/>
      <c r="C119" s="3317"/>
      <c r="D119" s="3417" t="str">
        <f ca="1">NUMBERSTRING(INT(D118*10000),2)&amp;"元整"</f>
        <v>玖佰伍拾叁万元整</v>
      </c>
      <c r="E119" s="3419"/>
      <c r="F119" s="3417" t="str">
        <f ca="1">NUMBERSTRING(INT(F118*10000),2)&amp;"元整"</f>
        <v>叁佰零壹万元整</v>
      </c>
      <c r="G119" s="3419"/>
      <c r="H119" s="3417" t="str">
        <f ca="1">NUMBERSTRING(INT(H118*10000),2)&amp;"元整"</f>
        <v>壹仟贰佰伍拾肆万元整</v>
      </c>
      <c r="I119" s="3419"/>
    </row>
    <row r="120" spans="1:11" ht="18.75" customHeight="1">
      <c r="A120" s="3445" t="str">
        <f>IF(项目基本情况!B9="房地产市场价值","",MID(E103,3,LEN(E103)-2))</f>
        <v>估价师知悉的法定优先受偿款</v>
      </c>
      <c r="B120" s="3446"/>
      <c r="C120" s="3447"/>
      <c r="D120" s="3445">
        <f>H103</f>
        <v>0</v>
      </c>
      <c r="E120" s="3446"/>
      <c r="F120" s="3446"/>
      <c r="G120" s="3446"/>
      <c r="H120" s="3446"/>
      <c r="I120" s="3447"/>
      <c r="K120" s="2410" t="str">
        <f>IF(D120=0,"故，本次评估不存在"&amp;A120,"故，本次评估"&amp;A120&amp;"为人民币"&amp;D120&amp;"万元整。")</f>
        <v>故，本次评估不存在估价师知悉的法定优先受偿款</v>
      </c>
    </row>
    <row r="121" spans="1:11" ht="18.75" customHeight="1">
      <c r="A121" s="3421" t="s">
        <v>2306</v>
      </c>
      <c r="B121" s="3422"/>
      <c r="C121" s="3423"/>
      <c r="D121" s="3417" t="str">
        <f>IF(D120=0,"零元整",NUMBERSTRING(INT(D120*10000),2)&amp;"元整")</f>
        <v>零元整</v>
      </c>
      <c r="E121" s="3418"/>
      <c r="F121" s="3418"/>
      <c r="G121" s="3418"/>
      <c r="H121" s="3418"/>
      <c r="I121" s="3419"/>
    </row>
    <row r="122" spans="1:11" ht="18.75" customHeight="1">
      <c r="A122" s="3408" t="str">
        <f>IF(项目基本情况!B9="房地产市场价值","",MID(E107,3,LEN(E107)-2))</f>
        <v>房地产抵押价值</v>
      </c>
      <c r="B122" s="3408"/>
      <c r="C122" s="3408"/>
      <c r="D122" s="3445">
        <f ca="1">H107</f>
        <v>1254</v>
      </c>
      <c r="E122" s="3446"/>
      <c r="F122" s="3446"/>
      <c r="G122" s="3446"/>
      <c r="H122" s="3446"/>
      <c r="I122" s="3447"/>
    </row>
    <row r="123" spans="1:11" ht="18.75" customHeight="1">
      <c r="A123" s="3317" t="s">
        <v>2306</v>
      </c>
      <c r="B123" s="3317"/>
      <c r="C123" s="3317"/>
      <c r="D123" s="3417" t="str">
        <f ca="1">NUMBERSTRING(INT(D122*10000),2)&amp;"元整"</f>
        <v>壹仟贰佰伍拾肆万元整</v>
      </c>
      <c r="E123" s="3418"/>
      <c r="F123" s="3418"/>
      <c r="G123" s="3418"/>
      <c r="H123" s="3418"/>
      <c r="I123" s="3419"/>
    </row>
    <row r="124" spans="1:11" ht="18.75" customHeight="1">
      <c r="A124" s="3408" t="str">
        <f>IF(项目基本情况!B9="房地产市场价值","",MID(E109,3,LEN(E109)-2))</f>
        <v/>
      </c>
      <c r="B124" s="3408"/>
      <c r="C124" s="3408"/>
      <c r="D124" s="3445" t="str">
        <f>H109</f>
        <v>——</v>
      </c>
      <c r="E124" s="3446"/>
      <c r="F124" s="3446"/>
      <c r="G124" s="3446"/>
      <c r="H124" s="3446"/>
      <c r="I124" s="3447"/>
    </row>
    <row r="125" spans="1:11" ht="18.75" customHeight="1">
      <c r="A125" s="3317" t="s">
        <v>2306</v>
      </c>
      <c r="B125" s="3317"/>
      <c r="C125" s="3317"/>
      <c r="D125" s="3417" t="e">
        <f>NUMBERSTRING(INT(D124*10000),2)&amp;"元整"</f>
        <v>#VALUE!</v>
      </c>
      <c r="E125" s="3418"/>
      <c r="F125" s="3418"/>
      <c r="G125" s="3418"/>
      <c r="H125" s="3418"/>
      <c r="I125" s="3419"/>
    </row>
    <row r="126" spans="1:11" ht="18.75" customHeight="1">
      <c r="A126" s="3408" t="str">
        <f>IF(项目基本情况!B9="房地产市场价值","",MID(E111,3,LEN(E111)-2))</f>
        <v/>
      </c>
      <c r="B126" s="3408"/>
      <c r="C126" s="3408"/>
      <c r="D126" s="3445" t="str">
        <f>H111</f>
        <v>——</v>
      </c>
      <c r="E126" s="3446"/>
      <c r="F126" s="3446"/>
      <c r="G126" s="3446"/>
      <c r="H126" s="3446"/>
      <c r="I126" s="3447"/>
    </row>
    <row r="127" spans="1:11" ht="18.75" customHeight="1">
      <c r="A127" s="3317" t="s">
        <v>2306</v>
      </c>
      <c r="B127" s="3317"/>
      <c r="C127" s="3317"/>
      <c r="D127" s="3417" t="e">
        <f>NUMBERSTRING(INT(D126*10000),2)&amp;"元整"</f>
        <v>#VALUE!</v>
      </c>
      <c r="E127" s="3418"/>
      <c r="F127" s="3418"/>
      <c r="G127" s="3418"/>
      <c r="H127" s="3418"/>
      <c r="I127" s="3419"/>
    </row>
    <row r="128" spans="1:11" ht="21.75" customHeight="1">
      <c r="A128" s="3427" t="s">
        <v>2307</v>
      </c>
      <c r="B128" s="3427"/>
      <c r="C128" s="3427"/>
      <c r="D128" s="3427"/>
      <c r="E128" s="3427"/>
      <c r="F128" s="3427"/>
      <c r="G128" s="3427"/>
      <c r="H128" s="3427"/>
      <c r="I128" s="3427"/>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5" sqref="E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3050</v>
      </c>
      <c r="C1" s="242"/>
      <c r="D1" s="242"/>
      <c r="E1" s="242"/>
      <c r="F1" s="242"/>
      <c r="G1" s="1378">
        <f>MATCH(B1,'数据-取费表'!A6:A16,0)+5</f>
        <v>7</v>
      </c>
    </row>
    <row r="2" spans="1:9" s="244" customFormat="1" ht="18" customHeight="1">
      <c r="A2" s="245" t="s">
        <v>2316</v>
      </c>
      <c r="B2" s="246">
        <f ca="1">IF(D2="——",C52,C52-E2)</f>
        <v>1412</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17769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778</v>
      </c>
      <c r="D5" s="255" t="s">
        <v>2323</v>
      </c>
      <c r="E5" s="256" t="s">
        <v>2324</v>
      </c>
      <c r="F5" s="256" t="s">
        <v>2325</v>
      </c>
      <c r="G5" s="257"/>
    </row>
    <row r="6" spans="1:9" s="258" customFormat="1" ht="13.5" customHeight="1">
      <c r="A6" s="949" t="s">
        <v>2326</v>
      </c>
      <c r="B6" s="259" t="s">
        <v>2327</v>
      </c>
      <c r="C6" s="260">
        <f ca="1">'基准地价修正（办公）'!E37</f>
        <v>739</v>
      </c>
      <c r="D6" s="261"/>
      <c r="E6" s="262"/>
      <c r="F6" s="262"/>
      <c r="G6" s="263"/>
    </row>
    <row r="7" spans="1:9" s="258" customFormat="1" ht="13.5" customHeight="1">
      <c r="A7" s="949" t="s">
        <v>2328</v>
      </c>
      <c r="B7" s="259" t="s">
        <v>2329</v>
      </c>
      <c r="C7" s="264">
        <f ca="1">ROUND(C6*F7,0)</f>
        <v>23</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16</v>
      </c>
      <c r="D8" s="266"/>
      <c r="E8" s="264"/>
      <c r="F8" s="265"/>
      <c r="G8" s="2539" t="s">
        <v>3110</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160</v>
      </c>
      <c r="F9" s="265"/>
      <c r="G9" s="2540" t="s">
        <v>3111</v>
      </c>
      <c r="H9" s="1389"/>
      <c r="I9" s="2541" t="s">
        <v>2333</v>
      </c>
    </row>
    <row r="10" spans="1:9" s="258" customFormat="1" ht="13.5" customHeight="1">
      <c r="A10" s="950" t="s">
        <v>801</v>
      </c>
      <c r="B10" s="268" t="s">
        <v>2334</v>
      </c>
      <c r="C10" s="269">
        <f ca="1">ROUND(D10*E10/10000,0)</f>
        <v>16</v>
      </c>
      <c r="D10" s="1032">
        <f ca="1">IF(B1="",'数据-汇总表'!E6,IF(INDIRECT("'数据-取费表'!c"&amp;$G$1)="住宅",INDIRECT("'数据-取费表'!s"&amp;$G$1),INDIRECT("'数据-取费表'!k"&amp;$G$1)+INDIRECT("'数据-取费表'!s"&amp;$G$1)))</f>
        <v>807.05</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807.05</v>
      </c>
      <c r="E19" s="255">
        <f>'数据-取费表'!B31</f>
        <v>200</v>
      </c>
      <c r="F19" s="275"/>
      <c r="G19" s="2539" t="s">
        <v>3112</v>
      </c>
    </row>
    <row r="20" spans="1:7" s="258" customFormat="1" ht="13.5" customHeight="1">
      <c r="A20" s="299" t="s">
        <v>2347</v>
      </c>
      <c r="B20" s="254" t="s">
        <v>2348</v>
      </c>
      <c r="C20" s="276">
        <f ca="1">ROUND((C5+C19)*F20,0)</f>
        <v>16</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77</v>
      </c>
      <c r="D22" s="279">
        <f ca="1">C26</f>
        <v>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76</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4">
        <f ca="1">ROUND(IF('数据-取费表'!B22&lt;=1,C20*F22*'数据-取费表'!B23/2,C20*(POWER((1+F22),'数据-取费表'!B23/2)-1)),0)</f>
        <v>1</v>
      </c>
      <c r="D25" s="282"/>
      <c r="E25" s="285"/>
      <c r="F25" s="283"/>
      <c r="G25" s="286" t="s">
        <v>2364</v>
      </c>
    </row>
    <row r="26" spans="1:7" s="258" customFormat="1">
      <c r="A26" s="951"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119</v>
      </c>
      <c r="D27" s="279">
        <f ca="1">C29</f>
        <v>3.0000000000000001E-3</v>
      </c>
      <c r="E27" s="280" t="s">
        <v>2368</v>
      </c>
      <c r="F27" s="290">
        <f ca="1">IF(B1="",'数据-取费表'!Q16,INDIRECT("'数据-取费表'!q"&amp;$G$1))</f>
        <v>0.15</v>
      </c>
      <c r="G27" s="291" t="s">
        <v>2369</v>
      </c>
    </row>
    <row r="28" spans="1:7" s="258" customFormat="1" ht="13.5" customHeight="1">
      <c r="A28" s="951" t="s">
        <v>791</v>
      </c>
      <c r="B28" s="292" t="s">
        <v>2370</v>
      </c>
      <c r="C28" s="293">
        <f ca="1">ROUND((C5+C19+C20)*F27*'数据-取费表'!B21/'数据-取费表'!B20,0)</f>
        <v>119</v>
      </c>
      <c r="D28" s="279"/>
      <c r="E28" s="280"/>
      <c r="F28" s="290"/>
      <c r="G28" s="291"/>
    </row>
    <row r="29" spans="1:7" s="258" customFormat="1" ht="13.5" customHeight="1">
      <c r="A29" s="951" t="s">
        <v>792</v>
      </c>
      <c r="B29" s="292" t="s">
        <v>2371</v>
      </c>
      <c r="C29" s="282">
        <f ca="1">ROUND(C21*F27*'数据-取费表'!B21/'数据-取费表'!B20,4)</f>
        <v>3.0000000000000001E-3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1073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309</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281</v>
      </c>
      <c r="D34" s="261"/>
      <c r="E34" s="264"/>
      <c r="F34" s="301">
        <f ca="1">IF('数据-取费表'!B24=0,1,IF(B1="",'数据-取费表'!N16,INDIRECT("'数据-取费表'!n"&amp;$G$1)))</f>
        <v>1</v>
      </c>
      <c r="G34" s="263" t="s">
        <v>2380</v>
      </c>
    </row>
    <row r="35" spans="1:7" ht="13.5" customHeight="1">
      <c r="A35" s="951" t="s">
        <v>796</v>
      </c>
      <c r="B35" s="259" t="s">
        <v>2381</v>
      </c>
      <c r="C35" s="264">
        <f ca="1">ROUND(C34*F35,0)</f>
        <v>8</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1" t="s">
        <v>798</v>
      </c>
      <c r="B37" s="259" t="s">
        <v>2385</v>
      </c>
      <c r="C37" s="293">
        <f ca="1">ROUND(E37*D37*F34/10000,0)</f>
        <v>16</v>
      </c>
      <c r="D37" s="261">
        <f ca="1">D19</f>
        <v>807.05</v>
      </c>
      <c r="E37" s="293">
        <f>'数据-取费表'!B35</f>
        <v>200</v>
      </c>
      <c r="F37" s="303"/>
      <c r="G37" s="305" t="s">
        <v>2386</v>
      </c>
    </row>
    <row r="38" spans="1:7" ht="13.5" customHeight="1">
      <c r="A38" s="951" t="s">
        <v>799</v>
      </c>
      <c r="B38" s="259" t="s">
        <v>2387</v>
      </c>
      <c r="C38" s="264">
        <f ca="1">ROUND(C34*F38,0)</f>
        <v>4</v>
      </c>
      <c r="D38" s="264"/>
      <c r="E38" s="264"/>
      <c r="F38" s="303">
        <f>'数据-取费表'!B36</f>
        <v>1.4999999999999999E-2</v>
      </c>
      <c r="G38" s="263" t="s">
        <v>2382</v>
      </c>
    </row>
    <row r="39" spans="1:7" s="258" customFormat="1" ht="13.5" customHeight="1">
      <c r="A39" s="299" t="s">
        <v>2388</v>
      </c>
      <c r="B39" s="254" t="s">
        <v>2389</v>
      </c>
      <c r="C39" s="276">
        <f ca="1">ROUND(C33*F20,0)</f>
        <v>6</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15</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15</v>
      </c>
      <c r="D42" s="282"/>
      <c r="E42" s="282"/>
      <c r="F42" s="283"/>
      <c r="G42" s="3509" t="s">
        <v>2398</v>
      </c>
    </row>
    <row r="43" spans="1:7" ht="13.5" customHeight="1">
      <c r="A43" s="951" t="s">
        <v>792</v>
      </c>
      <c r="B43" s="259" t="s">
        <v>2399</v>
      </c>
      <c r="C43" s="282">
        <f ca="1">ROUND(IF('数据-取费表'!B22&lt;=1,C39*F22*'数据-取费表'!B21/2,C39*(POWER((1+F22),'数据-取费表'!B21/2)-1)),0)</f>
        <v>0</v>
      </c>
      <c r="D43" s="282"/>
      <c r="E43" s="282"/>
      <c r="F43" s="283"/>
      <c r="G43" s="3510"/>
    </row>
    <row r="44" spans="1:7" ht="13.5" customHeight="1">
      <c r="A44" s="951" t="s">
        <v>793</v>
      </c>
      <c r="B44" s="259" t="s">
        <v>2400</v>
      </c>
      <c r="C44" s="282">
        <f ca="1">ROUND(IF('数据-取费表'!B22&lt;=1,C40*F22*'数据-取费表'!B21/2,C40*(POWER((1+F22),'数据-取费表'!B21/2)-1)),4)</f>
        <v>1E-3</v>
      </c>
      <c r="D44" s="282"/>
      <c r="E44" s="282"/>
      <c r="F44" s="283"/>
      <c r="G44" s="3511"/>
    </row>
    <row r="45" spans="1:7" s="258" customFormat="1" ht="13.5" customHeight="1">
      <c r="A45" s="299" t="s">
        <v>2401</v>
      </c>
      <c r="B45" s="288" t="s">
        <v>2367</v>
      </c>
      <c r="C45" s="289">
        <f ca="1">C46</f>
        <v>47</v>
      </c>
      <c r="D45" s="279">
        <f ca="1">C47</f>
        <v>3.0000000000000001E-3</v>
      </c>
      <c r="E45" s="280" t="s">
        <v>2393</v>
      </c>
      <c r="F45" s="290"/>
      <c r="G45" s="291" t="s">
        <v>2402</v>
      </c>
    </row>
    <row r="46" spans="1:7" s="258" customFormat="1" ht="13.5" customHeight="1">
      <c r="A46" s="951" t="s">
        <v>791</v>
      </c>
      <c r="B46" s="292" t="s">
        <v>2403</v>
      </c>
      <c r="C46" s="293">
        <f ca="1">ROUND((C33+C39)*F27,0)</f>
        <v>47</v>
      </c>
      <c r="D46" s="307"/>
      <c r="E46" s="280"/>
      <c r="F46" s="290"/>
      <c r="G46" s="291"/>
    </row>
    <row r="47" spans="1:7" s="258" customFormat="1" ht="13.5" customHeight="1">
      <c r="A47" s="951" t="s">
        <v>792</v>
      </c>
      <c r="B47" s="292" t="s">
        <v>2404</v>
      </c>
      <c r="C47" s="282">
        <f ca="1">ROUND(C40*F27,4)</f>
        <v>3.0000000000000001E-3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409</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339</v>
      </c>
      <c r="D51" s="276"/>
      <c r="E51" s="276"/>
      <c r="F51" s="308"/>
      <c r="G51" s="278" t="s">
        <v>2414</v>
      </c>
    </row>
    <row r="52" spans="1:7" s="252" customFormat="1" ht="16.5" thickBot="1">
      <c r="A52" s="309" t="s">
        <v>2415</v>
      </c>
      <c r="B52" s="310"/>
      <c r="C52" s="311">
        <f ca="1">C31+C51</f>
        <v>1412</v>
      </c>
      <c r="D52" s="310"/>
      <c r="E52" s="310"/>
      <c r="F52" s="310"/>
      <c r="G52" s="312"/>
    </row>
    <row r="55" spans="1:7" ht="15">
      <c r="B55" s="314" t="s">
        <v>2416</v>
      </c>
      <c r="C55" s="315"/>
    </row>
    <row r="56" spans="1:7">
      <c r="B56" s="317" t="s">
        <v>1508</v>
      </c>
      <c r="C56" s="319">
        <f ca="1">1-C57</f>
        <v>0.76</v>
      </c>
    </row>
    <row r="57" spans="1:7">
      <c r="B57" s="317" t="s">
        <v>1509</v>
      </c>
      <c r="C57" s="318">
        <f ca="1">ROUND(C51/C52,3)</f>
        <v>0.24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2" t="s">
        <v>2417</v>
      </c>
      <c r="D1" s="242"/>
      <c r="E1" s="242"/>
      <c r="F1" s="242"/>
      <c r="G1" s="1378">
        <f>MATCH(B1,'数据-取费表'!A6:A16,0)+5</f>
        <v>9</v>
      </c>
      <c r="H1" s="1281" t="str">
        <f>IF(ISERROR(FIND("住宅",B1)),"非住宅","住宅")</f>
        <v>非住宅</v>
      </c>
    </row>
    <row r="2" spans="1:8" s="244" customFormat="1" ht="18" customHeight="1">
      <c r="A2" s="245" t="s">
        <v>2316</v>
      </c>
      <c r="B2" s="246">
        <f ca="1">ROUND(IF(D2="——",C52/10000,C52/10000-E2),0)</f>
        <v>18226</v>
      </c>
      <c r="C2" s="243" t="s">
        <v>2317</v>
      </c>
      <c r="D2" s="2536" t="s">
        <v>70</v>
      </c>
      <c r="E2" s="1439" t="e">
        <f ca="1">SUMIF(INDIRECT("'"&amp;G2&amp;"'"&amp;"!A:A"),"承租人权益价值",INDIRECT("'"&amp;G2&amp;"'"&amp;"!c:c"))</f>
        <v>#REF!</v>
      </c>
      <c r="F2" s="2537" t="s">
        <v>2317</v>
      </c>
      <c r="G2" s="2538"/>
    </row>
    <row r="3" spans="1:8" s="244" customFormat="1" ht="18" customHeight="1" thickBot="1">
      <c r="A3" s="247" t="s">
        <v>2318</v>
      </c>
      <c r="B3" s="248">
        <f ca="1">ROUND(B2*10000/(IF(B1="",'数据-汇总表'!E3,INDIRECT("'数据-取费表'!k"&amp;$G$1))),0)</f>
        <v>7365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4141982</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4141982</v>
      </c>
      <c r="D8" s="266"/>
      <c r="E8" s="264"/>
      <c r="F8" s="265"/>
      <c r="G8" s="2539"/>
    </row>
    <row r="9" spans="1:8" s="258" customFormat="1" ht="13.5" customHeight="1">
      <c r="A9" s="950" t="s">
        <v>800</v>
      </c>
      <c r="B9" s="268" t="s">
        <v>2332</v>
      </c>
      <c r="C9" s="269">
        <f ca="1">ROUND(D9*E9,0)</f>
        <v>3230382</v>
      </c>
      <c r="D9" s="1032">
        <f ca="1">IF(B1="",'数据-汇总表'!E5,IF(INDIRECT("'数据-取费表'!c"&amp;$G$1)="住宅",INDIRECT("'数据-取费表'!k"&amp;$G$1),0))</f>
        <v>20189.89</v>
      </c>
      <c r="E9" s="269">
        <f>'数据-取费表'!B27</f>
        <v>160</v>
      </c>
      <c r="F9" s="265"/>
      <c r="G9" s="270"/>
    </row>
    <row r="10" spans="1:8" s="258" customFormat="1" ht="13.5" customHeight="1">
      <c r="A10" s="950" t="s">
        <v>801</v>
      </c>
      <c r="B10" s="268" t="s">
        <v>2334</v>
      </c>
      <c r="C10" s="269">
        <f ca="1">ROUND(D10*E10,0)</f>
        <v>911600</v>
      </c>
      <c r="D10" s="1032">
        <f ca="1">IF(B1="",'数据-汇总表'!E6,IF(INDIRECT("'数据-取费表'!c"&amp;$G$1)="住宅",INDIRECT("'数据-取费表'!s"&amp;$G$1),INDIRECT("'数据-取费表'!k"&amp;$G$1)+INDIRECT("'数据-取费表'!s"&amp;$G$1)))</f>
        <v>4558</v>
      </c>
      <c r="E10" s="269">
        <f>'数据-取费表'!B28</f>
        <v>200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4949578</v>
      </c>
      <c r="D19" s="1036">
        <f ca="1">D9+D10</f>
        <v>24747.89</v>
      </c>
      <c r="E19" s="255">
        <f>'数据-取费表'!B31</f>
        <v>200</v>
      </c>
      <c r="F19" s="275"/>
      <c r="G19" s="2539"/>
    </row>
    <row r="20" spans="1:7" s="258" customFormat="1" ht="13.5" customHeight="1">
      <c r="A20" s="299" t="s">
        <v>2428</v>
      </c>
      <c r="B20" s="254" t="s">
        <v>2429</v>
      </c>
      <c r="C20" s="276">
        <f ca="1">ROUND((C5+C19)*F20,0)</f>
        <v>181831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9">
        <f ca="1">ROUND(SUM(C23:C25),0)</f>
        <v>892848</v>
      </c>
      <c r="D22" s="279">
        <f ca="1">C26</f>
        <v>1E-3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0">
        <f ca="1">ROUND(IF('数据-取费表'!B22&lt;=1,C5*F22*'数据-取费表'!B22,C5*(POWER((1+F22),'数据-取费表'!B22)-1)),0)</f>
        <v>402834</v>
      </c>
      <c r="D23" s="282"/>
      <c r="E23" s="282"/>
      <c r="F23" s="283"/>
      <c r="G23" s="284" t="s">
        <v>2438</v>
      </c>
    </row>
    <row r="24" spans="1:7" s="258" customFormat="1" ht="13.5" customHeight="1">
      <c r="A24" s="951" t="s">
        <v>2328</v>
      </c>
      <c r="B24" s="259" t="s">
        <v>2439</v>
      </c>
      <c r="C24" s="1380">
        <f ca="1">ROUND(IF('数据-取费表'!B22&lt;=1,C19*F22*('数据-取费表'!B19/2+'数据-取费表'!B20),C19*(POWER((1+F22),('数据-取费表'!B19/2+'数据-取费表'!B20))-1)),0)</f>
        <v>481377</v>
      </c>
      <c r="D24" s="282"/>
      <c r="E24" s="282"/>
      <c r="F24" s="283"/>
      <c r="G24" s="284" t="s">
        <v>2440</v>
      </c>
    </row>
    <row r="25" spans="1:7" s="258" customFormat="1" ht="24">
      <c r="A25" s="951" t="s">
        <v>2330</v>
      </c>
      <c r="B25" s="259" t="s">
        <v>2441</v>
      </c>
      <c r="C25" s="1380">
        <f ca="1">ROUND(IF('数据-取费表'!B22&lt;=1,C20*F22*'数据-取费表'!B22/2,C20*(POWER((1+F22),'数据-取费表'!B22/2)-1)),0)</f>
        <v>8637</v>
      </c>
      <c r="D25" s="282"/>
      <c r="E25" s="285"/>
      <c r="F25" s="283"/>
      <c r="G25" s="286" t="s">
        <v>2442</v>
      </c>
    </row>
    <row r="26" spans="1:7" s="258" customFormat="1">
      <c r="A26" s="951"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1669210</v>
      </c>
      <c r="D27" s="279">
        <f ca="1">C29</f>
        <v>3.5999999999999999E-3</v>
      </c>
      <c r="E27" s="280" t="s">
        <v>2368</v>
      </c>
      <c r="F27" s="290">
        <f ca="1">IF(B1="",'数据-取费表'!Q16,INDIRECT("'数据-取费表'!q"&amp;$G$1))</f>
        <v>0.18</v>
      </c>
      <c r="G27" s="291" t="s">
        <v>2369</v>
      </c>
    </row>
    <row r="28" spans="1:7" s="258" customFormat="1" ht="13.5" customHeight="1">
      <c r="A28" s="951" t="s">
        <v>791</v>
      </c>
      <c r="B28" s="292" t="s">
        <v>2370</v>
      </c>
      <c r="C28" s="293">
        <f ca="1">ROUND((C5+C19+C20)*F27,0)</f>
        <v>1669210</v>
      </c>
      <c r="D28" s="279"/>
      <c r="E28" s="280"/>
      <c r="F28" s="290"/>
      <c r="G28" s="291"/>
    </row>
    <row r="29" spans="1:7" s="258" customFormat="1" ht="13.5" customHeight="1">
      <c r="A29" s="951" t="s">
        <v>792</v>
      </c>
      <c r="B29" s="292" t="s">
        <v>2371</v>
      </c>
      <c r="C29" s="282">
        <f ca="1">ROUND(C21*F27,4)</f>
        <v>3.5999999999999999E-3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12835320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150335308</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133328960</v>
      </c>
      <c r="D34" s="261"/>
      <c r="E34" s="264"/>
      <c r="F34" s="301"/>
      <c r="G34" s="263"/>
    </row>
    <row r="35" spans="1:7" ht="13.5" customHeight="1">
      <c r="A35" s="951" t="s">
        <v>796</v>
      </c>
      <c r="B35" s="259" t="s">
        <v>2381</v>
      </c>
      <c r="C35" s="264">
        <f ca="1">ROUND(C34*F35,0)</f>
        <v>3999869</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6056967</v>
      </c>
      <c r="D36" s="264"/>
      <c r="E36" s="264"/>
      <c r="F36" s="303">
        <f>'数据-取费表'!B34</f>
        <v>0.05</v>
      </c>
      <c r="G36" s="304" t="s">
        <v>2384</v>
      </c>
    </row>
    <row r="37" spans="1:7" s="302" customFormat="1" ht="13.5" customHeight="1">
      <c r="A37" s="951" t="s">
        <v>798</v>
      </c>
      <c r="B37" s="259" t="s">
        <v>2385</v>
      </c>
      <c r="C37" s="293">
        <f ca="1">ROUND(E37*D37,0)</f>
        <v>4949578</v>
      </c>
      <c r="D37" s="261">
        <f ca="1">D19</f>
        <v>24747.89</v>
      </c>
      <c r="E37" s="293">
        <f>'数据-取费表'!B35</f>
        <v>200</v>
      </c>
      <c r="F37" s="303"/>
      <c r="G37" s="305"/>
    </row>
    <row r="38" spans="1:7" ht="13.5" customHeight="1">
      <c r="A38" s="951" t="s">
        <v>799</v>
      </c>
      <c r="B38" s="259" t="s">
        <v>2387</v>
      </c>
      <c r="C38" s="264">
        <f ca="1">ROUND(C34*F38,0)</f>
        <v>1999934</v>
      </c>
      <c r="D38" s="264"/>
      <c r="E38" s="264"/>
      <c r="F38" s="303">
        <f>'数据-取费表'!B36</f>
        <v>1.4999999999999999E-2</v>
      </c>
      <c r="G38" s="263" t="s">
        <v>2382</v>
      </c>
    </row>
    <row r="39" spans="1:7" s="258" customFormat="1" ht="13.5" customHeight="1">
      <c r="A39" s="299" t="s">
        <v>2388</v>
      </c>
      <c r="B39" s="254" t="s">
        <v>2389</v>
      </c>
      <c r="C39" s="276">
        <f ca="1">ROUND(C33*F20,0)</f>
        <v>3006706</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7283746</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7140927</v>
      </c>
      <c r="D42" s="282"/>
      <c r="E42" s="282"/>
      <c r="F42" s="283"/>
      <c r="G42" s="3509" t="s">
        <v>2445</v>
      </c>
    </row>
    <row r="43" spans="1:7" ht="13.5" customHeight="1">
      <c r="A43" s="951" t="s">
        <v>792</v>
      </c>
      <c r="B43" s="259" t="s">
        <v>2399</v>
      </c>
      <c r="C43" s="282">
        <f ca="1">ROUND(IF('数据-取费表'!B22&lt;=1,C39*F22*'数据-取费表'!B20/2,C39*(POWER((1+F22),'数据-取费表'!B20/2)-1)),0)</f>
        <v>142819</v>
      </c>
      <c r="D43" s="282"/>
      <c r="E43" s="282"/>
      <c r="F43" s="283"/>
      <c r="G43" s="3510"/>
    </row>
    <row r="44" spans="1:7" ht="13.5" customHeight="1">
      <c r="A44" s="951" t="s">
        <v>793</v>
      </c>
      <c r="B44" s="259" t="s">
        <v>2400</v>
      </c>
      <c r="C44" s="282">
        <f ca="1">ROUND(IF('数据-取费表'!B22&lt;=1,C40*F22*'数据-取费表'!B20/2,C40*(POWER((1+F22),'数据-取费表'!B20/2)-1)),4)</f>
        <v>1E-3</v>
      </c>
      <c r="D44" s="282"/>
      <c r="E44" s="282"/>
      <c r="F44" s="283"/>
      <c r="G44" s="3511"/>
    </row>
    <row r="45" spans="1:7" s="258" customFormat="1" ht="13.5" customHeight="1">
      <c r="A45" s="299" t="s">
        <v>2401</v>
      </c>
      <c r="B45" s="288" t="s">
        <v>2367</v>
      </c>
      <c r="C45" s="289">
        <f ca="1">C46</f>
        <v>27601563</v>
      </c>
      <c r="D45" s="279">
        <f ca="1">C47</f>
        <v>3.5999999999999999E-3</v>
      </c>
      <c r="E45" s="280" t="s">
        <v>2393</v>
      </c>
      <c r="F45" s="290"/>
      <c r="G45" s="291" t="s">
        <v>2402</v>
      </c>
    </row>
    <row r="46" spans="1:7" s="258" customFormat="1" ht="13.5" customHeight="1">
      <c r="A46" s="951" t="s">
        <v>791</v>
      </c>
      <c r="B46" s="292" t="s">
        <v>2403</v>
      </c>
      <c r="C46" s="293">
        <f ca="1">ROUND((C33+C39)*F27,0)</f>
        <v>27601563</v>
      </c>
      <c r="D46" s="307"/>
      <c r="E46" s="280"/>
      <c r="F46" s="290"/>
      <c r="G46" s="291"/>
    </row>
    <row r="47" spans="1:7" s="258" customFormat="1" ht="13.5" customHeight="1">
      <c r="A47" s="951" t="s">
        <v>792</v>
      </c>
      <c r="B47" s="292" t="s">
        <v>2404</v>
      </c>
      <c r="C47" s="282">
        <f ca="1">ROUND(C40*F27,4)</f>
        <v>3.5999999999999999E-3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204128970</v>
      </c>
      <c r="D49" s="276"/>
      <c r="E49" s="276"/>
      <c r="F49" s="308"/>
      <c r="G49" s="278" t="s">
        <v>2408</v>
      </c>
    </row>
    <row r="50" spans="1:7" s="302" customFormat="1">
      <c r="A50" s="299" t="s">
        <v>2409</v>
      </c>
      <c r="B50" s="254" t="s">
        <v>2410</v>
      </c>
      <c r="C50" s="276"/>
      <c r="D50" s="276"/>
      <c r="E50" s="276"/>
      <c r="F50" s="308">
        <f>IF('数据-取费表'!B24=0,'数据-取费表'!N16,1)</f>
        <v>0.83</v>
      </c>
      <c r="G50" s="291"/>
    </row>
    <row r="51" spans="1:7" ht="16.5" customHeight="1">
      <c r="A51" s="299" t="s">
        <v>2412</v>
      </c>
      <c r="B51" s="254" t="s">
        <v>2447</v>
      </c>
      <c r="C51" s="276">
        <f ca="1">ROUND(C49*F50,0)</f>
        <v>169427045</v>
      </c>
      <c r="D51" s="276"/>
      <c r="E51" s="276"/>
      <c r="F51" s="308"/>
      <c r="G51" s="278" t="s">
        <v>2414</v>
      </c>
    </row>
    <row r="52" spans="1:7" s="252" customFormat="1" ht="16.5" thickBot="1">
      <c r="A52" s="309" t="s">
        <v>2415</v>
      </c>
      <c r="B52" s="310"/>
      <c r="C52" s="311">
        <f ca="1">C31+C51</f>
        <v>182262365</v>
      </c>
      <c r="D52" s="310"/>
      <c r="E52" s="310"/>
      <c r="F52" s="310"/>
      <c r="G52" s="312"/>
    </row>
    <row r="55" spans="1:7" ht="15">
      <c r="B55" s="314" t="s">
        <v>2416</v>
      </c>
      <c r="C55" s="315"/>
    </row>
    <row r="56" spans="1:7">
      <c r="B56" s="317" t="s">
        <v>1508</v>
      </c>
      <c r="C56" s="319">
        <f ca="1">1-C57</f>
        <v>6.9999999999999951E-2</v>
      </c>
    </row>
    <row r="57" spans="1:7">
      <c r="B57" s="317" t="s">
        <v>1509</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79"/>
      <c r="C1" s="1580"/>
      <c r="D1" s="1578"/>
      <c r="E1" s="320"/>
      <c r="F1" s="320"/>
      <c r="G1" s="1579"/>
      <c r="H1" s="320"/>
      <c r="I1" s="320"/>
      <c r="J1" s="320"/>
      <c r="K1" s="320">
        <f>MATCH(C1,'数据-取费表'!A6:A16,0)+5</f>
        <v>9</v>
      </c>
    </row>
    <row r="2" spans="1:33" ht="18" customHeight="1">
      <c r="A2" s="245" t="s">
        <v>2316</v>
      </c>
      <c r="B2" s="248">
        <f ca="1">C32</f>
        <v>-484</v>
      </c>
      <c r="C2" s="320" t="s">
        <v>2449</v>
      </c>
      <c r="D2" s="320"/>
      <c r="E2" s="320"/>
      <c r="F2" s="320"/>
      <c r="G2" s="320"/>
      <c r="H2" s="320"/>
      <c r="I2" s="320"/>
      <c r="J2" s="320"/>
      <c r="K2" s="320"/>
    </row>
    <row r="3" spans="1:33" ht="18" customHeight="1" thickBot="1">
      <c r="A3" s="247" t="s">
        <v>2318</v>
      </c>
      <c r="B3" s="248">
        <f ca="1">ROUND(B2*10000/IF(C1="",'数据-汇总表'!E3,INDIRECT("'数据-取费表'!K"&amp;$K$1)),0)</f>
        <v>-196</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4.75">
      <c r="A5" s="957" t="s">
        <v>2452</v>
      </c>
      <c r="B5" s="958" t="s">
        <v>2453</v>
      </c>
      <c r="C5" s="2543" t="s">
        <v>2454</v>
      </c>
      <c r="D5" s="2543" t="s">
        <v>2455</v>
      </c>
      <c r="E5" s="2543" t="s">
        <v>2456</v>
      </c>
      <c r="F5" s="2543"/>
      <c r="G5" s="2543"/>
      <c r="H5" s="2543"/>
      <c r="I5" s="2543"/>
      <c r="J5" s="2543"/>
      <c r="K5" s="254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4"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2470</v>
      </c>
      <c r="C12" s="24">
        <f ca="1">ROUND(C11*F12,0)</f>
        <v>0</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0</v>
      </c>
      <c r="D13" s="1033"/>
      <c r="E13" s="375"/>
      <c r="F13" s="976">
        <f>'数据-取费表'!B34</f>
        <v>0.05</v>
      </c>
      <c r="G13" s="8" t="s">
        <v>2473</v>
      </c>
      <c r="H13" s="968"/>
      <c r="I13" s="968"/>
      <c r="J13" s="968"/>
      <c r="K13" s="969"/>
    </row>
    <row r="14" spans="1:33" s="977" customFormat="1" ht="13.5" customHeight="1">
      <c r="A14" s="971" t="s">
        <v>1333</v>
      </c>
      <c r="B14" s="972" t="s">
        <v>2474</v>
      </c>
      <c r="C14" s="24">
        <f ca="1">ROUND(D14*E14*F11/10000,0)</f>
        <v>0</v>
      </c>
      <c r="D14" s="1033">
        <f ca="1">IF(C1="",'数据-汇总表'!E3,INDIRECT("'数据-取费表'!K"&amp;$K$1)+INDIRECT("'数据-取费表'!S"&amp;$K$1))</f>
        <v>24747.89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24747.89</v>
      </c>
      <c r="E17" s="24">
        <f>'数据-取费表'!B32</f>
        <v>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414</v>
      </c>
      <c r="D18" s="1033"/>
      <c r="E18" s="24"/>
      <c r="F18" s="976"/>
      <c r="G18" s="2545"/>
      <c r="H18" s="1575"/>
      <c r="I18" s="2546" t="s">
        <v>2482</v>
      </c>
      <c r="J18" s="979"/>
      <c r="K18" s="980"/>
    </row>
    <row r="19" spans="1:33" s="975" customFormat="1" ht="13.5" customHeight="1">
      <c r="A19" s="971" t="s">
        <v>805</v>
      </c>
      <c r="B19" s="972" t="s">
        <v>2483</v>
      </c>
      <c r="C19" s="24">
        <f ca="1">ROUND(D19*E19/10000,0)</f>
        <v>323</v>
      </c>
      <c r="D19" s="1033">
        <f ca="1">IF(C1="",'数据-汇总表'!E5,IF(INDIRECT("'数据-取费表'!c"&amp;$K$1)="住宅",INDIRECT("'数据-取费表'!k"&amp;$K$1),0))</f>
        <v>20189.89</v>
      </c>
      <c r="E19" s="24">
        <f>'数据-取费表'!B27</f>
        <v>160</v>
      </c>
      <c r="F19" s="976"/>
      <c r="G19" s="15"/>
      <c r="H19" s="1577"/>
      <c r="I19" s="981"/>
      <c r="J19" s="981"/>
      <c r="K19" s="982"/>
    </row>
    <row r="20" spans="1:33" s="975" customFormat="1" ht="13.5" customHeight="1">
      <c r="A20" s="971" t="s">
        <v>806</v>
      </c>
      <c r="B20" s="972" t="s">
        <v>2484</v>
      </c>
      <c r="C20" s="24">
        <f ca="1">ROUND(D20*E20/10000,0)</f>
        <v>91</v>
      </c>
      <c r="D20" s="1033">
        <f ca="1">IF(C1="",'数据-汇总表'!E6,IF(INDIRECT("'数据-取费表'!c"&amp;$K$1)="住宅",INDIRECT("'数据-取费表'!s"&amp;$K$1),INDIRECT("'数据-取费表'!k"&amp;$K$1)+INDIRECT("'数据-取费表'!s"&amp;$K$1)))</f>
        <v>4558</v>
      </c>
      <c r="E20" s="24">
        <f>'数据-取费表'!B28</f>
        <v>200</v>
      </c>
      <c r="F20" s="976"/>
      <c r="G20" s="15"/>
      <c r="H20" s="981"/>
      <c r="I20" s="981"/>
      <c r="J20" s="981"/>
      <c r="K20" s="982"/>
    </row>
    <row r="21" spans="1:33" s="975" customFormat="1" ht="13.5" customHeight="1">
      <c r="A21" s="961" t="s">
        <v>802</v>
      </c>
      <c r="B21" s="985" t="s">
        <v>2485</v>
      </c>
      <c r="C21" s="986">
        <f ca="1">C16+C17+C18</f>
        <v>414</v>
      </c>
      <c r="D21" s="987"/>
      <c r="E21" s="325"/>
      <c r="F21" s="325"/>
      <c r="G21" s="140" t="s">
        <v>2486</v>
      </c>
      <c r="H21" s="979"/>
      <c r="I21" s="979"/>
      <c r="J21" s="979"/>
      <c r="K21" s="980"/>
    </row>
    <row r="22" spans="1:33" s="975" customFormat="1" ht="13.5" customHeight="1">
      <c r="A22" s="961" t="s">
        <v>2458</v>
      </c>
      <c r="B22" s="985" t="s">
        <v>2487</v>
      </c>
      <c r="C22" s="986">
        <f ca="1">ROUND(C21*F22,0)</f>
        <v>8</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9"/>
      <c r="I27" s="979"/>
      <c r="J27" s="979"/>
      <c r="K27" s="980"/>
    </row>
    <row r="28" spans="1:33" s="333" customFormat="1" ht="13.5" customHeight="1">
      <c r="A28" s="961" t="s">
        <v>2498</v>
      </c>
      <c r="B28" s="2548" t="s">
        <v>2499</v>
      </c>
      <c r="C28" s="331">
        <f ca="1">C30</f>
        <v>76</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76</v>
      </c>
      <c r="D30" s="328"/>
      <c r="E30" s="329"/>
      <c r="F30" s="334"/>
      <c r="G30" s="140"/>
      <c r="H30" s="979"/>
      <c r="I30" s="979"/>
      <c r="J30" s="979"/>
      <c r="K30" s="980"/>
    </row>
    <row r="31" spans="1:33" s="975" customFormat="1" ht="13.5" customHeight="1" thickBot="1">
      <c r="A31" s="2549" t="s">
        <v>2503</v>
      </c>
      <c r="B31" s="1005" t="s">
        <v>2504</v>
      </c>
      <c r="C31" s="1006">
        <f>ROUND(C4*F31/(1+'数据-取费表'!C42),0)</f>
        <v>0</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-484</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2">
        <f ca="1">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537" t="s">
        <v>1398</v>
      </c>
      <c r="C6" s="1295">
        <f ca="1">ROUND(F6*F8*F7*(1-F9),0)</f>
        <v>0</v>
      </c>
      <c r="D6" s="164" t="s">
        <v>3017</v>
      </c>
      <c r="E6" s="347" t="s">
        <v>1400</v>
      </c>
      <c r="F6" s="348">
        <f ca="1">INDIRECT("'数据-取费表'!u"&amp;$G$1)</f>
        <v>0</v>
      </c>
      <c r="G6" s="1849"/>
      <c r="H6" s="1290" t="s">
        <v>1032</v>
      </c>
      <c r="I6" s="3537" t="s">
        <v>1398</v>
      </c>
      <c r="J6" s="346">
        <f ca="1">ROUND(M6*M8*M7*(1-M9),0)</f>
        <v>0</v>
      </c>
      <c r="K6" s="1832" t="s">
        <v>3018</v>
      </c>
      <c r="L6" s="347" t="s">
        <v>1400</v>
      </c>
      <c r="M6" s="348">
        <f ca="1">INDIRECT("'数据-取费表'!z"&amp;$G$1)</f>
        <v>0</v>
      </c>
    </row>
    <row r="7" spans="1:37" ht="18" customHeight="1">
      <c r="A7" s="1294"/>
      <c r="B7" s="3538"/>
      <c r="C7" s="1296"/>
      <c r="D7" s="352"/>
      <c r="E7" s="1297" t="s">
        <v>1401</v>
      </c>
      <c r="F7" s="348">
        <f ca="1">IF(INDIRECT("'数据-取费表'!ah"&amp;$G$1)="",INDIRECT("'数据-取费表'!k"&amp;$G$1),INDIRECT("'数据-取费表'!ah"&amp;$G$1))</f>
        <v>0</v>
      </c>
      <c r="G7" s="1849"/>
      <c r="H7" s="349"/>
      <c r="I7" s="3538"/>
      <c r="J7" s="351"/>
      <c r="K7" s="352"/>
      <c r="L7" s="347" t="s">
        <v>1401</v>
      </c>
      <c r="M7" s="348">
        <f ca="1">F7</f>
        <v>0</v>
      </c>
    </row>
    <row r="8" spans="1:37" ht="18" customHeight="1">
      <c r="A8" s="349"/>
      <c r="B8" s="3538"/>
      <c r="C8" s="351"/>
      <c r="D8" s="352"/>
      <c r="E8" s="347" t="s">
        <v>1402</v>
      </c>
      <c r="F8" s="348">
        <f ca="1">INDIRECT("'数据-取费表'!ai"&amp;$G$1)</f>
        <v>0</v>
      </c>
      <c r="G8" s="1849"/>
      <c r="H8" s="349"/>
      <c r="I8" s="3538"/>
      <c r="J8" s="351"/>
      <c r="K8" s="352"/>
      <c r="L8" s="347" t="s">
        <v>1402</v>
      </c>
      <c r="M8" s="348">
        <f ca="1">INDIRECT("'数据-取费表'!ai"&amp;$G$1)</f>
        <v>0</v>
      </c>
    </row>
    <row r="9" spans="1:37" ht="18" customHeight="1">
      <c r="A9" s="349"/>
      <c r="B9" s="3539"/>
      <c r="C9" s="351"/>
      <c r="D9" s="352"/>
      <c r="E9" s="347" t="s">
        <v>1403</v>
      </c>
      <c r="F9" s="357">
        <f ca="1">INDIRECT("'数据-取费表'!w"&amp;$G$1)</f>
        <v>0</v>
      </c>
      <c r="G9" s="1849"/>
      <c r="H9" s="349"/>
      <c r="I9" s="353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3028</v>
      </c>
      <c r="E10" s="358" t="s">
        <v>1405</v>
      </c>
      <c r="F10" s="1365"/>
      <c r="G10" s="1849"/>
      <c r="H10" s="1290" t="s">
        <v>1036</v>
      </c>
      <c r="I10" s="1821" t="s">
        <v>1404</v>
      </c>
      <c r="J10" s="346">
        <f ca="1">ROUND(IF(M10="押一",J6/12*M11,IF(M10="押二",J6/12*2*M11,IF(M10="押三",J6/12*3*M11,J11*M11))),0)</f>
        <v>0</v>
      </c>
      <c r="K10" s="1833" t="s">
        <v>3030</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5" t="s">
        <v>1396</v>
      </c>
      <c r="C48" s="1815">
        <f ca="1">C49+C53+C55</f>
        <v>0</v>
      </c>
      <c r="D48" s="1361"/>
      <c r="E48" s="1362"/>
      <c r="F48" s="1180"/>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v>
      </c>
      <c r="R52" s="1884" t="s">
        <v>1541</v>
      </c>
    </row>
    <row r="53" spans="1:18" s="1840" customFormat="1" ht="30.75" customHeight="1" thickBot="1">
      <c r="A53" s="1360" t="s">
        <v>1134</v>
      </c>
      <c r="B53" s="369" t="s">
        <v>1404</v>
      </c>
      <c r="C53" s="361">
        <f ca="1">ROUND(IF(F53="押一",C49/12*F11,IF(F53="押二",C49/12*2*F11,IF(F53="押三",C49/12*3*F11,C54*F11))),0)</f>
        <v>0</v>
      </c>
      <c r="D53" s="1822" t="s">
        <v>3031</v>
      </c>
      <c r="E53" s="358" t="s">
        <v>1405</v>
      </c>
      <c r="F53" s="1365"/>
      <c r="I53" s="1903" t="s">
        <v>1542</v>
      </c>
      <c r="J53" s="2967">
        <f ca="1">IF(M47="住宅",IF(D1="——",MAX(J51,L48),MAX(J51,L48-'数据-取费表'!B24)),IF(D1="——",MIN(J51,L48),MIN(J51,L48-'数据-取费表'!B24)))</f>
        <v>0</v>
      </c>
      <c r="K53" s="3535" t="s">
        <v>1543</v>
      </c>
      <c r="L53" s="3536"/>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4">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0" t="s">
        <v>2515</v>
      </c>
      <c r="B1" s="2551"/>
      <c r="C1" s="2551"/>
      <c r="D1" s="2551"/>
      <c r="E1" s="2552"/>
    </row>
    <row r="2" spans="1:6" ht="15.75">
      <c r="A2" s="2553" t="s">
        <v>2316</v>
      </c>
      <c r="B2" s="2554">
        <f ca="1">SUMIF(B6:B13,"&lt;&gt;#ref!",B6:B13)</f>
        <v>122497</v>
      </c>
      <c r="C2" s="2555" t="s">
        <v>2508</v>
      </c>
      <c r="D2" s="2556" t="s">
        <v>2509</v>
      </c>
      <c r="E2" s="2557">
        <f>SUM(E6:E13)</f>
        <v>24747.889999999996</v>
      </c>
    </row>
    <row r="3" spans="1:6" ht="15.75">
      <c r="A3" s="2553" t="s">
        <v>1390</v>
      </c>
      <c r="B3" s="2554">
        <f ca="1">ROUND(B2*10000/E2,0)</f>
        <v>49498</v>
      </c>
      <c r="C3" s="2555" t="s">
        <v>2516</v>
      </c>
      <c r="D3" s="2558"/>
      <c r="E3" s="2559"/>
    </row>
    <row r="4" spans="1:6" ht="15.75">
      <c r="A4" s="2560"/>
      <c r="B4" s="2558"/>
      <c r="C4" s="2558"/>
      <c r="D4" s="2558"/>
      <c r="E4" s="2559"/>
    </row>
    <row r="5" spans="1:6" ht="15">
      <c r="A5" s="2561" t="s">
        <v>2510</v>
      </c>
      <c r="B5" s="3584" t="s">
        <v>2511</v>
      </c>
      <c r="C5" s="3584"/>
      <c r="D5" s="2562"/>
      <c r="E5" s="2563" t="s">
        <v>2512</v>
      </c>
      <c r="F5" s="2564" t="s">
        <v>2513</v>
      </c>
    </row>
    <row r="6" spans="1:6">
      <c r="A6" s="2565" t="str">
        <f>'数据-取费表'!AN6</f>
        <v>收益法</v>
      </c>
      <c r="B6" s="2564">
        <f ca="1">IF(F6="是",'数据-取费表'!AO6,0)</f>
        <v>119848</v>
      </c>
      <c r="C6" s="2555" t="s">
        <v>2508</v>
      </c>
      <c r="D6" s="2558"/>
      <c r="E6" s="2566">
        <f>IF(OR(A6=0,F6="否"),0,'数据-取费表'!K6+'数据-取费表'!S6)</f>
        <v>20505.649999999998</v>
      </c>
      <c r="F6" s="2567" t="s">
        <v>2514</v>
      </c>
    </row>
    <row r="7" spans="1:6">
      <c r="A7" s="2565" t="str">
        <f>'数据-取费表'!AN7</f>
        <v>收益法 (配套)</v>
      </c>
      <c r="B7" s="2564">
        <f ca="1">IF(F7="是",'数据-取费表'!AO7,0)</f>
        <v>1095</v>
      </c>
      <c r="C7" s="2555" t="s">
        <v>2508</v>
      </c>
      <c r="D7" s="2558"/>
      <c r="E7" s="2566">
        <f>IF(OR(A7=0,F7="否"),0,'数据-取费表'!K7+'数据-取费表'!S7)</f>
        <v>807.05</v>
      </c>
      <c r="F7" s="2567" t="s">
        <v>2514</v>
      </c>
    </row>
    <row r="8" spans="1:6">
      <c r="A8" s="2565" t="str">
        <f>'数据-取费表'!AN8</f>
        <v>收益法 (车库)</v>
      </c>
      <c r="B8" s="2564">
        <f ca="1">IF(F8="是",'数据-取费表'!AO8,0)</f>
        <v>1554</v>
      </c>
      <c r="C8" s="2555" t="s">
        <v>2508</v>
      </c>
      <c r="D8" s="2558"/>
      <c r="E8" s="2566">
        <f>IF(OR(A8=0,F8="否"),0,'数据-取费表'!K8+'数据-取费表'!S8)</f>
        <v>3435.19</v>
      </c>
      <c r="F8" s="2567" t="s">
        <v>2514</v>
      </c>
    </row>
    <row r="9" spans="1:6">
      <c r="A9" s="2565">
        <f>'数据-取费表'!AN9</f>
        <v>0</v>
      </c>
      <c r="B9" s="2564" t="e">
        <f ca="1">IF(F9="是",'数据-取费表'!AO9,0)</f>
        <v>#REF!</v>
      </c>
      <c r="C9" s="2555" t="s">
        <v>2508</v>
      </c>
      <c r="D9" s="2558"/>
      <c r="E9" s="2566">
        <f>IF(OR(A9=0,F9="否"),0,'数据-取费表'!K9+'数据-取费表'!S9)</f>
        <v>0</v>
      </c>
      <c r="F9" s="2567" t="s">
        <v>2514</v>
      </c>
    </row>
    <row r="10" spans="1:6">
      <c r="A10" s="2565">
        <f>'数据-取费表'!AN10</f>
        <v>0</v>
      </c>
      <c r="B10" s="2564" t="e">
        <f ca="1">IF(F10="是",'数据-取费表'!AO10,0)</f>
        <v>#REF!</v>
      </c>
      <c r="C10" s="2555" t="s">
        <v>2508</v>
      </c>
      <c r="D10" s="2558"/>
      <c r="E10" s="2566">
        <f>IF(OR(A10=0,F10="否"),0,'数据-取费表'!K10+'数据-取费表'!S10)</f>
        <v>0</v>
      </c>
      <c r="F10" s="2567" t="s">
        <v>2514</v>
      </c>
    </row>
    <row r="11" spans="1:6">
      <c r="A11" s="2565">
        <f>'数据-取费表'!AN11</f>
        <v>0</v>
      </c>
      <c r="B11" s="2564" t="e">
        <f ca="1">IF(F11="是",'数据-取费表'!AO11,0)</f>
        <v>#REF!</v>
      </c>
      <c r="C11" s="2555" t="s">
        <v>2508</v>
      </c>
      <c r="D11" s="2558"/>
      <c r="E11" s="2566">
        <f>IF(OR(A11=0,F11="否"),0,'数据-取费表'!K11+'数据-取费表'!S11)</f>
        <v>0</v>
      </c>
      <c r="F11" s="2567" t="s">
        <v>2514</v>
      </c>
    </row>
    <row r="12" spans="1:6">
      <c r="A12" s="2565">
        <f>'数据-取费表'!AN12</f>
        <v>0</v>
      </c>
      <c r="B12" s="2564" t="e">
        <f ca="1">IF(F12="是",'数据-取费表'!AO12,0)</f>
        <v>#REF!</v>
      </c>
      <c r="C12" s="2555" t="s">
        <v>2508</v>
      </c>
      <c r="D12" s="2558"/>
      <c r="E12" s="2566">
        <f>IF(OR(A12=0,F12="否"),0,'数据-取费表'!K12+'数据-取费表'!S12)</f>
        <v>0</v>
      </c>
      <c r="F12" s="2567" t="s">
        <v>2514</v>
      </c>
    </row>
    <row r="13" spans="1:6" ht="15" thickBot="1">
      <c r="A13" s="2568">
        <f>'数据-取费表'!AN13</f>
        <v>0</v>
      </c>
      <c r="B13" s="2564" t="e">
        <f ca="1">IF(F13="是",'数据-取费表'!AO13,0)</f>
        <v>#REF!</v>
      </c>
      <c r="C13" s="2569" t="s">
        <v>2508</v>
      </c>
      <c r="D13" s="2570"/>
      <c r="E13" s="2566">
        <f>IF(OR(A13=0,F13="否"),0,'数据-取费表'!K13+'数据-取费表'!S13)</f>
        <v>0</v>
      </c>
      <c r="F13" s="256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01" t="s">
        <v>1073</v>
      </c>
      <c r="B1" s="3602"/>
      <c r="C1" s="3603"/>
      <c r="D1" s="3604">
        <f>SUM(I10,I15,I20,I21,I23)</f>
        <v>0</v>
      </c>
      <c r="E1" s="3604"/>
      <c r="F1" s="3604"/>
      <c r="G1" s="3604"/>
      <c r="H1" s="3604"/>
      <c r="I1" s="3605"/>
    </row>
    <row r="2" spans="1:9">
      <c r="A2" s="3591" t="s">
        <v>1074</v>
      </c>
      <c r="B2" s="3592" t="s">
        <v>1075</v>
      </c>
      <c r="C2" s="3592"/>
      <c r="D2" s="1300" t="s">
        <v>1076</v>
      </c>
      <c r="E2" s="1300" t="s">
        <v>1077</v>
      </c>
      <c r="F2" s="1300" t="s">
        <v>1078</v>
      </c>
      <c r="G2" s="1300" t="s">
        <v>1079</v>
      </c>
      <c r="H2" s="1300" t="s">
        <v>1080</v>
      </c>
      <c r="I2" s="1301" t="s">
        <v>1081</v>
      </c>
    </row>
    <row r="3" spans="1:9">
      <c r="A3" s="3591"/>
      <c r="B3" s="3592" t="s">
        <v>1082</v>
      </c>
      <c r="C3" s="3592"/>
      <c r="D3" s="1302"/>
      <c r="E3" s="1300"/>
      <c r="F3" s="1303"/>
      <c r="G3" s="1303"/>
      <c r="H3" s="1304"/>
      <c r="I3" s="1305">
        <f>ROUND(D3*E3*F3*G3*H3/10000,0)</f>
        <v>0</v>
      </c>
    </row>
    <row r="4" spans="1:9">
      <c r="A4" s="3591"/>
      <c r="B4" s="3592" t="s">
        <v>1083</v>
      </c>
      <c r="C4" s="3592"/>
      <c r="D4" s="1302"/>
      <c r="E4" s="1300"/>
      <c r="F4" s="1303"/>
      <c r="G4" s="1303"/>
      <c r="H4" s="1304"/>
      <c r="I4" s="1305">
        <f t="shared" ref="I4:I9" si="0">ROUND(D4*E4*F4*G4*H4/10000,0)</f>
        <v>0</v>
      </c>
    </row>
    <row r="5" spans="1:9">
      <c r="A5" s="3591"/>
      <c r="B5" s="3592" t="s">
        <v>1084</v>
      </c>
      <c r="C5" s="3592"/>
      <c r="D5" s="1302"/>
      <c r="E5" s="1300"/>
      <c r="F5" s="1303"/>
      <c r="G5" s="1303"/>
      <c r="H5" s="1304"/>
      <c r="I5" s="1305">
        <f t="shared" si="0"/>
        <v>0</v>
      </c>
    </row>
    <row r="6" spans="1:9">
      <c r="A6" s="3591"/>
      <c r="B6" s="3592" t="s">
        <v>1085</v>
      </c>
      <c r="C6" s="3592"/>
      <c r="D6" s="1302"/>
      <c r="E6" s="1300"/>
      <c r="F6" s="1303"/>
      <c r="G6" s="1303"/>
      <c r="H6" s="1304"/>
      <c r="I6" s="1305">
        <f t="shared" si="0"/>
        <v>0</v>
      </c>
    </row>
    <row r="7" spans="1:9">
      <c r="A7" s="3591"/>
      <c r="B7" s="3592" t="s">
        <v>1086</v>
      </c>
      <c r="C7" s="3592"/>
      <c r="D7" s="1302"/>
      <c r="E7" s="1300"/>
      <c r="F7" s="1303"/>
      <c r="G7" s="1303"/>
      <c r="H7" s="1304"/>
      <c r="I7" s="1305">
        <f t="shared" si="0"/>
        <v>0</v>
      </c>
    </row>
    <row r="8" spans="1:9">
      <c r="A8" s="3591"/>
      <c r="B8" s="3592" t="s">
        <v>1087</v>
      </c>
      <c r="C8" s="3592"/>
      <c r="D8" s="1302"/>
      <c r="E8" s="1300"/>
      <c r="F8" s="1303"/>
      <c r="G8" s="1303"/>
      <c r="H8" s="1304"/>
      <c r="I8" s="1305">
        <f t="shared" si="0"/>
        <v>0</v>
      </c>
    </row>
    <row r="9" spans="1:9">
      <c r="A9" s="3591"/>
      <c r="B9" s="3592" t="s">
        <v>1088</v>
      </c>
      <c r="C9" s="3592"/>
      <c r="D9" s="1302"/>
      <c r="E9" s="1300"/>
      <c r="F9" s="1303"/>
      <c r="G9" s="1303"/>
      <c r="H9" s="1304"/>
      <c r="I9" s="1305">
        <f t="shared" si="0"/>
        <v>0</v>
      </c>
    </row>
    <row r="10" spans="1:9">
      <c r="A10" s="3591"/>
      <c r="B10" s="3593" t="s">
        <v>1089</v>
      </c>
      <c r="C10" s="3593"/>
      <c r="D10" s="1306"/>
      <c r="E10" s="1306" t="e">
        <f>ROUND(D1*10000/D10/H9,0)</f>
        <v>#DIV/0!</v>
      </c>
      <c r="F10" s="1307"/>
      <c r="G10" s="1307"/>
      <c r="H10" s="1308"/>
      <c r="I10" s="1309">
        <f>SUM(I3:I9)</f>
        <v>0</v>
      </c>
    </row>
    <row r="11" spans="1:9" ht="14.25">
      <c r="A11" s="3591" t="s">
        <v>1090</v>
      </c>
      <c r="B11" s="3592" t="s">
        <v>1091</v>
      </c>
      <c r="C11" s="3592"/>
      <c r="D11" s="1302" t="s">
        <v>1092</v>
      </c>
      <c r="E11" s="1302" t="s">
        <v>1093</v>
      </c>
      <c r="F11" s="1303" t="s">
        <v>1094</v>
      </c>
      <c r="G11" s="1303" t="s">
        <v>1080</v>
      </c>
      <c r="H11" s="1310" t="s">
        <v>1095</v>
      </c>
      <c r="I11" s="1301" t="s">
        <v>1081</v>
      </c>
    </row>
    <row r="12" spans="1:9">
      <c r="A12" s="3591"/>
      <c r="B12" s="3592" t="s">
        <v>1096</v>
      </c>
      <c r="C12" s="3592"/>
      <c r="D12" s="1302"/>
      <c r="E12" s="1302"/>
      <c r="F12" s="1303"/>
      <c r="G12" s="1304"/>
      <c r="H12" s="1311"/>
      <c r="I12" s="1301">
        <f>ROUND(D12*E12*F12*G12/10000,0)</f>
        <v>0</v>
      </c>
    </row>
    <row r="13" spans="1:9">
      <c r="A13" s="3591"/>
      <c r="B13" s="3592" t="s">
        <v>1097</v>
      </c>
      <c r="C13" s="3592"/>
      <c r="D13" s="1302"/>
      <c r="E13" s="1302"/>
      <c r="F13" s="1303"/>
      <c r="G13" s="1304"/>
      <c r="H13" s="1311"/>
      <c r="I13" s="1301">
        <f>ROUND(D13*E13*F13*G13/10000,0)</f>
        <v>0</v>
      </c>
    </row>
    <row r="14" spans="1:9">
      <c r="A14" s="3591"/>
      <c r="B14" s="3592" t="s">
        <v>1098</v>
      </c>
      <c r="C14" s="3592"/>
      <c r="D14" s="1302"/>
      <c r="E14" s="1302"/>
      <c r="F14" s="1303"/>
      <c r="G14" s="1304"/>
      <c r="H14" s="1311"/>
      <c r="I14" s="1301">
        <f>ROUND(D14*E14*F14*G14/10000,0)</f>
        <v>0</v>
      </c>
    </row>
    <row r="15" spans="1:9">
      <c r="A15" s="3591"/>
      <c r="B15" s="3593" t="s">
        <v>1089</v>
      </c>
      <c r="C15" s="3593"/>
      <c r="D15" s="1306"/>
      <c r="E15" s="1306">
        <f>SUM(E12:E14)</f>
        <v>0</v>
      </c>
      <c r="F15" s="1307"/>
      <c r="G15" s="1304"/>
      <c r="H15" s="1311"/>
      <c r="I15" s="1312">
        <f>SUM(I12:I14)</f>
        <v>0</v>
      </c>
    </row>
    <row r="16" spans="1:9" ht="24">
      <c r="A16" s="3591" t="s">
        <v>1099</v>
      </c>
      <c r="B16" s="3592" t="s">
        <v>1100</v>
      </c>
      <c r="C16" s="3592"/>
      <c r="D16" s="1302" t="s">
        <v>1076</v>
      </c>
      <c r="E16" s="1313" t="s">
        <v>1101</v>
      </c>
      <c r="F16" s="1303" t="s">
        <v>1102</v>
      </c>
      <c r="G16" s="1304" t="s">
        <v>1080</v>
      </c>
      <c r="H16" s="1310" t="s">
        <v>1095</v>
      </c>
      <c r="I16" s="1301" t="s">
        <v>1081</v>
      </c>
    </row>
    <row r="17" spans="1:9" ht="14.25">
      <c r="A17" s="3591"/>
      <c r="B17" s="3592" t="s">
        <v>1103</v>
      </c>
      <c r="C17" s="3592"/>
      <c r="D17" s="1302"/>
      <c r="E17" s="1302"/>
      <c r="F17" s="1303"/>
      <c r="G17" s="1304"/>
      <c r="H17" s="1314"/>
      <c r="I17" s="1315">
        <f>ROUND(D17*E17*F17*G17/10000,0)</f>
        <v>0</v>
      </c>
    </row>
    <row r="18" spans="1:9" ht="14.25">
      <c r="A18" s="3591"/>
      <c r="B18" s="3592" t="s">
        <v>1104</v>
      </c>
      <c r="C18" s="3592"/>
      <c r="D18" s="1302"/>
      <c r="E18" s="1302"/>
      <c r="F18" s="1303"/>
      <c r="G18" s="1304"/>
      <c r="H18" s="1314"/>
      <c r="I18" s="1315">
        <f>ROUND(D18*E18*F18*G18/10000,0)</f>
        <v>0</v>
      </c>
    </row>
    <row r="19" spans="1:9" ht="14.25">
      <c r="A19" s="3591"/>
      <c r="B19" s="3592" t="s">
        <v>1105</v>
      </c>
      <c r="C19" s="3592"/>
      <c r="D19" s="1302"/>
      <c r="E19" s="1302"/>
      <c r="F19" s="1303"/>
      <c r="G19" s="1304"/>
      <c r="H19" s="1314"/>
      <c r="I19" s="1315">
        <f>ROUND(D19*E19*F19*G19/10000,0)</f>
        <v>0</v>
      </c>
    </row>
    <row r="20" spans="1:9">
      <c r="A20" s="3591"/>
      <c r="B20" s="3593" t="s">
        <v>1089</v>
      </c>
      <c r="C20" s="3593"/>
      <c r="D20" s="1306">
        <f>SUM(D17:D19)</f>
        <v>0</v>
      </c>
      <c r="E20" s="1306"/>
      <c r="F20" s="1307"/>
      <c r="G20" s="1304"/>
      <c r="H20" s="1311"/>
      <c r="I20" s="1312">
        <f>SUM(I17:I19)</f>
        <v>0</v>
      </c>
    </row>
    <row r="21" spans="1:9">
      <c r="A21" s="3591" t="s">
        <v>1106</v>
      </c>
      <c r="B21" s="3594"/>
      <c r="C21" s="3594"/>
      <c r="D21" s="3594"/>
      <c r="E21" s="3594"/>
      <c r="F21" s="3594"/>
      <c r="G21" s="3594"/>
      <c r="H21" s="1763">
        <v>0.1</v>
      </c>
      <c r="I21" s="1309">
        <f>ROUND(I10*H21,0)</f>
        <v>0</v>
      </c>
    </row>
    <row r="22" spans="1:9" ht="14.25">
      <c r="A22" s="3595" t="s">
        <v>1107</v>
      </c>
      <c r="B22" s="3596"/>
      <c r="C22" s="3597"/>
      <c r="D22" s="1316" t="s">
        <v>1108</v>
      </c>
      <c r="E22" s="1316" t="s">
        <v>1109</v>
      </c>
      <c r="F22" s="1317" t="s">
        <v>1110</v>
      </c>
      <c r="G22" s="1317" t="s">
        <v>1111</v>
      </c>
      <c r="H22" s="1310" t="s">
        <v>1112</v>
      </c>
      <c r="I22" s="1301" t="s">
        <v>1113</v>
      </c>
    </row>
    <row r="23" spans="1:9" ht="14.25" thickBot="1">
      <c r="A23" s="3598"/>
      <c r="B23" s="3599"/>
      <c r="C23" s="3600"/>
      <c r="D23" s="1318"/>
      <c r="E23" s="1318"/>
      <c r="F23" s="1318"/>
      <c r="G23" s="1319"/>
      <c r="H23" s="1320"/>
      <c r="I23" s="1321">
        <f>ROUND(E23*D23*F23*(1-G23)/10000,0)</f>
        <v>0</v>
      </c>
    </row>
    <row r="26" spans="1:9">
      <c r="A26" s="1322" t="s">
        <v>1114</v>
      </c>
      <c r="B26" s="1322"/>
      <c r="C26" s="1322"/>
      <c r="D26" s="1322"/>
      <c r="E26" s="3588">
        <f>C27-C30-C31-C32</f>
        <v>0</v>
      </c>
      <c r="F26" s="3588"/>
      <c r="G26" s="3588"/>
      <c r="H26" s="1735" t="s">
        <v>1336</v>
      </c>
    </row>
    <row r="27" spans="1:9">
      <c r="A27" s="1323">
        <v>1</v>
      </c>
      <c r="B27" s="1324" t="s">
        <v>1115</v>
      </c>
      <c r="C27" s="1324">
        <f>C28+C29</f>
        <v>0</v>
      </c>
      <c r="D27" s="1324"/>
      <c r="E27" s="3589"/>
      <c r="F27" s="3589"/>
      <c r="G27" s="3589"/>
    </row>
    <row r="28" spans="1:9">
      <c r="A28" s="1325" t="s">
        <v>1116</v>
      </c>
      <c r="B28" s="1324" t="s">
        <v>1117</v>
      </c>
      <c r="C28" s="1324"/>
      <c r="D28" s="1324"/>
      <c r="E28" s="3589"/>
      <c r="F28" s="3589"/>
      <c r="G28" s="358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590"/>
      <c r="F32" s="3590"/>
      <c r="G32" s="3590"/>
    </row>
    <row r="33" spans="1:7" hidden="1">
      <c r="A33" s="3585" t="s">
        <v>1126</v>
      </c>
      <c r="B33" s="3586"/>
      <c r="C33" s="3586"/>
      <c r="D33" s="3587"/>
      <c r="E33" s="3588"/>
      <c r="F33" s="3588"/>
      <c r="G33" s="3588"/>
    </row>
    <row r="34" spans="1:7" hidden="1">
      <c r="A34" s="1327">
        <v>1</v>
      </c>
      <c r="B34" s="1324" t="s">
        <v>1127</v>
      </c>
      <c r="C34" s="1324"/>
      <c r="D34" s="1324"/>
      <c r="E34" s="3589"/>
      <c r="F34" s="3589"/>
      <c r="G34" s="3589"/>
    </row>
    <row r="35" spans="1:7" hidden="1">
      <c r="A35" s="1327">
        <v>2</v>
      </c>
      <c r="B35" s="1324" t="s">
        <v>1128</v>
      </c>
      <c r="C35" s="1324"/>
      <c r="D35" s="1324"/>
      <c r="E35" s="3589"/>
      <c r="F35" s="3589"/>
      <c r="G35" s="3589"/>
    </row>
    <row r="36" spans="1:7" hidden="1">
      <c r="A36" s="1327">
        <v>3</v>
      </c>
      <c r="B36" s="1324" t="s">
        <v>1129</v>
      </c>
      <c r="C36" s="1324"/>
      <c r="D36" s="1324"/>
      <c r="E36" s="3589"/>
      <c r="F36" s="3589"/>
      <c r="G36" s="3589"/>
    </row>
    <row r="37" spans="1:7" hidden="1">
      <c r="A37" s="1327">
        <v>4</v>
      </c>
      <c r="B37" s="1324" t="s">
        <v>1130</v>
      </c>
      <c r="C37" s="1324"/>
      <c r="D37" s="1324"/>
      <c r="E37" s="3589"/>
      <c r="F37" s="3589"/>
      <c r="G37" s="3589"/>
    </row>
    <row r="38" spans="1:7" hidden="1">
      <c r="A38" s="3585" t="s">
        <v>1131</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2631</v>
      </c>
      <c r="C1" s="1632" t="s">
        <v>2519</v>
      </c>
      <c r="D1" s="1619"/>
      <c r="E1" s="2646"/>
      <c r="F1" s="2573"/>
      <c r="G1" s="1629" t="s">
        <v>2632</v>
      </c>
      <c r="H1" s="1628"/>
      <c r="I1" s="1628"/>
      <c r="J1" s="1628"/>
      <c r="K1" s="1630"/>
      <c r="L1" s="1631"/>
      <c r="M1" s="1632"/>
      <c r="N1" s="1632"/>
      <c r="O1" s="1632"/>
      <c r="P1" s="2647"/>
      <c r="Q1" s="2648"/>
      <c r="R1" s="2648"/>
      <c r="S1" s="2648"/>
      <c r="T1" s="2648"/>
      <c r="U1" s="2648"/>
      <c r="V1" s="2648"/>
      <c r="W1" s="2648"/>
      <c r="X1" s="2648"/>
      <c r="Y1" s="2648"/>
      <c r="Z1" s="2648"/>
      <c r="AA1" s="2648"/>
      <c r="AB1" s="2648"/>
      <c r="AC1" s="2649"/>
    </row>
    <row r="2" spans="1:29" s="398" customFormat="1" ht="28.5" customHeight="1" thickTop="1">
      <c r="A2" s="1615" t="s">
        <v>2316</v>
      </c>
      <c r="B2" s="1417" t="e">
        <f ca="1">IF(C2="——",ROUND(C49*D3/10000,0),ROUND(C49*D3/10000,0)-D2)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2650"/>
      <c r="Q2" s="1128"/>
      <c r="R2" s="1128"/>
      <c r="S2" s="1128"/>
      <c r="T2" s="1128"/>
      <c r="U2" s="1128"/>
      <c r="V2" s="1128"/>
      <c r="W2" s="1128"/>
      <c r="X2" s="1128"/>
      <c r="Y2" s="1128"/>
      <c r="Z2" s="1128"/>
      <c r="AA2" s="1128"/>
      <c r="AB2" s="1128"/>
      <c r="AC2" s="2651"/>
    </row>
    <row r="3" spans="1:29" s="398" customFormat="1" ht="28.5" customHeight="1" thickBot="1">
      <c r="A3" s="247" t="s">
        <v>2318</v>
      </c>
      <c r="B3" s="609" t="e">
        <f ca="1">IF(C2="——",C49,ROUND(B2*10000/D3,0))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2650"/>
      <c r="Q3" s="1128"/>
      <c r="R3" s="1128"/>
      <c r="S3" s="1128"/>
      <c r="T3" s="1128"/>
      <c r="U3" s="1128"/>
      <c r="V3" s="1128"/>
      <c r="W3" s="1128"/>
      <c r="X3" s="1128"/>
      <c r="Y3" s="1128"/>
      <c r="Z3" s="1128"/>
      <c r="AA3" s="1128"/>
      <c r="AB3" s="1128"/>
      <c r="AC3" s="2652"/>
    </row>
    <row r="4" spans="1:29" ht="15">
      <c r="A4" s="401" t="s">
        <v>2634</v>
      </c>
      <c r="B4" s="402"/>
      <c r="C4" s="3491" t="s">
        <v>2635</v>
      </c>
      <c r="D4" s="3492"/>
      <c r="E4" s="3493" t="s">
        <v>2636</v>
      </c>
      <c r="F4" s="3494"/>
      <c r="G4" s="3491" t="s">
        <v>2637</v>
      </c>
      <c r="H4" s="3492"/>
      <c r="I4" s="3491" t="s">
        <v>2638</v>
      </c>
      <c r="J4" s="3492"/>
      <c r="K4" s="610" t="s">
        <v>2639</v>
      </c>
      <c r="L4" s="1129"/>
      <c r="M4" s="1130"/>
      <c r="N4" s="1130"/>
      <c r="O4" s="1130"/>
      <c r="P4" s="3495" t="s">
        <v>2640</v>
      </c>
      <c r="Q4" s="3496"/>
      <c r="R4" s="3481" t="s">
        <v>2636</v>
      </c>
      <c r="S4" s="3482"/>
      <c r="T4" s="3481" t="s">
        <v>2637</v>
      </c>
      <c r="U4" s="3482"/>
      <c r="V4" s="3487" t="s">
        <v>2638</v>
      </c>
      <c r="W4" s="3487"/>
      <c r="X4" s="1811"/>
      <c r="Y4" s="3481" t="s">
        <v>2640</v>
      </c>
      <c r="Z4" s="3482"/>
      <c r="AA4" s="3488" t="s">
        <v>2636</v>
      </c>
      <c r="AB4" s="3487" t="s">
        <v>2637</v>
      </c>
      <c r="AC4" s="3488" t="s">
        <v>2638</v>
      </c>
    </row>
    <row r="5" spans="1:29" ht="15">
      <c r="A5" s="404"/>
      <c r="B5" s="405"/>
      <c r="C5" s="3505" t="s">
        <v>2531</v>
      </c>
      <c r="D5" s="3502"/>
      <c r="E5" s="3606" t="s">
        <v>2532</v>
      </c>
      <c r="F5" s="3504"/>
      <c r="G5" s="3505" t="s">
        <v>2533</v>
      </c>
      <c r="H5" s="3502"/>
      <c r="I5" s="3505" t="s">
        <v>2534</v>
      </c>
      <c r="J5" s="3502"/>
      <c r="K5" s="610"/>
      <c r="L5" s="1129"/>
      <c r="M5" s="1130"/>
      <c r="N5" s="1130"/>
      <c r="O5" s="1130"/>
      <c r="P5" s="3497"/>
      <c r="Q5" s="3498"/>
      <c r="R5" s="3483"/>
      <c r="S5" s="3484"/>
      <c r="T5" s="3483"/>
      <c r="U5" s="3484"/>
      <c r="V5" s="3487"/>
      <c r="W5" s="3487"/>
      <c r="X5" s="1811"/>
      <c r="Y5" s="3483"/>
      <c r="Z5" s="3484"/>
      <c r="AA5" s="3489"/>
      <c r="AB5" s="3487"/>
      <c r="AC5" s="3489"/>
    </row>
    <row r="6" spans="1:29" ht="15.75" thickBot="1">
      <c r="A6" s="406"/>
      <c r="B6" s="407"/>
      <c r="C6" s="3476" t="s">
        <v>2535</v>
      </c>
      <c r="D6" s="3477"/>
      <c r="E6" s="3478" t="s">
        <v>2535</v>
      </c>
      <c r="F6" s="3479"/>
      <c r="G6" s="3476" t="s">
        <v>2535</v>
      </c>
      <c r="H6" s="3477"/>
      <c r="I6" s="3476" t="s">
        <v>2535</v>
      </c>
      <c r="J6" s="3477"/>
      <c r="K6" s="610" t="s">
        <v>2536</v>
      </c>
      <c r="L6" s="1129"/>
      <c r="M6" s="1130"/>
      <c r="N6" s="1130"/>
      <c r="O6" s="1130"/>
      <c r="P6" s="3499"/>
      <c r="Q6" s="3500"/>
      <c r="R6" s="3483"/>
      <c r="S6" s="3484"/>
      <c r="T6" s="3485"/>
      <c r="U6" s="3486"/>
      <c r="V6" s="3487"/>
      <c r="W6" s="3487"/>
      <c r="X6" s="1811"/>
      <c r="Y6" s="3485"/>
      <c r="Z6" s="3486"/>
      <c r="AA6" s="3490"/>
      <c r="AB6" s="3487"/>
      <c r="AC6" s="3490"/>
    </row>
    <row r="7" spans="1:29" s="117" customFormat="1" ht="15.75" thickBot="1">
      <c r="A7" s="408" t="s">
        <v>2537</v>
      </c>
      <c r="B7" s="409"/>
      <c r="C7" s="410">
        <f>'数据-取费表'!B2</f>
        <v>43670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469" t="s">
        <v>2538</v>
      </c>
      <c r="Q7" s="3480"/>
      <c r="R7" s="770" t="s">
        <v>17</v>
      </c>
      <c r="S7" s="771">
        <f t="shared" ref="S7:S15" si="0">F7</f>
        <v>0</v>
      </c>
      <c r="T7" s="770" t="s">
        <v>17</v>
      </c>
      <c r="U7" s="771">
        <f t="shared" ref="U7:U15" si="1">H7</f>
        <v>0</v>
      </c>
      <c r="V7" s="770" t="s">
        <v>17</v>
      </c>
      <c r="W7" s="771">
        <f t="shared" ref="W7:W15" si="2">J7</f>
        <v>0</v>
      </c>
      <c r="X7" s="772"/>
      <c r="Y7" s="3469" t="s">
        <v>2538</v>
      </c>
      <c r="Z7" s="3470"/>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469" t="s">
        <v>2541</v>
      </c>
      <c r="Q8" s="3470"/>
      <c r="R8" s="770" t="s">
        <v>17</v>
      </c>
      <c r="S8" s="771">
        <f t="shared" si="0"/>
        <v>0</v>
      </c>
      <c r="T8" s="770" t="s">
        <v>17</v>
      </c>
      <c r="U8" s="771">
        <f t="shared" si="1"/>
        <v>0</v>
      </c>
      <c r="V8" s="770" t="s">
        <v>17</v>
      </c>
      <c r="W8" s="771">
        <f t="shared" si="2"/>
        <v>0</v>
      </c>
      <c r="X8" s="772"/>
      <c r="Y8" s="3469" t="s">
        <v>2541</v>
      </c>
      <c r="Z8" s="3470"/>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471" t="s">
        <v>2544</v>
      </c>
      <c r="Q9" s="1793" t="str">
        <f t="shared" ref="Q9:Q15" si="6">B9</f>
        <v>用途</v>
      </c>
      <c r="R9" s="770" t="s">
        <v>17</v>
      </c>
      <c r="S9" s="771">
        <f t="shared" si="0"/>
        <v>100</v>
      </c>
      <c r="T9" s="770" t="s">
        <v>17</v>
      </c>
      <c r="U9" s="771">
        <f t="shared" si="1"/>
        <v>100</v>
      </c>
      <c r="V9" s="770" t="s">
        <v>17</v>
      </c>
      <c r="W9" s="771">
        <f t="shared" si="2"/>
        <v>100</v>
      </c>
      <c r="X9" s="772"/>
      <c r="Y9" s="3317"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471"/>
      <c r="Q10" s="1793" t="str">
        <f t="shared" si="6"/>
        <v>土地使用年限（年）</v>
      </c>
      <c r="R10" s="770" t="s">
        <v>17</v>
      </c>
      <c r="S10" s="771">
        <f t="shared" si="0"/>
        <v>100</v>
      </c>
      <c r="T10" s="770" t="s">
        <v>17</v>
      </c>
      <c r="U10" s="771">
        <f t="shared" si="1"/>
        <v>100</v>
      </c>
      <c r="V10" s="770" t="s">
        <v>17</v>
      </c>
      <c r="W10" s="771">
        <f t="shared" si="2"/>
        <v>100</v>
      </c>
      <c r="X10" s="772"/>
      <c r="Y10" s="3317"/>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471"/>
      <c r="Q11" s="1793" t="str">
        <f t="shared" si="6"/>
        <v>容积率</v>
      </c>
      <c r="R11" s="770" t="s">
        <v>17</v>
      </c>
      <c r="S11" s="771" t="e">
        <f t="shared" si="0"/>
        <v>#N/A</v>
      </c>
      <c r="T11" s="770" t="s">
        <v>17</v>
      </c>
      <c r="U11" s="771" t="e">
        <f t="shared" si="1"/>
        <v>#N/A</v>
      </c>
      <c r="V11" s="770" t="s">
        <v>17</v>
      </c>
      <c r="W11" s="771" t="e">
        <f t="shared" si="2"/>
        <v>#N/A</v>
      </c>
      <c r="X11" s="772"/>
      <c r="Y11" s="3317"/>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71"/>
      <c r="Q12" s="1793">
        <f t="shared" si="6"/>
        <v>111</v>
      </c>
      <c r="R12" s="770" t="s">
        <v>17</v>
      </c>
      <c r="S12" s="771">
        <f t="shared" si="0"/>
        <v>100</v>
      </c>
      <c r="T12" s="770" t="s">
        <v>17</v>
      </c>
      <c r="U12" s="771">
        <f t="shared" si="1"/>
        <v>100</v>
      </c>
      <c r="V12" s="770" t="s">
        <v>17</v>
      </c>
      <c r="W12" s="771">
        <f t="shared" si="2"/>
        <v>100</v>
      </c>
      <c r="X12" s="772"/>
      <c r="Y12" s="3317"/>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71"/>
      <c r="Q13" s="1793">
        <f t="shared" si="6"/>
        <v>111</v>
      </c>
      <c r="R13" s="770" t="s">
        <v>17</v>
      </c>
      <c r="S13" s="771">
        <f t="shared" si="0"/>
        <v>100</v>
      </c>
      <c r="T13" s="770" t="s">
        <v>17</v>
      </c>
      <c r="U13" s="771">
        <f t="shared" si="1"/>
        <v>100</v>
      </c>
      <c r="V13" s="770" t="s">
        <v>17</v>
      </c>
      <c r="W13" s="771">
        <f t="shared" si="2"/>
        <v>100</v>
      </c>
      <c r="X13" s="772"/>
      <c r="Y13" s="3317"/>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71"/>
      <c r="Q14" s="1793">
        <f t="shared" si="6"/>
        <v>111</v>
      </c>
      <c r="R14" s="770" t="s">
        <v>17</v>
      </c>
      <c r="S14" s="771">
        <f t="shared" si="0"/>
        <v>100</v>
      </c>
      <c r="T14" s="770" t="s">
        <v>17</v>
      </c>
      <c r="U14" s="771">
        <f t="shared" si="1"/>
        <v>100</v>
      </c>
      <c r="V14" s="770" t="s">
        <v>17</v>
      </c>
      <c r="W14" s="771">
        <f t="shared" si="2"/>
        <v>100</v>
      </c>
      <c r="X14" s="772"/>
      <c r="Y14" s="3317"/>
      <c r="Z14" s="55">
        <f t="shared" si="7"/>
        <v>111</v>
      </c>
      <c r="AA14" s="773">
        <f t="shared" si="3"/>
        <v>1</v>
      </c>
      <c r="AB14" s="773">
        <f t="shared" si="4"/>
        <v>1</v>
      </c>
      <c r="AC14" s="773">
        <f t="shared" si="5"/>
        <v>1</v>
      </c>
    </row>
    <row r="15" spans="1:29" ht="15">
      <c r="A15" s="440" t="s">
        <v>2548</v>
      </c>
      <c r="B15" s="69" t="s">
        <v>2642</v>
      </c>
      <c r="C15" s="259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472" t="s">
        <v>2549</v>
      </c>
      <c r="Q15" s="1808" t="str">
        <f t="shared" si="6"/>
        <v>商业繁华度</v>
      </c>
      <c r="R15" s="774" t="s">
        <v>17</v>
      </c>
      <c r="S15" s="775">
        <f t="shared" si="0"/>
        <v>100</v>
      </c>
      <c r="T15" s="774" t="s">
        <v>17</v>
      </c>
      <c r="U15" s="775">
        <f t="shared" si="1"/>
        <v>100</v>
      </c>
      <c r="V15" s="774" t="s">
        <v>17</v>
      </c>
      <c r="W15" s="775">
        <f t="shared" si="2"/>
        <v>100</v>
      </c>
      <c r="X15" s="1811"/>
      <c r="Y15" s="3474"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473"/>
      <c r="Q16" s="1808"/>
      <c r="R16" s="774"/>
      <c r="S16" s="775"/>
      <c r="T16" s="774"/>
      <c r="U16" s="775"/>
      <c r="V16" s="774"/>
      <c r="W16" s="775"/>
      <c r="X16" s="1811"/>
      <c r="Y16" s="3475"/>
      <c r="Z16" s="1812"/>
      <c r="AA16" s="1809">
        <v>1</v>
      </c>
      <c r="AB16" s="1809">
        <v>1</v>
      </c>
      <c r="AC16" s="1809">
        <v>1</v>
      </c>
    </row>
    <row r="17" spans="1:29" ht="15">
      <c r="A17" s="428"/>
      <c r="B17" s="451" t="s">
        <v>2086</v>
      </c>
      <c r="C17" s="259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473"/>
      <c r="Q17" s="1808" t="str">
        <f>B17</f>
        <v>交通便捷度</v>
      </c>
      <c r="R17" s="774" t="s">
        <v>17</v>
      </c>
      <c r="S17" s="775">
        <f>F17</f>
        <v>100</v>
      </c>
      <c r="T17" s="774" t="s">
        <v>17</v>
      </c>
      <c r="U17" s="775">
        <f>H17</f>
        <v>100</v>
      </c>
      <c r="V17" s="774" t="s">
        <v>17</v>
      </c>
      <c r="W17" s="775">
        <f>J17</f>
        <v>100</v>
      </c>
      <c r="X17" s="1811"/>
      <c r="Y17" s="3475"/>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0"/>
      <c r="P18" s="3473"/>
      <c r="Q18" s="1808"/>
      <c r="R18" s="774"/>
      <c r="S18" s="775"/>
      <c r="T18" s="774"/>
      <c r="U18" s="775"/>
      <c r="V18" s="774"/>
      <c r="W18" s="775"/>
      <c r="X18" s="1811"/>
      <c r="Y18" s="3475"/>
      <c r="Z18" s="1812"/>
      <c r="AA18" s="1809">
        <v>1</v>
      </c>
      <c r="AB18" s="1809">
        <v>1</v>
      </c>
      <c r="AC18" s="1809">
        <v>1</v>
      </c>
    </row>
    <row r="19" spans="1:29" ht="15">
      <c r="A19" s="428"/>
      <c r="B19" s="451" t="s">
        <v>2643</v>
      </c>
      <c r="C19" s="259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473"/>
      <c r="Q19" s="1808" t="str">
        <f>B19</f>
        <v>公共配套设施</v>
      </c>
      <c r="R19" s="774" t="s">
        <v>17</v>
      </c>
      <c r="S19" s="775">
        <f>F19</f>
        <v>100</v>
      </c>
      <c r="T19" s="774" t="s">
        <v>17</v>
      </c>
      <c r="U19" s="775">
        <f>H19</f>
        <v>100</v>
      </c>
      <c r="V19" s="774" t="s">
        <v>17</v>
      </c>
      <c r="W19" s="775">
        <f>J19</f>
        <v>100</v>
      </c>
      <c r="X19" s="1811"/>
      <c r="Y19" s="3475"/>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0"/>
      <c r="P20" s="3473"/>
      <c r="Q20" s="1808"/>
      <c r="R20" s="774"/>
      <c r="S20" s="775"/>
      <c r="T20" s="774"/>
      <c r="U20" s="775"/>
      <c r="V20" s="774"/>
      <c r="W20" s="775"/>
      <c r="X20" s="1811"/>
      <c r="Y20" s="3475"/>
      <c r="Z20" s="1812"/>
      <c r="AA20" s="1809">
        <v>1</v>
      </c>
      <c r="AB20" s="1809">
        <v>1</v>
      </c>
      <c r="AC20" s="1809">
        <v>1</v>
      </c>
    </row>
    <row r="21" spans="1:29" ht="15">
      <c r="A21" s="428"/>
      <c r="B21" s="1383" t="s">
        <v>2644</v>
      </c>
      <c r="C21" s="259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473"/>
      <c r="Q21" s="1808" t="str">
        <f>B21</f>
        <v>基础设施水平</v>
      </c>
      <c r="R21" s="774" t="s">
        <v>17</v>
      </c>
      <c r="S21" s="775">
        <f>F21</f>
        <v>100</v>
      </c>
      <c r="T21" s="774" t="s">
        <v>17</v>
      </c>
      <c r="U21" s="775">
        <f>H21</f>
        <v>100</v>
      </c>
      <c r="V21" s="774" t="s">
        <v>17</v>
      </c>
      <c r="W21" s="775">
        <f>J21</f>
        <v>100</v>
      </c>
      <c r="X21" s="1811"/>
      <c r="Y21" s="3475"/>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0"/>
      <c r="P22" s="3473"/>
      <c r="Q22" s="1808"/>
      <c r="R22" s="774"/>
      <c r="S22" s="775"/>
      <c r="T22" s="774"/>
      <c r="U22" s="775"/>
      <c r="V22" s="774"/>
      <c r="W22" s="775"/>
      <c r="X22" s="1811"/>
      <c r="Y22" s="3475"/>
      <c r="Z22" s="1812"/>
      <c r="AA22" s="1809">
        <v>1</v>
      </c>
      <c r="AB22" s="1809">
        <v>1</v>
      </c>
      <c r="AC22" s="1809">
        <v>1</v>
      </c>
    </row>
    <row r="23" spans="1:29" ht="15">
      <c r="A23" s="428"/>
      <c r="B23" s="451" t="s">
        <v>2091</v>
      </c>
      <c r="C23" s="265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473"/>
      <c r="Q23" s="1808" t="str">
        <f>B23</f>
        <v>自然及人文环境</v>
      </c>
      <c r="R23" s="774" t="s">
        <v>17</v>
      </c>
      <c r="S23" s="775">
        <f>F23</f>
        <v>100</v>
      </c>
      <c r="T23" s="774" t="s">
        <v>17</v>
      </c>
      <c r="U23" s="775">
        <f>H23</f>
        <v>100</v>
      </c>
      <c r="V23" s="774" t="s">
        <v>17</v>
      </c>
      <c r="W23" s="775">
        <f>J23</f>
        <v>100</v>
      </c>
      <c r="X23" s="1811"/>
      <c r="Y23" s="3475"/>
      <c r="Z23" s="1812" t="str">
        <f>Q23</f>
        <v>自然及人文环境</v>
      </c>
      <c r="AA23" s="1809">
        <f t="shared" si="3"/>
        <v>1</v>
      </c>
      <c r="AB23" s="1809">
        <f t="shared" si="4"/>
        <v>1</v>
      </c>
      <c r="AC23" s="1809">
        <f t="shared" si="5"/>
        <v>1</v>
      </c>
    </row>
    <row r="24" spans="1:29" ht="15">
      <c r="A24" s="428"/>
      <c r="B24" s="456"/>
      <c r="C24" s="447"/>
      <c r="D24" s="448"/>
      <c r="E24" s="2594"/>
      <c r="F24" s="449"/>
      <c r="G24" s="2593"/>
      <c r="H24" s="448"/>
      <c r="I24" s="2594"/>
      <c r="J24" s="448"/>
      <c r="K24" s="615"/>
      <c r="L24" s="1139"/>
      <c r="M24" s="1130"/>
      <c r="N24" s="1130"/>
      <c r="O24" s="1130"/>
      <c r="P24" s="3473"/>
      <c r="Q24" s="1808"/>
      <c r="R24" s="774"/>
      <c r="S24" s="775"/>
      <c r="T24" s="774"/>
      <c r="U24" s="775"/>
      <c r="V24" s="774"/>
      <c r="W24" s="775"/>
      <c r="X24" s="1811"/>
      <c r="Y24" s="3475"/>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473"/>
      <c r="Q25" s="1808" t="str">
        <f t="shared" ref="Q25:Q46" si="11">B25</f>
        <v>临街状况</v>
      </c>
      <c r="R25" s="774" t="s">
        <v>17</v>
      </c>
      <c r="S25" s="775">
        <f>F25</f>
        <v>100</v>
      </c>
      <c r="T25" s="774" t="s">
        <v>17</v>
      </c>
      <c r="U25" s="775">
        <f>H25</f>
        <v>100</v>
      </c>
      <c r="V25" s="774" t="s">
        <v>17</v>
      </c>
      <c r="W25" s="775">
        <f>J25</f>
        <v>100</v>
      </c>
      <c r="X25" s="1811"/>
      <c r="Y25" s="3475"/>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473"/>
      <c r="Q26" s="1808" t="str">
        <f t="shared" si="11"/>
        <v>平面位置/可视性</v>
      </c>
      <c r="R26" s="774" t="s">
        <v>17</v>
      </c>
      <c r="S26" s="775">
        <f>F26</f>
        <v>100</v>
      </c>
      <c r="T26" s="774" t="s">
        <v>17</v>
      </c>
      <c r="U26" s="775">
        <f>H26</f>
        <v>100</v>
      </c>
      <c r="V26" s="774" t="s">
        <v>17</v>
      </c>
      <c r="W26" s="775">
        <f>J26</f>
        <v>100</v>
      </c>
      <c r="X26" s="1811"/>
      <c r="Y26" s="3475"/>
      <c r="Z26" s="1812" t="str">
        <f>Q26</f>
        <v>平面位置/可视性</v>
      </c>
      <c r="AA26" s="1809">
        <f t="shared" si="3"/>
        <v>1</v>
      </c>
      <c r="AB26" s="1809">
        <f t="shared" si="4"/>
        <v>1</v>
      </c>
      <c r="AC26" s="1809">
        <f t="shared" si="5"/>
        <v>1</v>
      </c>
    </row>
    <row r="27" spans="1:29" s="117" customFormat="1" ht="15">
      <c r="A27" s="431"/>
      <c r="B27" s="451" t="s">
        <v>2647</v>
      </c>
      <c r="C27" s="2654"/>
      <c r="D27" s="462">
        <v>100</v>
      </c>
      <c r="E27" s="2654"/>
      <c r="F27" s="464">
        <f>SUMIF(90:90,E27,91:91)-SUMIF(90:90,C27,91:91)+100</f>
        <v>100</v>
      </c>
      <c r="G27" s="2654"/>
      <c r="H27" s="462">
        <f>SUMIF(90:90,G27,91:91)-SUMIF(90:90,C27,91:91)+100</f>
        <v>100</v>
      </c>
      <c r="I27" s="2654"/>
      <c r="J27" s="462">
        <f>SUMIF(90:90,I27,91:91)-SUMIF(90:90,C27,91:91)+100</f>
        <v>100</v>
      </c>
      <c r="K27" s="612"/>
      <c r="L27" s="1131"/>
      <c r="M27" s="1132"/>
      <c r="N27" s="1132"/>
      <c r="O27" s="1132"/>
      <c r="P27" s="3473"/>
      <c r="Q27" s="1793" t="str">
        <f t="shared" si="11"/>
        <v>人流量</v>
      </c>
      <c r="R27" s="770" t="s">
        <v>17</v>
      </c>
      <c r="S27" s="771">
        <f>F27</f>
        <v>100</v>
      </c>
      <c r="T27" s="770" t="s">
        <v>17</v>
      </c>
      <c r="U27" s="771">
        <f>H27</f>
        <v>100</v>
      </c>
      <c r="V27" s="770" t="s">
        <v>17</v>
      </c>
      <c r="W27" s="771">
        <f>J27</f>
        <v>100</v>
      </c>
      <c r="X27" s="772"/>
      <c r="Y27" s="3475"/>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473"/>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475"/>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73"/>
      <c r="Q29" s="1808">
        <f t="shared" si="11"/>
        <v>111</v>
      </c>
      <c r="R29" s="774" t="s">
        <v>17</v>
      </c>
      <c r="S29" s="775">
        <f t="shared" si="12"/>
        <v>100</v>
      </c>
      <c r="T29" s="774" t="s">
        <v>17</v>
      </c>
      <c r="U29" s="775">
        <f t="shared" si="13"/>
        <v>100</v>
      </c>
      <c r="V29" s="774" t="s">
        <v>17</v>
      </c>
      <c r="W29" s="775">
        <f t="shared" si="14"/>
        <v>100</v>
      </c>
      <c r="X29" s="1811"/>
      <c r="Y29" s="3475"/>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73"/>
      <c r="Q30" s="1808">
        <f t="shared" si="11"/>
        <v>111</v>
      </c>
      <c r="R30" s="774" t="s">
        <v>17</v>
      </c>
      <c r="S30" s="775">
        <f t="shared" si="12"/>
        <v>100</v>
      </c>
      <c r="T30" s="774" t="s">
        <v>17</v>
      </c>
      <c r="U30" s="775">
        <f t="shared" si="13"/>
        <v>100</v>
      </c>
      <c r="V30" s="774" t="s">
        <v>17</v>
      </c>
      <c r="W30" s="775">
        <f t="shared" si="14"/>
        <v>100</v>
      </c>
      <c r="X30" s="1811"/>
      <c r="Y30" s="3475"/>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73"/>
      <c r="Q31" s="1808">
        <f t="shared" si="11"/>
        <v>111</v>
      </c>
      <c r="R31" s="774" t="s">
        <v>17</v>
      </c>
      <c r="S31" s="775">
        <f t="shared" si="12"/>
        <v>100</v>
      </c>
      <c r="T31" s="774" t="s">
        <v>17</v>
      </c>
      <c r="U31" s="775">
        <f t="shared" si="13"/>
        <v>100</v>
      </c>
      <c r="V31" s="774" t="s">
        <v>17</v>
      </c>
      <c r="W31" s="775">
        <f t="shared" si="14"/>
        <v>100</v>
      </c>
      <c r="X31" s="1811"/>
      <c r="Y31" s="3475"/>
      <c r="Z31" s="1812">
        <f t="shared" si="15"/>
        <v>111</v>
      </c>
      <c r="AA31" s="1809">
        <f t="shared" si="3"/>
        <v>1</v>
      </c>
      <c r="AB31" s="1809">
        <f t="shared" si="4"/>
        <v>1</v>
      </c>
      <c r="AC31" s="1809">
        <f t="shared" si="5"/>
        <v>1</v>
      </c>
    </row>
    <row r="32" spans="1:29" ht="15">
      <c r="A32" s="440" t="s">
        <v>2552</v>
      </c>
      <c r="B32" s="71" t="s">
        <v>2649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9"/>
      <c r="M32" s="1130"/>
      <c r="N32" s="1130"/>
      <c r="O32" s="1130"/>
      <c r="P32" s="3464" t="s">
        <v>2554</v>
      </c>
      <c r="Q32" s="1808" t="str">
        <f t="shared" si="11"/>
        <v>商业类型</v>
      </c>
      <c r="R32" s="774" t="s">
        <v>17</v>
      </c>
      <c r="S32" s="775">
        <f t="shared" si="12"/>
        <v>100</v>
      </c>
      <c r="T32" s="774" t="s">
        <v>17</v>
      </c>
      <c r="U32" s="775">
        <f t="shared" si="13"/>
        <v>100</v>
      </c>
      <c r="V32" s="774" t="s">
        <v>17</v>
      </c>
      <c r="W32" s="775">
        <f t="shared" si="14"/>
        <v>100</v>
      </c>
      <c r="X32" s="1811"/>
      <c r="Y32" s="3467"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465"/>
      <c r="Q33" s="776" t="str">
        <f t="shared" si="11"/>
        <v>项目建筑规模</v>
      </c>
      <c r="R33" s="777" t="s">
        <v>17</v>
      </c>
      <c r="S33" s="778" t="e">
        <f t="shared" si="12"/>
        <v>#N/A</v>
      </c>
      <c r="T33" s="777" t="s">
        <v>17</v>
      </c>
      <c r="U33" s="778" t="e">
        <f t="shared" si="13"/>
        <v>#N/A</v>
      </c>
      <c r="V33" s="777" t="s">
        <v>17</v>
      </c>
      <c r="W33" s="778" t="e">
        <f t="shared" si="14"/>
        <v>#N/A</v>
      </c>
      <c r="X33" s="779"/>
      <c r="Y33" s="3467"/>
      <c r="Z33" s="780" t="str">
        <f t="shared" si="15"/>
        <v>项目建筑规模</v>
      </c>
      <c r="AA33" s="1809" t="e">
        <f t="shared" si="3"/>
        <v>#N/A</v>
      </c>
      <c r="AB33" s="1809" t="e">
        <f t="shared" si="4"/>
        <v>#N/A</v>
      </c>
      <c r="AC33" s="1809" t="e">
        <f t="shared" si="5"/>
        <v>#N/A</v>
      </c>
    </row>
    <row r="34" spans="1:29" ht="15">
      <c r="A34" s="472"/>
      <c r="B34" s="422" t="s">
        <v>2556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9"/>
      <c r="M34" s="1130"/>
      <c r="N34" s="1130"/>
      <c r="O34" s="1130"/>
      <c r="P34" s="3465"/>
      <c r="Q34" s="1808" t="str">
        <f t="shared" si="11"/>
        <v>建筑结构</v>
      </c>
      <c r="R34" s="774" t="s">
        <v>17</v>
      </c>
      <c r="S34" s="775">
        <f t="shared" si="12"/>
        <v>100</v>
      </c>
      <c r="T34" s="774" t="s">
        <v>17</v>
      </c>
      <c r="U34" s="775">
        <f t="shared" si="13"/>
        <v>100</v>
      </c>
      <c r="V34" s="774" t="s">
        <v>17</v>
      </c>
      <c r="W34" s="775">
        <f t="shared" si="14"/>
        <v>100</v>
      </c>
      <c r="X34" s="1811"/>
      <c r="Y34" s="3467"/>
      <c r="Z34" s="1812" t="str">
        <f t="shared" si="15"/>
        <v>建筑结构</v>
      </c>
      <c r="AA34" s="1809">
        <f t="shared" si="3"/>
        <v>1</v>
      </c>
      <c r="AB34" s="1809">
        <f t="shared" si="4"/>
        <v>1</v>
      </c>
      <c r="AC34" s="1809">
        <f t="shared" si="5"/>
        <v>1</v>
      </c>
    </row>
    <row r="35" spans="1:29" ht="15">
      <c r="A35" s="472"/>
      <c r="B35" s="422" t="s">
        <v>2650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9"/>
      <c r="M35" s="1130"/>
      <c r="N35" s="1130"/>
      <c r="O35" s="1130"/>
      <c r="P35" s="3465"/>
      <c r="Q35" s="1808" t="str">
        <f t="shared" si="11"/>
        <v>公共部分装修</v>
      </c>
      <c r="R35" s="774" t="s">
        <v>17</v>
      </c>
      <c r="S35" s="775">
        <f t="shared" si="12"/>
        <v>100</v>
      </c>
      <c r="T35" s="774" t="s">
        <v>17</v>
      </c>
      <c r="U35" s="775">
        <f t="shared" si="13"/>
        <v>100</v>
      </c>
      <c r="V35" s="774" t="s">
        <v>17</v>
      </c>
      <c r="W35" s="775">
        <f t="shared" si="14"/>
        <v>100</v>
      </c>
      <c r="X35" s="1811"/>
      <c r="Y35" s="3467"/>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465"/>
      <c r="Q36" s="1808" t="str">
        <f t="shared" si="11"/>
        <v>成新度</v>
      </c>
      <c r="R36" s="774" t="s">
        <v>17</v>
      </c>
      <c r="S36" s="775" t="e">
        <f t="shared" si="12"/>
        <v>#N/A</v>
      </c>
      <c r="T36" s="774" t="s">
        <v>17</v>
      </c>
      <c r="U36" s="775" t="e">
        <f t="shared" si="13"/>
        <v>#N/A</v>
      </c>
      <c r="V36" s="774" t="s">
        <v>17</v>
      </c>
      <c r="W36" s="775" t="e">
        <f t="shared" si="14"/>
        <v>#N/A</v>
      </c>
      <c r="X36" s="1811"/>
      <c r="Y36" s="3467"/>
      <c r="Z36" s="1812" t="str">
        <f t="shared" si="15"/>
        <v>成新度</v>
      </c>
      <c r="AA36" s="1809" t="e">
        <f t="shared" si="3"/>
        <v>#N/A</v>
      </c>
      <c r="AB36" s="1809" t="e">
        <f t="shared" si="4"/>
        <v>#N/A</v>
      </c>
      <c r="AC36" s="1809" t="e">
        <f t="shared" si="5"/>
        <v>#N/A</v>
      </c>
    </row>
    <row r="37" spans="1:29" s="117" customFormat="1" ht="15">
      <c r="A37" s="473"/>
      <c r="B37" s="422" t="s">
        <v>2652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1"/>
      <c r="M37" s="1132"/>
      <c r="N37" s="1132"/>
      <c r="O37" s="1132"/>
      <c r="P37" s="3465"/>
      <c r="Q37" s="1793" t="str">
        <f t="shared" si="11"/>
        <v>市政基础设施</v>
      </c>
      <c r="R37" s="770" t="s">
        <v>17</v>
      </c>
      <c r="S37" s="771">
        <f t="shared" si="12"/>
        <v>100</v>
      </c>
      <c r="T37" s="770" t="s">
        <v>17</v>
      </c>
      <c r="U37" s="771">
        <f t="shared" si="13"/>
        <v>100</v>
      </c>
      <c r="V37" s="770" t="s">
        <v>17</v>
      </c>
      <c r="W37" s="771">
        <f t="shared" si="14"/>
        <v>100</v>
      </c>
      <c r="X37" s="772"/>
      <c r="Y37" s="3467"/>
      <c r="Z37" s="55" t="str">
        <f t="shared" si="15"/>
        <v>市政基础设施</v>
      </c>
      <c r="AA37" s="773">
        <f t="shared" si="3"/>
        <v>1</v>
      </c>
      <c r="AB37" s="773">
        <f t="shared" si="4"/>
        <v>1</v>
      </c>
      <c r="AC37" s="773">
        <f t="shared" si="5"/>
        <v>1</v>
      </c>
    </row>
    <row r="38" spans="1:29" ht="15">
      <c r="A38" s="472"/>
      <c r="B38" s="422" t="s">
        <v>2653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9"/>
      <c r="M38" s="1130"/>
      <c r="N38" s="1130"/>
      <c r="O38" s="1130"/>
      <c r="P38" s="3465" t="s">
        <v>2554</v>
      </c>
      <c r="Q38" s="1808" t="str">
        <f t="shared" si="11"/>
        <v>业态</v>
      </c>
      <c r="R38" s="774" t="s">
        <v>17</v>
      </c>
      <c r="S38" s="775">
        <f t="shared" si="12"/>
        <v>100</v>
      </c>
      <c r="T38" s="774" t="s">
        <v>17</v>
      </c>
      <c r="U38" s="775">
        <f t="shared" si="13"/>
        <v>100</v>
      </c>
      <c r="V38" s="774" t="s">
        <v>17</v>
      </c>
      <c r="W38" s="775">
        <f t="shared" si="14"/>
        <v>100</v>
      </c>
      <c r="X38" s="1811"/>
      <c r="Y38" s="3467" t="s">
        <v>2554</v>
      </c>
      <c r="Z38" s="1812" t="str">
        <f t="shared" si="15"/>
        <v>业态</v>
      </c>
      <c r="AA38" s="1809">
        <f t="shared" si="3"/>
        <v>1</v>
      </c>
      <c r="AB38" s="1809">
        <f t="shared" si="4"/>
        <v>1</v>
      </c>
      <c r="AC38" s="1809">
        <f t="shared" si="5"/>
        <v>1</v>
      </c>
    </row>
    <row r="39" spans="1:29" ht="15">
      <c r="A39" s="472"/>
      <c r="B39" s="422" t="s">
        <v>2654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9"/>
      <c r="M39" s="1130"/>
      <c r="N39" s="1130"/>
      <c r="O39" s="1130"/>
      <c r="P39" s="3465"/>
      <c r="Q39" s="1808" t="str">
        <f t="shared" si="11"/>
        <v>层高</v>
      </c>
      <c r="R39" s="774" t="s">
        <v>17</v>
      </c>
      <c r="S39" s="775">
        <f t="shared" si="12"/>
        <v>100</v>
      </c>
      <c r="T39" s="774" t="s">
        <v>17</v>
      </c>
      <c r="U39" s="775">
        <f t="shared" si="13"/>
        <v>100</v>
      </c>
      <c r="V39" s="774" t="s">
        <v>17</v>
      </c>
      <c r="W39" s="775">
        <f t="shared" si="14"/>
        <v>100</v>
      </c>
      <c r="X39" s="1811"/>
      <c r="Y39" s="3467"/>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65"/>
      <c r="Q40" s="1808" t="str">
        <f t="shared" si="11"/>
        <v>单套建筑面积</v>
      </c>
      <c r="R40" s="774" t="s">
        <v>17</v>
      </c>
      <c r="S40" s="775">
        <f t="shared" si="12"/>
        <v>100</v>
      </c>
      <c r="T40" s="774" t="s">
        <v>17</v>
      </c>
      <c r="U40" s="775">
        <f t="shared" si="13"/>
        <v>100</v>
      </c>
      <c r="V40" s="774" t="s">
        <v>17</v>
      </c>
      <c r="W40" s="775">
        <f t="shared" si="14"/>
        <v>100</v>
      </c>
      <c r="X40" s="1811"/>
      <c r="Y40" s="3467"/>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465"/>
      <c r="Q41" s="776" t="str">
        <f t="shared" si="11"/>
        <v>进深比</v>
      </c>
      <c r="R41" s="777" t="s">
        <v>17</v>
      </c>
      <c r="S41" s="778">
        <f t="shared" si="12"/>
        <v>100</v>
      </c>
      <c r="T41" s="777" t="s">
        <v>17</v>
      </c>
      <c r="U41" s="778">
        <f t="shared" si="13"/>
        <v>100</v>
      </c>
      <c r="V41" s="777" t="s">
        <v>17</v>
      </c>
      <c r="W41" s="778">
        <f t="shared" si="14"/>
        <v>100</v>
      </c>
      <c r="X41" s="779"/>
      <c r="Y41" s="3467"/>
      <c r="Z41" s="780" t="str">
        <f t="shared" si="15"/>
        <v>进深比</v>
      </c>
      <c r="AA41" s="1809">
        <f t="shared" si="3"/>
        <v>1</v>
      </c>
      <c r="AB41" s="1809">
        <f t="shared" si="4"/>
        <v>1</v>
      </c>
      <c r="AC41" s="1809">
        <f t="shared" si="5"/>
        <v>1</v>
      </c>
    </row>
    <row r="42" spans="1:29" ht="15">
      <c r="A42" s="472"/>
      <c r="B42" s="422" t="s">
        <v>2657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9"/>
      <c r="M42" s="1130"/>
      <c r="N42" s="1130"/>
      <c r="O42" s="1130"/>
      <c r="P42" s="3465"/>
      <c r="Q42" s="1808" t="str">
        <f t="shared" si="11"/>
        <v>内部装修</v>
      </c>
      <c r="R42" s="774" t="s">
        <v>17</v>
      </c>
      <c r="S42" s="775">
        <f t="shared" si="12"/>
        <v>100</v>
      </c>
      <c r="T42" s="774" t="s">
        <v>17</v>
      </c>
      <c r="U42" s="775">
        <f t="shared" si="13"/>
        <v>100</v>
      </c>
      <c r="V42" s="774" t="s">
        <v>17</v>
      </c>
      <c r="W42" s="775">
        <f t="shared" si="14"/>
        <v>100</v>
      </c>
      <c r="X42" s="1811"/>
      <c r="Y42" s="3467"/>
      <c r="Z42" s="1812" t="str">
        <f t="shared" si="15"/>
        <v>内部装修</v>
      </c>
      <c r="AA42" s="1809">
        <f t="shared" si="3"/>
        <v>1</v>
      </c>
      <c r="AB42" s="1809">
        <f t="shared" si="4"/>
        <v>1</v>
      </c>
      <c r="AC42" s="1809">
        <f t="shared" si="5"/>
        <v>1</v>
      </c>
    </row>
    <row r="43" spans="1:29" ht="15">
      <c r="A43" s="472"/>
      <c r="B43" s="422" t="s">
        <v>2565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9"/>
      <c r="M43" s="1130"/>
      <c r="N43" s="1130"/>
      <c r="O43" s="1130"/>
      <c r="P43" s="3465"/>
      <c r="Q43" s="1808" t="str">
        <f t="shared" si="11"/>
        <v>内部装修维护情况</v>
      </c>
      <c r="R43" s="774" t="s">
        <v>17</v>
      </c>
      <c r="S43" s="775">
        <f t="shared" si="12"/>
        <v>100</v>
      </c>
      <c r="T43" s="774" t="s">
        <v>17</v>
      </c>
      <c r="U43" s="775">
        <f t="shared" si="13"/>
        <v>100</v>
      </c>
      <c r="V43" s="774" t="s">
        <v>17</v>
      </c>
      <c r="W43" s="775">
        <f t="shared" si="14"/>
        <v>100</v>
      </c>
      <c r="X43" s="1811"/>
      <c r="Y43" s="3467"/>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65"/>
      <c r="Q44" s="1793">
        <f t="shared" si="11"/>
        <v>111</v>
      </c>
      <c r="R44" s="770" t="s">
        <v>17</v>
      </c>
      <c r="S44" s="771">
        <f t="shared" si="12"/>
        <v>100</v>
      </c>
      <c r="T44" s="770" t="s">
        <v>17</v>
      </c>
      <c r="U44" s="771">
        <f t="shared" si="13"/>
        <v>100</v>
      </c>
      <c r="V44" s="770" t="s">
        <v>17</v>
      </c>
      <c r="W44" s="771">
        <f t="shared" si="14"/>
        <v>100</v>
      </c>
      <c r="X44" s="772"/>
      <c r="Y44" s="346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65"/>
      <c r="Q45" s="1808">
        <f t="shared" si="11"/>
        <v>111</v>
      </c>
      <c r="R45" s="774" t="s">
        <v>17</v>
      </c>
      <c r="S45" s="775">
        <f t="shared" si="12"/>
        <v>100</v>
      </c>
      <c r="T45" s="774" t="s">
        <v>17</v>
      </c>
      <c r="U45" s="775">
        <f t="shared" si="13"/>
        <v>100</v>
      </c>
      <c r="V45" s="774" t="s">
        <v>17</v>
      </c>
      <c r="W45" s="775">
        <f t="shared" si="14"/>
        <v>100</v>
      </c>
      <c r="X45" s="1811"/>
      <c r="Y45" s="3467"/>
      <c r="Z45" s="1812">
        <f t="shared" si="15"/>
        <v>111</v>
      </c>
      <c r="AA45" s="1809">
        <f t="shared" si="3"/>
        <v>1</v>
      </c>
      <c r="AB45" s="1809">
        <f t="shared" si="4"/>
        <v>1</v>
      </c>
      <c r="AC45" s="1809">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66"/>
      <c r="Q46" s="1808">
        <f t="shared" si="11"/>
        <v>111</v>
      </c>
      <c r="R46" s="774" t="s">
        <v>17</v>
      </c>
      <c r="S46" s="775">
        <f t="shared" si="12"/>
        <v>100</v>
      </c>
      <c r="T46" s="774" t="s">
        <v>17</v>
      </c>
      <c r="U46" s="775">
        <f t="shared" si="13"/>
        <v>100</v>
      </c>
      <c r="V46" s="774" t="s">
        <v>17</v>
      </c>
      <c r="W46" s="775">
        <f t="shared" si="14"/>
        <v>100</v>
      </c>
      <c r="X46" s="1811"/>
      <c r="Y46" s="3468"/>
      <c r="Z46" s="1812">
        <f t="shared" si="15"/>
        <v>111</v>
      </c>
      <c r="AA46" s="1809">
        <f t="shared" si="3"/>
        <v>1</v>
      </c>
      <c r="AB46" s="1809">
        <f t="shared" si="4"/>
        <v>1</v>
      </c>
      <c r="AC46" s="1809">
        <f t="shared" si="5"/>
        <v>1</v>
      </c>
    </row>
    <row r="47" spans="1:29" ht="15">
      <c r="A47" s="479" t="s">
        <v>2566</v>
      </c>
      <c r="B47" s="480"/>
      <c r="C47" s="1406" t="s">
        <v>1</v>
      </c>
      <c r="D47" s="1407"/>
      <c r="E47" s="1408"/>
      <c r="F47" s="1409"/>
      <c r="G47" s="1410"/>
      <c r="H47" s="1411"/>
      <c r="I47" s="1408"/>
      <c r="J47" s="1411"/>
      <c r="K47" s="783"/>
      <c r="L47" s="1142"/>
      <c r="M47" s="1143"/>
      <c r="N47" s="1130"/>
      <c r="O47" s="1143"/>
      <c r="P47" s="3459" t="str">
        <f>A47</f>
        <v>成交单价（元/平方米）</v>
      </c>
      <c r="Q47" s="3459"/>
      <c r="R47" s="3487">
        <f>E47</f>
        <v>0</v>
      </c>
      <c r="S47" s="3487"/>
      <c r="T47" s="3487">
        <f>G47</f>
        <v>0</v>
      </c>
      <c r="U47" s="3487"/>
      <c r="V47" s="3487">
        <f>I47</f>
        <v>0</v>
      </c>
      <c r="W47" s="3487"/>
      <c r="X47" s="759"/>
      <c r="Y47" s="781"/>
      <c r="Z47" s="759"/>
      <c r="AA47" s="759"/>
      <c r="AB47" s="759"/>
      <c r="AC47" s="759"/>
    </row>
    <row r="48" spans="1:29" ht="15.75" thickBot="1">
      <c r="A48" s="486" t="s">
        <v>2658</v>
      </c>
      <c r="B48" s="487"/>
      <c r="C48" s="1412" t="e">
        <f>R49</f>
        <v>#DIV/0!</v>
      </c>
      <c r="D48" s="1413"/>
      <c r="E48" s="1414" t="e">
        <f>R48</f>
        <v>#DIV/0!</v>
      </c>
      <c r="F48" s="1414"/>
      <c r="G48" s="1412" t="e">
        <f>T48</f>
        <v>#DIV/0!</v>
      </c>
      <c r="H48" s="1413"/>
      <c r="I48" s="1414" t="e">
        <f>V48</f>
        <v>#DIV/0!</v>
      </c>
      <c r="J48" s="1413"/>
      <c r="K48" s="784"/>
      <c r="L48" s="1142"/>
      <c r="M48" s="1143"/>
      <c r="N48" s="1130"/>
      <c r="O48" s="114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759"/>
      <c r="Y48" s="759"/>
      <c r="Z48" s="759"/>
      <c r="AA48" s="759"/>
      <c r="AB48" s="759"/>
      <c r="AC48" s="759"/>
    </row>
    <row r="49" spans="1:29" ht="15.75" thickBot="1">
      <c r="A49" s="492" t="s">
        <v>2659</v>
      </c>
      <c r="B49" s="493"/>
      <c r="C49" s="1416" t="e">
        <f>R49</f>
        <v>#DIV/0!</v>
      </c>
      <c r="D49" s="1416"/>
      <c r="E49" s="1416"/>
      <c r="F49" s="1416"/>
      <c r="G49" s="1416"/>
      <c r="H49" s="1416"/>
      <c r="I49" s="1416"/>
      <c r="J49" s="1416"/>
      <c r="K49" s="785"/>
      <c r="L49" s="1142"/>
      <c r="M49" s="1143"/>
      <c r="N49" s="1130"/>
      <c r="O49" s="1143"/>
      <c r="P49" s="3461" t="str">
        <f>A49</f>
        <v>估价对象XX用房的比较价值（楼面单价，元/平方米）</v>
      </c>
      <c r="Q49" s="3462"/>
      <c r="R49" s="3463" t="e">
        <f>IF(F1="售价",ROUND(AVERAGE(R48:V48),0),ROUND(AVERAGE(R48:V48),1))</f>
        <v>#DIV/0!</v>
      </c>
      <c r="S49" s="3463"/>
      <c r="T49" s="3463"/>
      <c r="U49" s="3463"/>
      <c r="V49" s="3463"/>
      <c r="W49" s="346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0"/>
      <c r="M57" s="1158"/>
      <c r="N57" s="1158"/>
      <c r="O57" s="1158"/>
      <c r="P57" s="2656"/>
      <c r="Q57" s="2657"/>
      <c r="R57" s="759"/>
      <c r="S57" s="759"/>
      <c r="T57" s="759"/>
      <c r="U57" s="759"/>
      <c r="V57" s="759"/>
      <c r="W57" s="759"/>
      <c r="X57" s="759"/>
      <c r="Y57" s="759"/>
      <c r="Z57" s="759"/>
      <c r="AA57" s="759"/>
      <c r="AB57" s="759"/>
      <c r="AC57" s="759"/>
    </row>
    <row r="58" spans="1:29" s="508" customFormat="1" ht="15">
      <c r="A58" s="505" t="s">
        <v>2537</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2539</v>
      </c>
      <c r="B61" s="510"/>
      <c r="C61" s="522" t="s">
        <v>2641</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f>C9</f>
        <v>0</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9"/>
      <c r="Q67" s="504"/>
    </row>
    <row r="68" spans="1:17" ht="15">
      <c r="A68" s="534"/>
      <c r="B68" s="548"/>
      <c r="C68" s="549"/>
      <c r="D68" s="549"/>
      <c r="E68" s="549"/>
      <c r="F68" s="549"/>
      <c r="G68" s="549"/>
      <c r="H68" s="549"/>
      <c r="I68" s="549"/>
      <c r="J68" s="549"/>
      <c r="K68" s="550"/>
      <c r="L68" s="551"/>
      <c r="M68" s="552"/>
      <c r="N68" s="1151"/>
      <c r="O68" s="1151"/>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36"/>
      <c r="E73" s="536"/>
      <c r="F73" s="536"/>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9"/>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9"/>
      <c r="Q85" s="504"/>
    </row>
    <row r="86" spans="1:17" s="117" customFormat="1" ht="15.75" thickTop="1">
      <c r="A86" s="579"/>
      <c r="B86" s="538" t="s">
        <v>2669</v>
      </c>
      <c r="C86" s="554"/>
      <c r="D86" s="554"/>
      <c r="E86" s="554"/>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0"/>
      <c r="O88" s="1150"/>
      <c r="P88" s="2619"/>
      <c r="Q88" s="504"/>
    </row>
    <row r="89" spans="1:17" s="117" customFormat="1" ht="15.75" thickBot="1">
      <c r="A89" s="579"/>
      <c r="B89" s="543"/>
      <c r="C89" s="560"/>
      <c r="D89" s="536"/>
      <c r="E89" s="536"/>
      <c r="F89" s="536"/>
      <c r="G89" s="536"/>
      <c r="H89" s="536"/>
      <c r="I89" s="536"/>
      <c r="J89" s="536"/>
      <c r="K89" s="536"/>
      <c r="L89" s="536"/>
      <c r="M89" s="536"/>
      <c r="N89" s="1152"/>
      <c r="O89" s="1152"/>
      <c r="P89" s="261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0"/>
      <c r="Q91" s="559"/>
    </row>
    <row r="92" spans="1:17" ht="15.75" thickTop="1">
      <c r="A92" s="534"/>
      <c r="B92" s="538" t="str">
        <f>B28</f>
        <v>楼层</v>
      </c>
      <c r="C92" s="554"/>
      <c r="D92" s="554"/>
      <c r="E92" s="554"/>
      <c r="F92" s="554"/>
      <c r="G92" s="554"/>
      <c r="H92" s="554"/>
      <c r="I92" s="554"/>
      <c r="J92" s="554"/>
      <c r="K92" s="554"/>
      <c r="L92" s="580"/>
      <c r="M92" s="581"/>
      <c r="N92" s="1151"/>
      <c r="O92" s="1151"/>
      <c r="P92" s="2619"/>
      <c r="Q92" s="504"/>
    </row>
    <row r="93" spans="1:17" ht="15.75" thickBot="1">
      <c r="A93" s="534"/>
      <c r="B93" s="543"/>
      <c r="C93" s="536"/>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36"/>
      <c r="E95" s="536"/>
      <c r="F95" s="536"/>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60"/>
      <c r="D97" s="536"/>
      <c r="E97" s="536"/>
      <c r="F97" s="536"/>
      <c r="G97" s="536"/>
      <c r="H97" s="536"/>
      <c r="I97" s="536"/>
      <c r="J97" s="536"/>
      <c r="K97" s="536"/>
      <c r="L97" s="536"/>
      <c r="M97" s="537"/>
      <c r="N97" s="1152"/>
      <c r="O97" s="1152"/>
      <c r="P97" s="2619"/>
      <c r="Q97" s="504"/>
    </row>
    <row r="98" spans="1:17" ht="15.75" thickTop="1">
      <c r="A98" s="534"/>
      <c r="B98" s="546">
        <f>B31</f>
        <v>111</v>
      </c>
      <c r="C98" s="554"/>
      <c r="D98" s="554"/>
      <c r="E98" s="554"/>
      <c r="F98" s="554"/>
      <c r="G98" s="587"/>
      <c r="H98" s="587"/>
      <c r="I98" s="587"/>
      <c r="J98" s="587"/>
      <c r="K98" s="588"/>
      <c r="L98" s="589"/>
      <c r="M98" s="590"/>
      <c r="N98" s="1151"/>
      <c r="O98" s="1151"/>
      <c r="P98" s="2619"/>
      <c r="Q98" s="504"/>
    </row>
    <row r="99" spans="1:17" ht="15.75" thickBot="1">
      <c r="A99" s="2625"/>
      <c r="B99" s="569"/>
      <c r="C99" s="570"/>
      <c r="D99" s="570"/>
      <c r="E99" s="570"/>
      <c r="F99" s="570"/>
      <c r="G99" s="591"/>
      <c r="H99" s="591"/>
      <c r="I99" s="591"/>
      <c r="J99" s="591"/>
      <c r="K99" s="591"/>
      <c r="L99" s="591"/>
      <c r="M99" s="592"/>
      <c r="N99" s="1152"/>
      <c r="O99" s="1152"/>
      <c r="P99" s="2619"/>
      <c r="Q99" s="504"/>
    </row>
    <row r="100" spans="1:17">
      <c r="A100" s="527" t="s">
        <v>2552</v>
      </c>
      <c r="B100" s="528" t="s">
        <v>2670</v>
      </c>
      <c r="C100" s="530"/>
      <c r="D100" s="530"/>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9"/>
      <c r="Q102" s="504"/>
    </row>
    <row r="103" spans="1:17" s="471" customFormat="1">
      <c r="A103" s="593"/>
      <c r="B103" s="594"/>
      <c r="C103" s="595"/>
      <c r="D103" s="595"/>
      <c r="E103" s="595"/>
      <c r="F103" s="595"/>
      <c r="G103" s="595"/>
      <c r="H103" s="595"/>
      <c r="I103" s="595"/>
      <c r="J103" s="596"/>
      <c r="K103" s="596"/>
      <c r="L103" s="597"/>
      <c r="M103" s="598"/>
      <c r="N103" s="1153"/>
      <c r="O103" s="1153"/>
      <c r="P103" s="262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9"/>
      <c r="Q106" s="504"/>
    </row>
    <row r="107" spans="1:17" ht="15" thickTop="1">
      <c r="A107" s="599"/>
      <c r="B107" s="538" t="s">
        <v>2605</v>
      </c>
      <c r="C107" s="554"/>
      <c r="D107" s="554"/>
      <c r="E107" s="554"/>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9"/>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0"/>
      <c r="Q113" s="559"/>
    </row>
    <row r="114" spans="1:17" ht="15" thickTop="1">
      <c r="A114" s="599"/>
      <c r="B114" s="538" t="s">
        <v>2671</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9"/>
      <c r="Q115" s="504"/>
    </row>
    <row r="116" spans="1:17" ht="15" thickTop="1">
      <c r="A116" s="599"/>
      <c r="B116" s="538" t="s">
        <v>2672</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2673</v>
      </c>
      <c r="C118" s="627"/>
      <c r="D118" s="627"/>
      <c r="E118" s="627"/>
      <c r="F118" s="627"/>
      <c r="G118" s="627"/>
      <c r="H118" s="555"/>
      <c r="I118" s="555"/>
      <c r="J118" s="555"/>
      <c r="K118" s="555"/>
      <c r="L118" s="556"/>
      <c r="M118" s="557"/>
      <c r="N118" s="1151"/>
      <c r="O118" s="1151"/>
      <c r="P118" s="2619"/>
      <c r="Q118" s="504"/>
    </row>
    <row r="119" spans="1:17" ht="15.75" thickBot="1">
      <c r="A119" s="534"/>
      <c r="B119" s="543"/>
      <c r="C119" s="560"/>
      <c r="D119" s="536"/>
      <c r="E119" s="536"/>
      <c r="F119" s="536"/>
      <c r="G119" s="536"/>
      <c r="H119" s="536"/>
      <c r="I119" s="536"/>
      <c r="J119" s="536"/>
      <c r="K119" s="536"/>
      <c r="L119" s="536"/>
      <c r="M119" s="537"/>
      <c r="N119" s="1152"/>
      <c r="O119" s="1152"/>
      <c r="P119" s="2619"/>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0"/>
      <c r="Q121" s="559"/>
    </row>
    <row r="122" spans="1:17" ht="15" thickTop="1">
      <c r="A122" s="599"/>
      <c r="B122" s="538" t="s">
        <v>2609</v>
      </c>
      <c r="C122" s="554"/>
      <c r="D122" s="554"/>
      <c r="E122" s="554"/>
      <c r="F122" s="583"/>
      <c r="G122" s="583"/>
      <c r="H122" s="583"/>
      <c r="I122" s="583"/>
      <c r="J122" s="583"/>
      <c r="K122" s="584"/>
      <c r="L122" s="585"/>
      <c r="M122" s="586"/>
      <c r="N122" s="1151"/>
      <c r="O122" s="1151"/>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36"/>
      <c r="E129" s="536"/>
      <c r="F129" s="536"/>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2675</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IF(C2="——",ROUND(C50*D3/10000,0),ROUND(C50*D3/10000,0)-D2)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2634</v>
      </c>
      <c r="B4" s="402"/>
      <c r="C4" s="3491" t="s">
        <v>2635</v>
      </c>
      <c r="D4" s="3492"/>
      <c r="E4" s="3493" t="s">
        <v>2636</v>
      </c>
      <c r="F4" s="3494"/>
      <c r="G4" s="3491" t="s">
        <v>2637</v>
      </c>
      <c r="H4" s="3492"/>
      <c r="I4" s="3491" t="s">
        <v>2638</v>
      </c>
      <c r="J4" s="3492"/>
      <c r="K4" s="610" t="s">
        <v>2639</v>
      </c>
      <c r="L4" s="1129"/>
      <c r="M4" s="1130"/>
      <c r="N4" s="1130"/>
      <c r="O4" s="1130"/>
      <c r="P4" s="3613" t="s">
        <v>2640</v>
      </c>
      <c r="Q4" s="3614"/>
      <c r="R4" s="3617" t="s">
        <v>2636</v>
      </c>
      <c r="S4" s="3618"/>
      <c r="T4" s="3617" t="s">
        <v>2637</v>
      </c>
      <c r="U4" s="3618"/>
      <c r="V4" s="3619" t="s">
        <v>2638</v>
      </c>
      <c r="W4" s="3619"/>
      <c r="X4" s="2659"/>
      <c r="Y4" s="3617" t="s">
        <v>2640</v>
      </c>
      <c r="Z4" s="3618"/>
      <c r="AA4" s="3621" t="s">
        <v>2636</v>
      </c>
      <c r="AB4" s="3621" t="s">
        <v>2637</v>
      </c>
      <c r="AC4" s="3610" t="s">
        <v>2638</v>
      </c>
    </row>
    <row r="5" spans="1:29" ht="15">
      <c r="A5" s="404"/>
      <c r="B5" s="405"/>
      <c r="C5" s="3505" t="s">
        <v>2531</v>
      </c>
      <c r="D5" s="3502"/>
      <c r="E5" s="3606" t="s">
        <v>2532</v>
      </c>
      <c r="F5" s="3504"/>
      <c r="G5" s="3505" t="s">
        <v>2533</v>
      </c>
      <c r="H5" s="3502"/>
      <c r="I5" s="3505" t="s">
        <v>2534</v>
      </c>
      <c r="J5" s="3502"/>
      <c r="K5" s="610"/>
      <c r="L5" s="1129"/>
      <c r="M5" s="1130"/>
      <c r="N5" s="1130"/>
      <c r="O5" s="1130"/>
      <c r="P5" s="3615"/>
      <c r="Q5" s="3498"/>
      <c r="R5" s="3483"/>
      <c r="S5" s="3484"/>
      <c r="T5" s="3483"/>
      <c r="U5" s="3484"/>
      <c r="V5" s="3487"/>
      <c r="W5" s="3487"/>
      <c r="X5" s="1811"/>
      <c r="Y5" s="3483"/>
      <c r="Z5" s="3484"/>
      <c r="AA5" s="3489"/>
      <c r="AB5" s="3489"/>
      <c r="AC5" s="3611"/>
    </row>
    <row r="6" spans="1:29" ht="15.75" thickBot="1">
      <c r="A6" s="406"/>
      <c r="B6" s="407"/>
      <c r="C6" s="3476" t="s">
        <v>2535</v>
      </c>
      <c r="D6" s="3477"/>
      <c r="E6" s="3478" t="s">
        <v>2535</v>
      </c>
      <c r="F6" s="3479"/>
      <c r="G6" s="3476" t="s">
        <v>2535</v>
      </c>
      <c r="H6" s="3477"/>
      <c r="I6" s="3476" t="s">
        <v>2535</v>
      </c>
      <c r="J6" s="3477"/>
      <c r="K6" s="610" t="s">
        <v>2536</v>
      </c>
      <c r="L6" s="1129"/>
      <c r="M6" s="1130"/>
      <c r="N6" s="1130"/>
      <c r="O6" s="1130"/>
      <c r="P6" s="3616"/>
      <c r="Q6" s="3500"/>
      <c r="R6" s="3483"/>
      <c r="S6" s="3484"/>
      <c r="T6" s="3485"/>
      <c r="U6" s="3486"/>
      <c r="V6" s="3487"/>
      <c r="W6" s="3487"/>
      <c r="X6" s="1811"/>
      <c r="Y6" s="3485"/>
      <c r="Z6" s="3486"/>
      <c r="AA6" s="3490"/>
      <c r="AB6" s="3490"/>
      <c r="AC6" s="3612"/>
    </row>
    <row r="7" spans="1:29" s="117" customFormat="1" ht="15.75" thickBot="1">
      <c r="A7" s="408" t="s">
        <v>2537</v>
      </c>
      <c r="B7" s="409"/>
      <c r="C7" s="410">
        <f>'数据-取费表'!B2</f>
        <v>43670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620" t="s">
        <v>2538</v>
      </c>
      <c r="Q7" s="3480"/>
      <c r="R7" s="770" t="s">
        <v>17</v>
      </c>
      <c r="S7" s="771">
        <f t="shared" ref="S7:S15" si="0">F7</f>
        <v>0</v>
      </c>
      <c r="T7" s="770" t="s">
        <v>17</v>
      </c>
      <c r="U7" s="771">
        <f t="shared" ref="U7:U15" si="1">H7</f>
        <v>0</v>
      </c>
      <c r="V7" s="770" t="s">
        <v>17</v>
      </c>
      <c r="W7" s="771">
        <f t="shared" ref="W7:W15" si="2">J7</f>
        <v>0</v>
      </c>
      <c r="X7" s="772"/>
      <c r="Y7" s="3469" t="s">
        <v>2538</v>
      </c>
      <c r="Z7" s="3470"/>
      <c r="AA7" s="773" t="e">
        <f>D7/F7</f>
        <v>#DIV/0!</v>
      </c>
      <c r="AB7" s="773" t="e">
        <f>D7/H7</f>
        <v>#DIV/0!</v>
      </c>
      <c r="AC7" s="266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620" t="s">
        <v>2541</v>
      </c>
      <c r="Q8" s="3470"/>
      <c r="R8" s="770" t="s">
        <v>17</v>
      </c>
      <c r="S8" s="771">
        <f t="shared" si="0"/>
        <v>0</v>
      </c>
      <c r="T8" s="770" t="s">
        <v>17</v>
      </c>
      <c r="U8" s="771">
        <f t="shared" si="1"/>
        <v>0</v>
      </c>
      <c r="V8" s="770" t="s">
        <v>17</v>
      </c>
      <c r="W8" s="771">
        <f t="shared" si="2"/>
        <v>0</v>
      </c>
      <c r="X8" s="772"/>
      <c r="Y8" s="3469" t="s">
        <v>2541</v>
      </c>
      <c r="Z8" s="3470"/>
      <c r="AA8" s="773" t="e">
        <f t="shared" ref="AA8:AA47" si="3">D8/F8</f>
        <v>#DIV/0!</v>
      </c>
      <c r="AB8" s="773" t="e">
        <f t="shared" ref="AB8:AB47" si="4">D8/H8</f>
        <v>#DIV/0!</v>
      </c>
      <c r="AC8" s="266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471" t="s">
        <v>2544</v>
      </c>
      <c r="Q9" s="1793" t="str">
        <f t="shared" ref="Q9:Q15" si="6">B9</f>
        <v>用途</v>
      </c>
      <c r="R9" s="770" t="s">
        <v>17</v>
      </c>
      <c r="S9" s="771">
        <f t="shared" si="0"/>
        <v>100</v>
      </c>
      <c r="T9" s="770" t="s">
        <v>17</v>
      </c>
      <c r="U9" s="771">
        <f t="shared" si="1"/>
        <v>100</v>
      </c>
      <c r="V9" s="770" t="s">
        <v>17</v>
      </c>
      <c r="W9" s="771">
        <f t="shared" si="2"/>
        <v>100</v>
      </c>
      <c r="X9" s="772"/>
      <c r="Y9" s="3317" t="s">
        <v>2545</v>
      </c>
      <c r="Z9" s="55" t="str">
        <f t="shared" ref="Z9:Z15" si="7">Q9</f>
        <v>用途</v>
      </c>
      <c r="AA9" s="773">
        <f t="shared" si="3"/>
        <v>1</v>
      </c>
      <c r="AB9" s="773">
        <f t="shared" si="4"/>
        <v>1</v>
      </c>
      <c r="AC9" s="266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471"/>
      <c r="Q10" s="1793" t="str">
        <f t="shared" si="6"/>
        <v>土地使用年限（年）</v>
      </c>
      <c r="R10" s="770" t="s">
        <v>17</v>
      </c>
      <c r="S10" s="771">
        <f t="shared" si="0"/>
        <v>100</v>
      </c>
      <c r="T10" s="770" t="s">
        <v>17</v>
      </c>
      <c r="U10" s="771">
        <f t="shared" si="1"/>
        <v>100</v>
      </c>
      <c r="V10" s="770" t="s">
        <v>17</v>
      </c>
      <c r="W10" s="771">
        <f t="shared" si="2"/>
        <v>100</v>
      </c>
      <c r="X10" s="772"/>
      <c r="Y10" s="3317"/>
      <c r="Z10" s="55" t="str">
        <f t="shared" si="7"/>
        <v>土地使用年限（年）</v>
      </c>
      <c r="AA10" s="773">
        <f t="shared" si="3"/>
        <v>1</v>
      </c>
      <c r="AB10" s="773">
        <f t="shared" si="4"/>
        <v>1</v>
      </c>
      <c r="AC10" s="266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471"/>
      <c r="Q11" s="1793" t="str">
        <f t="shared" si="6"/>
        <v>容积率</v>
      </c>
      <c r="R11" s="770" t="s">
        <v>17</v>
      </c>
      <c r="S11" s="771" t="e">
        <f t="shared" si="0"/>
        <v>#N/A</v>
      </c>
      <c r="T11" s="770" t="s">
        <v>17</v>
      </c>
      <c r="U11" s="771" t="e">
        <f t="shared" si="1"/>
        <v>#N/A</v>
      </c>
      <c r="V11" s="770" t="s">
        <v>17</v>
      </c>
      <c r="W11" s="771" t="e">
        <f t="shared" si="2"/>
        <v>#N/A</v>
      </c>
      <c r="X11" s="772"/>
      <c r="Y11" s="3317"/>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1"/>
      <c r="M12" s="1132"/>
      <c r="N12" s="1132"/>
      <c r="O12" s="1132"/>
      <c r="P12" s="3471"/>
      <c r="Q12" s="1793">
        <f t="shared" si="6"/>
        <v>111</v>
      </c>
      <c r="R12" s="770" t="s">
        <v>17</v>
      </c>
      <c r="S12" s="771">
        <f t="shared" si="0"/>
        <v>100</v>
      </c>
      <c r="T12" s="770" t="s">
        <v>17</v>
      </c>
      <c r="U12" s="771">
        <f t="shared" si="1"/>
        <v>100</v>
      </c>
      <c r="V12" s="770" t="s">
        <v>17</v>
      </c>
      <c r="W12" s="771">
        <f t="shared" si="2"/>
        <v>100</v>
      </c>
      <c r="X12" s="772"/>
      <c r="Y12" s="3317"/>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9"/>
      <c r="M13" s="1130"/>
      <c r="N13" s="1130"/>
      <c r="O13" s="1130"/>
      <c r="P13" s="3471"/>
      <c r="Q13" s="1793">
        <f t="shared" si="6"/>
        <v>111</v>
      </c>
      <c r="R13" s="770" t="s">
        <v>17</v>
      </c>
      <c r="S13" s="771">
        <f t="shared" si="0"/>
        <v>100</v>
      </c>
      <c r="T13" s="770" t="s">
        <v>17</v>
      </c>
      <c r="U13" s="771">
        <f t="shared" si="1"/>
        <v>100</v>
      </c>
      <c r="V13" s="770" t="s">
        <v>17</v>
      </c>
      <c r="W13" s="771">
        <f t="shared" si="2"/>
        <v>100</v>
      </c>
      <c r="X13" s="772"/>
      <c r="Y13" s="3317"/>
      <c r="Z13" s="55">
        <f t="shared" si="7"/>
        <v>111</v>
      </c>
      <c r="AA13" s="773">
        <f t="shared" si="3"/>
        <v>1</v>
      </c>
      <c r="AB13" s="773">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9"/>
      <c r="M14" s="1130"/>
      <c r="N14" s="1130"/>
      <c r="O14" s="1130"/>
      <c r="P14" s="3471"/>
      <c r="Q14" s="1793">
        <f t="shared" si="6"/>
        <v>111</v>
      </c>
      <c r="R14" s="770" t="s">
        <v>17</v>
      </c>
      <c r="S14" s="771">
        <f t="shared" si="0"/>
        <v>100</v>
      </c>
      <c r="T14" s="770" t="s">
        <v>17</v>
      </c>
      <c r="U14" s="771">
        <f t="shared" si="1"/>
        <v>100</v>
      </c>
      <c r="V14" s="770" t="s">
        <v>17</v>
      </c>
      <c r="W14" s="771">
        <f t="shared" si="2"/>
        <v>100</v>
      </c>
      <c r="X14" s="772"/>
      <c r="Y14" s="3317"/>
      <c r="Z14" s="55">
        <f t="shared" si="7"/>
        <v>111</v>
      </c>
      <c r="AA14" s="773">
        <f t="shared" si="3"/>
        <v>1</v>
      </c>
      <c r="AB14" s="773">
        <f t="shared" si="4"/>
        <v>1</v>
      </c>
      <c r="AC14" s="2660">
        <f t="shared" si="5"/>
        <v>1</v>
      </c>
    </row>
    <row r="15" spans="1:29" ht="15">
      <c r="A15" s="440" t="s">
        <v>2548</v>
      </c>
      <c r="B15" s="629" t="s">
        <v>2676</v>
      </c>
      <c r="C15" s="266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472" t="s">
        <v>2549</v>
      </c>
      <c r="Q15" s="1808" t="str">
        <f t="shared" si="6"/>
        <v>办公集聚程度</v>
      </c>
      <c r="R15" s="774" t="s">
        <v>17</v>
      </c>
      <c r="S15" s="775">
        <f t="shared" si="0"/>
        <v>100</v>
      </c>
      <c r="T15" s="774" t="s">
        <v>17</v>
      </c>
      <c r="U15" s="775">
        <f t="shared" si="1"/>
        <v>100</v>
      </c>
      <c r="V15" s="774" t="s">
        <v>17</v>
      </c>
      <c r="W15" s="775">
        <f t="shared" si="2"/>
        <v>100</v>
      </c>
      <c r="X15" s="1811"/>
      <c r="Y15" s="3474" t="s">
        <v>2549</v>
      </c>
      <c r="Z15" s="1812" t="str">
        <f t="shared" si="7"/>
        <v>办公集聚程度</v>
      </c>
      <c r="AA15" s="1809">
        <f t="shared" si="3"/>
        <v>1</v>
      </c>
      <c r="AB15" s="1809">
        <f t="shared" si="4"/>
        <v>1</v>
      </c>
      <c r="AC15" s="2663">
        <f t="shared" si="5"/>
        <v>1</v>
      </c>
    </row>
    <row r="16" spans="1:29" ht="15">
      <c r="A16" s="428"/>
      <c r="B16" s="630"/>
      <c r="C16" s="2600"/>
      <c r="D16" s="448"/>
      <c r="E16" s="447"/>
      <c r="F16" s="448"/>
      <c r="G16" s="2600"/>
      <c r="H16" s="450"/>
      <c r="I16" s="447"/>
      <c r="J16" s="448"/>
      <c r="K16" s="615"/>
      <c r="L16" s="1139"/>
      <c r="M16" s="1130"/>
      <c r="N16" s="1130"/>
      <c r="O16" s="1130"/>
      <c r="P16" s="3473"/>
      <c r="Q16" s="1808"/>
      <c r="R16" s="774"/>
      <c r="S16" s="775"/>
      <c r="T16" s="774"/>
      <c r="U16" s="775"/>
      <c r="V16" s="774"/>
      <c r="W16" s="775"/>
      <c r="X16" s="1811"/>
      <c r="Y16" s="3475"/>
      <c r="Z16" s="1812"/>
      <c r="AA16" s="1809">
        <v>1</v>
      </c>
      <c r="AB16" s="1809">
        <v>1</v>
      </c>
      <c r="AC16" s="2663">
        <v>1</v>
      </c>
    </row>
    <row r="17" spans="1:29" ht="15">
      <c r="A17" s="428"/>
      <c r="B17" s="631" t="s">
        <v>2086</v>
      </c>
      <c r="C17" s="266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473"/>
      <c r="Q17" s="1808" t="str">
        <f>B17</f>
        <v>交通便捷度</v>
      </c>
      <c r="R17" s="774" t="s">
        <v>17</v>
      </c>
      <c r="S17" s="775">
        <f>F17</f>
        <v>100</v>
      </c>
      <c r="T17" s="774" t="s">
        <v>17</v>
      </c>
      <c r="U17" s="775">
        <f>H17</f>
        <v>100</v>
      </c>
      <c r="V17" s="774" t="s">
        <v>17</v>
      </c>
      <c r="W17" s="775">
        <f>J17</f>
        <v>100</v>
      </c>
      <c r="X17" s="1811"/>
      <c r="Y17" s="3475"/>
      <c r="Z17" s="1812" t="str">
        <f>Q17</f>
        <v>交通便捷度</v>
      </c>
      <c r="AA17" s="1809">
        <f t="shared" si="3"/>
        <v>1</v>
      </c>
      <c r="AB17" s="1809">
        <f t="shared" si="4"/>
        <v>1</v>
      </c>
      <c r="AC17" s="2663">
        <f t="shared" si="5"/>
        <v>1</v>
      </c>
    </row>
    <row r="18" spans="1:29" ht="15">
      <c r="A18" s="428"/>
      <c r="B18" s="632"/>
      <c r="C18" s="2665"/>
      <c r="D18" s="450"/>
      <c r="E18" s="2598"/>
      <c r="F18" s="450"/>
      <c r="G18" s="2599"/>
      <c r="H18" s="448"/>
      <c r="I18" s="2599"/>
      <c r="J18" s="448"/>
      <c r="K18" s="615"/>
      <c r="L18" s="1139"/>
      <c r="M18" s="1130"/>
      <c r="N18" s="1130"/>
      <c r="O18" s="1130"/>
      <c r="P18" s="3473"/>
      <c r="Q18" s="1808"/>
      <c r="R18" s="774"/>
      <c r="S18" s="775"/>
      <c r="T18" s="774"/>
      <c r="U18" s="775"/>
      <c r="V18" s="774"/>
      <c r="W18" s="775"/>
      <c r="X18" s="1811"/>
      <c r="Y18" s="3475"/>
      <c r="Z18" s="1812"/>
      <c r="AA18" s="1809">
        <v>1</v>
      </c>
      <c r="AB18" s="1809">
        <v>1</v>
      </c>
      <c r="AC18" s="2663">
        <v>1</v>
      </c>
    </row>
    <row r="19" spans="1:29" ht="15">
      <c r="A19" s="428"/>
      <c r="B19" s="631" t="s">
        <v>2677</v>
      </c>
      <c r="C19" s="266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473"/>
      <c r="Q19" s="1808" t="str">
        <f>B19</f>
        <v>公共配套设施</v>
      </c>
      <c r="R19" s="774" t="s">
        <v>17</v>
      </c>
      <c r="S19" s="775">
        <f>F19</f>
        <v>100</v>
      </c>
      <c r="T19" s="774" t="s">
        <v>17</v>
      </c>
      <c r="U19" s="775">
        <f>H19</f>
        <v>100</v>
      </c>
      <c r="V19" s="774" t="s">
        <v>17</v>
      </c>
      <c r="W19" s="775">
        <f>J19</f>
        <v>100</v>
      </c>
      <c r="X19" s="1811"/>
      <c r="Y19" s="3475"/>
      <c r="Z19" s="1812" t="str">
        <f>Q19</f>
        <v>公共配套设施</v>
      </c>
      <c r="AA19" s="1809">
        <f t="shared" si="3"/>
        <v>1</v>
      </c>
      <c r="AB19" s="1809">
        <f t="shared" si="4"/>
        <v>1</v>
      </c>
      <c r="AC19" s="2663">
        <f t="shared" si="5"/>
        <v>1</v>
      </c>
    </row>
    <row r="20" spans="1:29" ht="15">
      <c r="A20" s="428"/>
      <c r="B20" s="632"/>
      <c r="C20" s="2600"/>
      <c r="D20" s="448"/>
      <c r="E20" s="2593"/>
      <c r="F20" s="448"/>
      <c r="G20" s="2594"/>
      <c r="H20" s="448"/>
      <c r="I20" s="2594"/>
      <c r="J20" s="448"/>
      <c r="K20" s="615"/>
      <c r="L20" s="1139"/>
      <c r="M20" s="1130"/>
      <c r="N20" s="1130"/>
      <c r="O20" s="1130"/>
      <c r="P20" s="3473"/>
      <c r="Q20" s="1808"/>
      <c r="R20" s="774"/>
      <c r="S20" s="775"/>
      <c r="T20" s="774"/>
      <c r="U20" s="775"/>
      <c r="V20" s="774"/>
      <c r="W20" s="775"/>
      <c r="X20" s="1811"/>
      <c r="Y20" s="3475"/>
      <c r="Z20" s="1812"/>
      <c r="AA20" s="1809">
        <v>1</v>
      </c>
      <c r="AB20" s="1809">
        <v>1</v>
      </c>
      <c r="AC20" s="2663">
        <v>1</v>
      </c>
    </row>
    <row r="21" spans="1:29" ht="15">
      <c r="A21" s="428"/>
      <c r="B21" s="633" t="s">
        <v>2678</v>
      </c>
      <c r="C21" s="266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473"/>
      <c r="Q21" s="1808" t="str">
        <f>B21</f>
        <v>基础设施水平</v>
      </c>
      <c r="R21" s="774" t="s">
        <v>17</v>
      </c>
      <c r="S21" s="775">
        <f>F21</f>
        <v>100</v>
      </c>
      <c r="T21" s="774" t="s">
        <v>17</v>
      </c>
      <c r="U21" s="775">
        <f>H21</f>
        <v>100</v>
      </c>
      <c r="V21" s="774" t="s">
        <v>17</v>
      </c>
      <c r="W21" s="775">
        <f>J21</f>
        <v>100</v>
      </c>
      <c r="X21" s="1811"/>
      <c r="Y21" s="3475"/>
      <c r="Z21" s="1812" t="str">
        <f>Q21</f>
        <v>基础设施水平</v>
      </c>
      <c r="AA21" s="1809">
        <f t="shared" ref="AA21" si="8">D21/F21</f>
        <v>1</v>
      </c>
      <c r="AB21" s="1809">
        <f t="shared" ref="AB21" si="9">D21/H21</f>
        <v>1</v>
      </c>
      <c r="AC21" s="2663">
        <f t="shared" ref="AC21" si="10">D21/J21</f>
        <v>1</v>
      </c>
    </row>
    <row r="22" spans="1:29" ht="15">
      <c r="A22" s="428"/>
      <c r="B22" s="633"/>
      <c r="C22" s="2665"/>
      <c r="D22" s="448"/>
      <c r="E22" s="447"/>
      <c r="F22" s="448"/>
      <c r="G22" s="2600"/>
      <c r="H22" s="448"/>
      <c r="I22" s="2600"/>
      <c r="J22" s="448"/>
      <c r="K22" s="1382"/>
      <c r="L22" s="1139"/>
      <c r="M22" s="1130"/>
      <c r="N22" s="1130"/>
      <c r="O22" s="1130"/>
      <c r="P22" s="3473"/>
      <c r="Q22" s="1808"/>
      <c r="R22" s="774"/>
      <c r="S22" s="775"/>
      <c r="T22" s="774"/>
      <c r="U22" s="775"/>
      <c r="V22" s="774"/>
      <c r="W22" s="775"/>
      <c r="X22" s="1811"/>
      <c r="Y22" s="3475"/>
      <c r="Z22" s="1812"/>
      <c r="AA22" s="1809">
        <v>1</v>
      </c>
      <c r="AB22" s="1809">
        <v>1</v>
      </c>
      <c r="AC22" s="2663">
        <v>1</v>
      </c>
    </row>
    <row r="23" spans="1:29" ht="15">
      <c r="A23" s="428"/>
      <c r="B23" s="631" t="s">
        <v>2679</v>
      </c>
      <c r="C23" s="266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473"/>
      <c r="Q23" s="1808" t="str">
        <f>B23</f>
        <v>环境质量</v>
      </c>
      <c r="R23" s="774" t="s">
        <v>17</v>
      </c>
      <c r="S23" s="775">
        <f>F23</f>
        <v>100</v>
      </c>
      <c r="T23" s="774" t="s">
        <v>17</v>
      </c>
      <c r="U23" s="775">
        <f>H23</f>
        <v>100</v>
      </c>
      <c r="V23" s="774" t="s">
        <v>17</v>
      </c>
      <c r="W23" s="775">
        <f>J23</f>
        <v>100</v>
      </c>
      <c r="X23" s="1811"/>
      <c r="Y23" s="3475"/>
      <c r="Z23" s="1812" t="str">
        <f>Q23</f>
        <v>环境质量</v>
      </c>
      <c r="AA23" s="1809">
        <f t="shared" si="3"/>
        <v>1</v>
      </c>
      <c r="AB23" s="1809">
        <f t="shared" si="4"/>
        <v>1</v>
      </c>
      <c r="AC23" s="2663">
        <f t="shared" si="5"/>
        <v>1</v>
      </c>
    </row>
    <row r="24" spans="1:29" ht="15">
      <c r="A24" s="428"/>
      <c r="B24" s="633"/>
      <c r="C24" s="2600"/>
      <c r="D24" s="448"/>
      <c r="E24" s="2593"/>
      <c r="F24" s="448"/>
      <c r="G24" s="2594"/>
      <c r="H24" s="448"/>
      <c r="I24" s="2594"/>
      <c r="J24" s="448"/>
      <c r="K24" s="615"/>
      <c r="L24" s="1139"/>
      <c r="M24" s="1130"/>
      <c r="N24" s="1130"/>
      <c r="O24" s="1130"/>
      <c r="P24" s="3473"/>
      <c r="Q24" s="1808"/>
      <c r="R24" s="774"/>
      <c r="S24" s="775"/>
      <c r="T24" s="774"/>
      <c r="U24" s="775"/>
      <c r="V24" s="774"/>
      <c r="W24" s="775"/>
      <c r="X24" s="1811"/>
      <c r="Y24" s="3475"/>
      <c r="Z24" s="1812"/>
      <c r="AA24" s="1809">
        <v>1</v>
      </c>
      <c r="AB24" s="1809">
        <v>1</v>
      </c>
      <c r="AC24" s="2663">
        <v>1</v>
      </c>
    </row>
    <row r="25" spans="1:29" ht="27">
      <c r="A25" s="404"/>
      <c r="B25" s="631" t="s">
        <v>2680</v>
      </c>
      <c r="C25" s="2604"/>
      <c r="D25" s="435">
        <v>100</v>
      </c>
      <c r="E25" s="434"/>
      <c r="F25" s="435">
        <f>SUMIF(87:87,E26,88:88)-SUMIF(87:87,C26,88:88)+100</f>
        <v>100</v>
      </c>
      <c r="G25" s="2604"/>
      <c r="H25" s="435">
        <f>SUMIF(87:87,G26,88:88)-SUMIF(87:87,C26,88:88)+100</f>
        <v>100</v>
      </c>
      <c r="I25" s="434"/>
      <c r="J25" s="435">
        <f>SUMIF(87:87,I26,88:88)-SUMIF(87:87,C26,88:88)+100</f>
        <v>100</v>
      </c>
      <c r="K25" s="614"/>
      <c r="L25" s="1139"/>
      <c r="M25" s="1130"/>
      <c r="N25" s="1130"/>
      <c r="O25" s="1130"/>
      <c r="P25" s="3473"/>
      <c r="Q25" s="1808" t="str">
        <f>B25</f>
        <v>毗邻道路的类型与等级</v>
      </c>
      <c r="R25" s="774" t="s">
        <v>17</v>
      </c>
      <c r="S25" s="775">
        <f>F25</f>
        <v>100</v>
      </c>
      <c r="T25" s="774" t="s">
        <v>17</v>
      </c>
      <c r="U25" s="775">
        <f>H25</f>
        <v>100</v>
      </c>
      <c r="V25" s="774" t="s">
        <v>17</v>
      </c>
      <c r="W25" s="775">
        <f>J25</f>
        <v>100</v>
      </c>
      <c r="X25" s="1811"/>
      <c r="Y25" s="3475"/>
      <c r="Z25" s="1812" t="str">
        <f>Q25</f>
        <v>毗邻道路的类型与等级</v>
      </c>
      <c r="AA25" s="1809">
        <f t="shared" si="3"/>
        <v>1</v>
      </c>
      <c r="AB25" s="1809">
        <f t="shared" si="4"/>
        <v>1</v>
      </c>
      <c r="AC25" s="2663">
        <f t="shared" si="5"/>
        <v>1</v>
      </c>
    </row>
    <row r="26" spans="1:29" ht="15">
      <c r="A26" s="404"/>
      <c r="B26" s="632"/>
      <c r="C26" s="634"/>
      <c r="D26" s="435"/>
      <c r="E26" s="616"/>
      <c r="F26" s="435"/>
      <c r="G26" s="634"/>
      <c r="H26" s="435"/>
      <c r="I26" s="616"/>
      <c r="J26" s="435"/>
      <c r="K26" s="615"/>
      <c r="L26" s="1139"/>
      <c r="M26" s="1130"/>
      <c r="N26" s="1130"/>
      <c r="O26" s="1130"/>
      <c r="P26" s="3473"/>
      <c r="Q26" s="1808"/>
      <c r="R26" s="774"/>
      <c r="S26" s="775"/>
      <c r="T26" s="774"/>
      <c r="U26" s="775"/>
      <c r="V26" s="774"/>
      <c r="W26" s="775"/>
      <c r="X26" s="1811"/>
      <c r="Y26" s="3475"/>
      <c r="Z26" s="1812"/>
      <c r="AA26" s="1809">
        <v>1</v>
      </c>
      <c r="AB26" s="1809">
        <v>1</v>
      </c>
      <c r="AC26" s="266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473"/>
      <c r="Q27" s="1808" t="str">
        <f t="shared" ref="Q27:Q47" si="11">B27</f>
        <v>楼层</v>
      </c>
      <c r="R27" s="774" t="s">
        <v>17</v>
      </c>
      <c r="S27" s="775">
        <f>F27</f>
        <v>100</v>
      </c>
      <c r="T27" s="774" t="s">
        <v>17</v>
      </c>
      <c r="U27" s="775">
        <f>H27</f>
        <v>100</v>
      </c>
      <c r="V27" s="774" t="s">
        <v>17</v>
      </c>
      <c r="W27" s="775">
        <f>J27</f>
        <v>100</v>
      </c>
      <c r="X27" s="1811"/>
      <c r="Y27" s="3475"/>
      <c r="Z27" s="1812" t="str">
        <f>Q27</f>
        <v>楼层</v>
      </c>
      <c r="AA27" s="1809">
        <f t="shared" si="3"/>
        <v>1</v>
      </c>
      <c r="AB27" s="1809">
        <f t="shared" si="4"/>
        <v>1</v>
      </c>
      <c r="AC27" s="2663">
        <f t="shared" si="5"/>
        <v>1</v>
      </c>
    </row>
    <row r="28" spans="1:29" s="117" customFormat="1" ht="15">
      <c r="A28" s="431"/>
      <c r="B28" s="631" t="s">
        <v>2681</v>
      </c>
      <c r="C28" s="2666"/>
      <c r="D28" s="462">
        <v>100</v>
      </c>
      <c r="E28" s="2654"/>
      <c r="F28" s="462">
        <f>SUMIF(91:91,E28,92:92)-SUMIF(91:91,C28,92:92)+100</f>
        <v>100</v>
      </c>
      <c r="G28" s="2666"/>
      <c r="H28" s="462">
        <f>SUMIF(91:91,G28,92:92)-SUMIF(91:91,C28,92:92)+100</f>
        <v>100</v>
      </c>
      <c r="I28" s="2654"/>
      <c r="J28" s="462">
        <f>SUMIF(91:91,I28,92:92)-SUMIF(91:91,C28,92:92)+100</f>
        <v>100</v>
      </c>
      <c r="K28" s="612"/>
      <c r="L28" s="1131"/>
      <c r="M28" s="1132"/>
      <c r="N28" s="1132"/>
      <c r="O28" s="1132"/>
      <c r="P28" s="3473"/>
      <c r="Q28" s="1793" t="str">
        <f t="shared" si="11"/>
        <v>朝向</v>
      </c>
      <c r="R28" s="770" t="s">
        <v>17</v>
      </c>
      <c r="S28" s="771">
        <f>F28</f>
        <v>100</v>
      </c>
      <c r="T28" s="770" t="s">
        <v>17</v>
      </c>
      <c r="U28" s="771">
        <f>H28</f>
        <v>100</v>
      </c>
      <c r="V28" s="770" t="s">
        <v>17</v>
      </c>
      <c r="W28" s="771">
        <f>J28</f>
        <v>100</v>
      </c>
      <c r="X28" s="772"/>
      <c r="Y28" s="3475"/>
      <c r="Z28" s="55" t="str">
        <f>Q28</f>
        <v>朝向</v>
      </c>
      <c r="AA28" s="1809">
        <f>D28/F28</f>
        <v>1</v>
      </c>
      <c r="AB28" s="1809">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9"/>
      <c r="M29" s="1130"/>
      <c r="N29" s="1130"/>
      <c r="O29" s="1130"/>
      <c r="P29" s="3473"/>
      <c r="Q29" s="1808">
        <f t="shared" si="11"/>
        <v>111</v>
      </c>
      <c r="R29" s="774" t="s">
        <v>17</v>
      </c>
      <c r="S29" s="775">
        <f t="shared" ref="S29:S47" si="12">F29</f>
        <v>100</v>
      </c>
      <c r="T29" s="774" t="s">
        <v>17</v>
      </c>
      <c r="U29" s="775">
        <f t="shared" ref="U29:U47" si="13">H29</f>
        <v>100</v>
      </c>
      <c r="V29" s="774" t="s">
        <v>17</v>
      </c>
      <c r="W29" s="775">
        <f t="shared" ref="W29:W47" si="14">J29</f>
        <v>100</v>
      </c>
      <c r="X29" s="1811"/>
      <c r="Y29" s="3475"/>
      <c r="Z29" s="1812">
        <f t="shared" ref="Z29:Z47" si="15">Q29</f>
        <v>111</v>
      </c>
      <c r="AA29" s="1809">
        <f t="shared" si="3"/>
        <v>1</v>
      </c>
      <c r="AB29" s="1809">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9"/>
      <c r="M30" s="1130"/>
      <c r="N30" s="1130"/>
      <c r="O30" s="1130"/>
      <c r="P30" s="3473"/>
      <c r="Q30" s="1808">
        <f t="shared" si="11"/>
        <v>111</v>
      </c>
      <c r="R30" s="774" t="s">
        <v>17</v>
      </c>
      <c r="S30" s="775">
        <f t="shared" si="12"/>
        <v>100</v>
      </c>
      <c r="T30" s="774" t="s">
        <v>17</v>
      </c>
      <c r="U30" s="775">
        <f t="shared" si="13"/>
        <v>100</v>
      </c>
      <c r="V30" s="774" t="s">
        <v>17</v>
      </c>
      <c r="W30" s="775">
        <f t="shared" si="14"/>
        <v>100</v>
      </c>
      <c r="X30" s="1811"/>
      <c r="Y30" s="3475"/>
      <c r="Z30" s="1812">
        <f t="shared" si="15"/>
        <v>111</v>
      </c>
      <c r="AA30" s="1809">
        <f t="shared" si="3"/>
        <v>1</v>
      </c>
      <c r="AB30" s="1809">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9"/>
      <c r="M31" s="1130"/>
      <c r="N31" s="1130"/>
      <c r="O31" s="1130"/>
      <c r="P31" s="3473"/>
      <c r="Q31" s="1808">
        <f t="shared" si="11"/>
        <v>111</v>
      </c>
      <c r="R31" s="774" t="s">
        <v>17</v>
      </c>
      <c r="S31" s="775">
        <f t="shared" si="12"/>
        <v>100</v>
      </c>
      <c r="T31" s="774" t="s">
        <v>17</v>
      </c>
      <c r="U31" s="775">
        <f t="shared" si="13"/>
        <v>100</v>
      </c>
      <c r="V31" s="774" t="s">
        <v>17</v>
      </c>
      <c r="W31" s="775">
        <f t="shared" si="14"/>
        <v>100</v>
      </c>
      <c r="X31" s="1811"/>
      <c r="Y31" s="3475"/>
      <c r="Z31" s="1812">
        <f t="shared" si="15"/>
        <v>111</v>
      </c>
      <c r="AA31" s="1809">
        <f t="shared" si="3"/>
        <v>1</v>
      </c>
      <c r="AB31" s="1809">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9"/>
      <c r="M32" s="1130"/>
      <c r="N32" s="1130"/>
      <c r="O32" s="1130"/>
      <c r="P32" s="3473"/>
      <c r="Q32" s="1808">
        <f t="shared" si="11"/>
        <v>111</v>
      </c>
      <c r="R32" s="774" t="s">
        <v>17</v>
      </c>
      <c r="S32" s="775">
        <f t="shared" si="12"/>
        <v>100</v>
      </c>
      <c r="T32" s="774" t="s">
        <v>17</v>
      </c>
      <c r="U32" s="775">
        <f t="shared" si="13"/>
        <v>100</v>
      </c>
      <c r="V32" s="774" t="s">
        <v>17</v>
      </c>
      <c r="W32" s="775">
        <f t="shared" si="14"/>
        <v>100</v>
      </c>
      <c r="X32" s="1811"/>
      <c r="Y32" s="3475"/>
      <c r="Z32" s="1812">
        <f t="shared" si="15"/>
        <v>111</v>
      </c>
      <c r="AA32" s="1809">
        <f t="shared" si="3"/>
        <v>1</v>
      </c>
      <c r="AB32" s="1809">
        <f t="shared" si="4"/>
        <v>1</v>
      </c>
      <c r="AC32" s="2663">
        <f t="shared" si="5"/>
        <v>1</v>
      </c>
    </row>
    <row r="33" spans="1:29" ht="15">
      <c r="A33" s="440" t="s">
        <v>2552</v>
      </c>
      <c r="B33" s="71" t="s">
        <v>2682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9"/>
      <c r="M33" s="1130"/>
      <c r="N33" s="1130"/>
      <c r="O33" s="1130"/>
      <c r="P33" s="3464" t="s">
        <v>2554</v>
      </c>
      <c r="Q33" s="1808" t="str">
        <f t="shared" si="11"/>
        <v>建筑类型</v>
      </c>
      <c r="R33" s="774" t="s">
        <v>17</v>
      </c>
      <c r="S33" s="775">
        <f t="shared" si="12"/>
        <v>100</v>
      </c>
      <c r="T33" s="774" t="s">
        <v>17</v>
      </c>
      <c r="U33" s="775">
        <f t="shared" si="13"/>
        <v>100</v>
      </c>
      <c r="V33" s="774" t="s">
        <v>17</v>
      </c>
      <c r="W33" s="775">
        <f t="shared" si="14"/>
        <v>100</v>
      </c>
      <c r="X33" s="1811"/>
      <c r="Y33" s="3467" t="s">
        <v>2554</v>
      </c>
      <c r="Z33" s="1812" t="str">
        <f t="shared" si="15"/>
        <v>建筑类型</v>
      </c>
      <c r="AA33" s="1809">
        <f t="shared" si="3"/>
        <v>1</v>
      </c>
      <c r="AB33" s="1809">
        <f t="shared" si="4"/>
        <v>1</v>
      </c>
      <c r="AC33" s="266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465"/>
      <c r="Q34" s="776" t="str">
        <f t="shared" si="11"/>
        <v>项目建筑规模</v>
      </c>
      <c r="R34" s="777" t="s">
        <v>17</v>
      </c>
      <c r="S34" s="778" t="e">
        <f t="shared" si="12"/>
        <v>#N/A</v>
      </c>
      <c r="T34" s="777" t="s">
        <v>17</v>
      </c>
      <c r="U34" s="778" t="e">
        <f t="shared" si="13"/>
        <v>#N/A</v>
      </c>
      <c r="V34" s="777" t="s">
        <v>17</v>
      </c>
      <c r="W34" s="778" t="e">
        <f t="shared" si="14"/>
        <v>#N/A</v>
      </c>
      <c r="X34" s="779"/>
      <c r="Y34" s="3467"/>
      <c r="Z34" s="780" t="str">
        <f t="shared" si="15"/>
        <v>项目建筑规模</v>
      </c>
      <c r="AA34" s="1809" t="e">
        <f t="shared" si="3"/>
        <v>#N/A</v>
      </c>
      <c r="AB34" s="1809" t="e">
        <f t="shared" si="4"/>
        <v>#N/A</v>
      </c>
      <c r="AC34" s="266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465"/>
      <c r="Q35" s="1808" t="str">
        <f t="shared" si="11"/>
        <v>建筑结构</v>
      </c>
      <c r="R35" s="774" t="s">
        <v>17</v>
      </c>
      <c r="S35" s="775">
        <f t="shared" si="12"/>
        <v>100</v>
      </c>
      <c r="T35" s="774" t="s">
        <v>17</v>
      </c>
      <c r="U35" s="775">
        <f t="shared" si="13"/>
        <v>100</v>
      </c>
      <c r="V35" s="774" t="s">
        <v>17</v>
      </c>
      <c r="W35" s="775">
        <f t="shared" si="14"/>
        <v>100</v>
      </c>
      <c r="X35" s="1811"/>
      <c r="Y35" s="3467"/>
      <c r="Z35" s="1812" t="str">
        <f t="shared" si="15"/>
        <v>建筑结构</v>
      </c>
      <c r="AA35" s="1809">
        <f t="shared" si="3"/>
        <v>1</v>
      </c>
      <c r="AB35" s="1809">
        <f t="shared" si="4"/>
        <v>1</v>
      </c>
      <c r="AC35" s="266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465"/>
      <c r="Q36" s="1808" t="str">
        <f t="shared" si="11"/>
        <v>公共部分装修</v>
      </c>
      <c r="R36" s="774" t="s">
        <v>17</v>
      </c>
      <c r="S36" s="775">
        <f t="shared" si="12"/>
        <v>100</v>
      </c>
      <c r="T36" s="774" t="s">
        <v>17</v>
      </c>
      <c r="U36" s="775">
        <f t="shared" si="13"/>
        <v>100</v>
      </c>
      <c r="V36" s="774" t="s">
        <v>17</v>
      </c>
      <c r="W36" s="775">
        <f t="shared" si="14"/>
        <v>100</v>
      </c>
      <c r="X36" s="1811"/>
      <c r="Y36" s="3467"/>
      <c r="Z36" s="1812" t="str">
        <f t="shared" si="15"/>
        <v>公共部分装修</v>
      </c>
      <c r="AA36" s="1809">
        <f t="shared" si="3"/>
        <v>1</v>
      </c>
      <c r="AB36" s="1809">
        <f t="shared" si="4"/>
        <v>1</v>
      </c>
      <c r="AC36" s="266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465"/>
      <c r="Q37" s="1808" t="str">
        <f t="shared" si="11"/>
        <v>成新度</v>
      </c>
      <c r="R37" s="774" t="s">
        <v>17</v>
      </c>
      <c r="S37" s="775" t="e">
        <f t="shared" si="12"/>
        <v>#N/A</v>
      </c>
      <c r="T37" s="774" t="s">
        <v>17</v>
      </c>
      <c r="U37" s="775" t="e">
        <f t="shared" si="13"/>
        <v>#N/A</v>
      </c>
      <c r="V37" s="774" t="s">
        <v>17</v>
      </c>
      <c r="W37" s="775" t="e">
        <f t="shared" si="14"/>
        <v>#N/A</v>
      </c>
      <c r="X37" s="1811"/>
      <c r="Y37" s="3467"/>
      <c r="Z37" s="1812" t="str">
        <f t="shared" si="15"/>
        <v>成新度</v>
      </c>
      <c r="AA37" s="1809" t="e">
        <f t="shared" si="3"/>
        <v>#N/A</v>
      </c>
      <c r="AB37" s="1809" t="e">
        <f t="shared" si="4"/>
        <v>#N/A</v>
      </c>
      <c r="AC37" s="266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465"/>
      <c r="Q38" s="1793" t="str">
        <f t="shared" si="11"/>
        <v>写字楼等级</v>
      </c>
      <c r="R38" s="770" t="s">
        <v>17</v>
      </c>
      <c r="S38" s="771">
        <f t="shared" si="12"/>
        <v>100</v>
      </c>
      <c r="T38" s="770" t="s">
        <v>17</v>
      </c>
      <c r="U38" s="771">
        <f t="shared" si="13"/>
        <v>100</v>
      </c>
      <c r="V38" s="770" t="s">
        <v>17</v>
      </c>
      <c r="W38" s="771">
        <f t="shared" si="14"/>
        <v>100</v>
      </c>
      <c r="X38" s="772"/>
      <c r="Y38" s="3467"/>
      <c r="Z38" s="55" t="str">
        <f t="shared" si="15"/>
        <v>写字楼等级</v>
      </c>
      <c r="AA38" s="773">
        <f t="shared" si="3"/>
        <v>1</v>
      </c>
      <c r="AB38" s="773">
        <f t="shared" si="4"/>
        <v>1</v>
      </c>
      <c r="AC38" s="266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465" t="s">
        <v>2554</v>
      </c>
      <c r="Q39" s="1808" t="str">
        <f t="shared" si="11"/>
        <v>物业管理</v>
      </c>
      <c r="R39" s="774" t="s">
        <v>17</v>
      </c>
      <c r="S39" s="775">
        <f t="shared" si="12"/>
        <v>100</v>
      </c>
      <c r="T39" s="774" t="s">
        <v>17</v>
      </c>
      <c r="U39" s="775">
        <f t="shared" si="13"/>
        <v>100</v>
      </c>
      <c r="V39" s="774" t="s">
        <v>17</v>
      </c>
      <c r="W39" s="775">
        <f t="shared" si="14"/>
        <v>100</v>
      </c>
      <c r="X39" s="1811"/>
      <c r="Y39" s="3467" t="s">
        <v>2554</v>
      </c>
      <c r="Z39" s="1812" t="str">
        <f t="shared" si="15"/>
        <v>物业管理</v>
      </c>
      <c r="AA39" s="1809">
        <f t="shared" si="3"/>
        <v>1</v>
      </c>
      <c r="AB39" s="1809">
        <f t="shared" si="4"/>
        <v>1</v>
      </c>
      <c r="AC39" s="266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465"/>
      <c r="Q40" s="1808" t="str">
        <f t="shared" si="11"/>
        <v>市政基础设施</v>
      </c>
      <c r="R40" s="774" t="s">
        <v>17</v>
      </c>
      <c r="S40" s="775">
        <f t="shared" si="12"/>
        <v>100</v>
      </c>
      <c r="T40" s="774" t="s">
        <v>17</v>
      </c>
      <c r="U40" s="775">
        <f t="shared" si="13"/>
        <v>100</v>
      </c>
      <c r="V40" s="774" t="s">
        <v>17</v>
      </c>
      <c r="W40" s="775">
        <f t="shared" si="14"/>
        <v>100</v>
      </c>
      <c r="X40" s="1811"/>
      <c r="Y40" s="3467"/>
      <c r="Z40" s="1812" t="str">
        <f t="shared" si="15"/>
        <v>市政基础设施</v>
      </c>
      <c r="AA40" s="1809">
        <f t="shared" si="3"/>
        <v>1</v>
      </c>
      <c r="AB40" s="1809">
        <f t="shared" si="4"/>
        <v>1</v>
      </c>
      <c r="AC40" s="266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465"/>
      <c r="Q41" s="1808" t="str">
        <f t="shared" si="11"/>
        <v>层高</v>
      </c>
      <c r="R41" s="774" t="s">
        <v>17</v>
      </c>
      <c r="S41" s="775">
        <f t="shared" si="12"/>
        <v>100</v>
      </c>
      <c r="T41" s="774" t="s">
        <v>17</v>
      </c>
      <c r="U41" s="775">
        <f t="shared" si="13"/>
        <v>100</v>
      </c>
      <c r="V41" s="774" t="s">
        <v>17</v>
      </c>
      <c r="W41" s="775">
        <f t="shared" si="14"/>
        <v>100</v>
      </c>
      <c r="X41" s="1811"/>
      <c r="Y41" s="3467"/>
      <c r="Z41" s="1812" t="str">
        <f t="shared" si="15"/>
        <v>层高</v>
      </c>
      <c r="AA41" s="1809">
        <f t="shared" si="3"/>
        <v>1</v>
      </c>
      <c r="AB41" s="1809">
        <f t="shared" si="4"/>
        <v>1</v>
      </c>
      <c r="AC41" s="2663">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465"/>
      <c r="Q42" s="776" t="str">
        <f t="shared" si="11"/>
        <v>单套建筑面积</v>
      </c>
      <c r="R42" s="777" t="s">
        <v>17</v>
      </c>
      <c r="S42" s="778">
        <f t="shared" si="12"/>
        <v>100</v>
      </c>
      <c r="T42" s="777" t="s">
        <v>17</v>
      </c>
      <c r="U42" s="778">
        <f t="shared" si="13"/>
        <v>100</v>
      </c>
      <c r="V42" s="777" t="s">
        <v>17</v>
      </c>
      <c r="W42" s="778">
        <f t="shared" si="14"/>
        <v>100</v>
      </c>
      <c r="X42" s="779"/>
      <c r="Y42" s="3467"/>
      <c r="Z42" s="780" t="str">
        <f t="shared" si="15"/>
        <v>单套建筑面积</v>
      </c>
      <c r="AA42" s="1809">
        <f t="shared" si="3"/>
        <v>1</v>
      </c>
      <c r="AB42" s="1809">
        <f t="shared" si="4"/>
        <v>1</v>
      </c>
      <c r="AC42" s="266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465"/>
      <c r="Q43" s="1808" t="str">
        <f t="shared" si="11"/>
        <v>内部装修</v>
      </c>
      <c r="R43" s="774" t="s">
        <v>17</v>
      </c>
      <c r="S43" s="775">
        <f t="shared" si="12"/>
        <v>100</v>
      </c>
      <c r="T43" s="774" t="s">
        <v>17</v>
      </c>
      <c r="U43" s="775">
        <f t="shared" si="13"/>
        <v>100</v>
      </c>
      <c r="V43" s="774" t="s">
        <v>17</v>
      </c>
      <c r="W43" s="775">
        <f t="shared" si="14"/>
        <v>100</v>
      </c>
      <c r="X43" s="1811"/>
      <c r="Y43" s="3467"/>
      <c r="Z43" s="1812" t="str">
        <f t="shared" si="15"/>
        <v>内部装修</v>
      </c>
      <c r="AA43" s="1809">
        <f t="shared" si="3"/>
        <v>1</v>
      </c>
      <c r="AB43" s="1809">
        <f t="shared" si="4"/>
        <v>1</v>
      </c>
      <c r="AC43" s="2663">
        <f t="shared" si="5"/>
        <v>1</v>
      </c>
    </row>
    <row r="44" spans="1:29" ht="15">
      <c r="A44" s="472"/>
      <c r="B44" s="422" t="s">
        <v>2565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9"/>
      <c r="M44" s="1130"/>
      <c r="N44" s="1130"/>
      <c r="O44" s="1130"/>
      <c r="P44" s="3465"/>
      <c r="Q44" s="1808" t="str">
        <f t="shared" si="11"/>
        <v>内部装修维护情况</v>
      </c>
      <c r="R44" s="774" t="s">
        <v>17</v>
      </c>
      <c r="S44" s="775">
        <f t="shared" si="12"/>
        <v>100</v>
      </c>
      <c r="T44" s="774" t="s">
        <v>17</v>
      </c>
      <c r="U44" s="775">
        <f t="shared" si="13"/>
        <v>100</v>
      </c>
      <c r="V44" s="774" t="s">
        <v>17</v>
      </c>
      <c r="W44" s="775">
        <f t="shared" si="14"/>
        <v>100</v>
      </c>
      <c r="X44" s="1811"/>
      <c r="Y44" s="3467"/>
      <c r="Z44" s="1812" t="str">
        <f t="shared" si="15"/>
        <v>内部装修维护情况</v>
      </c>
      <c r="AA44" s="1809">
        <f t="shared" si="3"/>
        <v>1</v>
      </c>
      <c r="AB44" s="1809">
        <f t="shared" si="4"/>
        <v>1</v>
      </c>
      <c r="AC44" s="266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65"/>
      <c r="Q45" s="1793">
        <f t="shared" si="11"/>
        <v>111</v>
      </c>
      <c r="R45" s="770" t="s">
        <v>17</v>
      </c>
      <c r="S45" s="771">
        <f t="shared" si="12"/>
        <v>100</v>
      </c>
      <c r="T45" s="770" t="s">
        <v>17</v>
      </c>
      <c r="U45" s="771">
        <f t="shared" si="13"/>
        <v>100</v>
      </c>
      <c r="V45" s="770" t="s">
        <v>17</v>
      </c>
      <c r="W45" s="771">
        <f t="shared" si="14"/>
        <v>100</v>
      </c>
      <c r="X45" s="772"/>
      <c r="Y45" s="3467"/>
      <c r="Z45" s="55">
        <f t="shared" si="15"/>
        <v>111</v>
      </c>
      <c r="AA45" s="773">
        <f t="shared" si="3"/>
        <v>1</v>
      </c>
      <c r="AB45" s="773">
        <f t="shared" si="4"/>
        <v>1</v>
      </c>
      <c r="AC45" s="266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65"/>
      <c r="Q46" s="1808">
        <f t="shared" si="11"/>
        <v>111</v>
      </c>
      <c r="R46" s="774" t="s">
        <v>17</v>
      </c>
      <c r="S46" s="775">
        <f t="shared" si="12"/>
        <v>100</v>
      </c>
      <c r="T46" s="774" t="s">
        <v>17</v>
      </c>
      <c r="U46" s="775">
        <f t="shared" si="13"/>
        <v>100</v>
      </c>
      <c r="V46" s="774" t="s">
        <v>17</v>
      </c>
      <c r="W46" s="775">
        <f t="shared" si="14"/>
        <v>100</v>
      </c>
      <c r="X46" s="1811"/>
      <c r="Y46" s="3467"/>
      <c r="Z46" s="1812">
        <f t="shared" si="15"/>
        <v>111</v>
      </c>
      <c r="AA46" s="1809">
        <f t="shared" si="3"/>
        <v>1</v>
      </c>
      <c r="AB46" s="1809">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66"/>
      <c r="Q47" s="1808">
        <f t="shared" si="11"/>
        <v>111</v>
      </c>
      <c r="R47" s="774" t="s">
        <v>17</v>
      </c>
      <c r="S47" s="775">
        <f t="shared" si="12"/>
        <v>100</v>
      </c>
      <c r="T47" s="774" t="s">
        <v>17</v>
      </c>
      <c r="U47" s="775">
        <f t="shared" si="13"/>
        <v>100</v>
      </c>
      <c r="V47" s="774" t="s">
        <v>17</v>
      </c>
      <c r="W47" s="775">
        <f t="shared" si="14"/>
        <v>100</v>
      </c>
      <c r="X47" s="1811"/>
      <c r="Y47" s="3468"/>
      <c r="Z47" s="1812">
        <f t="shared" si="15"/>
        <v>111</v>
      </c>
      <c r="AA47" s="1809">
        <f t="shared" si="3"/>
        <v>1</v>
      </c>
      <c r="AB47" s="1809">
        <f t="shared" si="4"/>
        <v>1</v>
      </c>
      <c r="AC47" s="2663">
        <f t="shared" si="5"/>
        <v>1</v>
      </c>
    </row>
    <row r="48" spans="1:29" ht="15">
      <c r="A48" s="479" t="s">
        <v>2566</v>
      </c>
      <c r="B48" s="480"/>
      <c r="C48" s="1406" t="s">
        <v>1</v>
      </c>
      <c r="D48" s="1407"/>
      <c r="E48" s="1408"/>
      <c r="F48" s="1409"/>
      <c r="G48" s="1410"/>
      <c r="H48" s="1411"/>
      <c r="I48" s="1408"/>
      <c r="J48" s="485"/>
      <c r="K48" s="783"/>
      <c r="L48" s="1142"/>
      <c r="M48" s="1130"/>
      <c r="N48" s="1130"/>
      <c r="O48" s="1130"/>
      <c r="P48" s="3471" t="str">
        <f>A48</f>
        <v>成交单价（元/平方米）</v>
      </c>
      <c r="Q48" s="3459"/>
      <c r="R48" s="3460">
        <f>E48</f>
        <v>0</v>
      </c>
      <c r="S48" s="3460"/>
      <c r="T48" s="3460">
        <f>G48</f>
        <v>0</v>
      </c>
      <c r="U48" s="3460"/>
      <c r="V48" s="3460">
        <f>I48</f>
        <v>0</v>
      </c>
      <c r="W48" s="3460"/>
      <c r="X48" s="446"/>
      <c r="Y48" s="781"/>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471"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5"/>
      <c r="L50" s="1142"/>
      <c r="M50" s="1130"/>
      <c r="N50" s="1130"/>
      <c r="O50" s="1130"/>
      <c r="P50" s="3607" t="str">
        <f>A50</f>
        <v>估价对象XX用房的比较价值（楼面单价，元/平方米）</v>
      </c>
      <c r="Q50" s="3608"/>
      <c r="R50" s="3609" t="e">
        <f>IF(F1="售价",ROUND(AVERAGE(R49:V49),0),ROUND(AVERAGE(R49:V49),1))</f>
        <v>#DIV/0!</v>
      </c>
      <c r="S50" s="3609"/>
      <c r="T50" s="3609"/>
      <c r="U50" s="3609"/>
      <c r="V50" s="3609"/>
      <c r="W50" s="3609"/>
      <c r="X50" s="2643"/>
      <c r="Y50" s="2643"/>
      <c r="Z50" s="2643"/>
      <c r="AA50" s="2643"/>
      <c r="AB50" s="2643"/>
      <c r="AC50" s="264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9"/>
    </row>
    <row r="56" spans="1:29" s="502" customFormat="1">
      <c r="A56" s="1144"/>
      <c r="B56" s="1145"/>
      <c r="C56" s="1149"/>
      <c r="D56" s="1144"/>
      <c r="E56" s="1144"/>
      <c r="F56" s="1144"/>
      <c r="G56" s="1144"/>
      <c r="H56" s="1144"/>
      <c r="I56" s="1144"/>
      <c r="J56" s="1144"/>
      <c r="K56" s="1147"/>
      <c r="L56" s="1148"/>
      <c r="M56" s="1144"/>
      <c r="N56" s="1144"/>
      <c r="O56" s="1144"/>
      <c r="P56" s="2669"/>
    </row>
    <row r="57" spans="1:29">
      <c r="A57" s="1143"/>
      <c r="B57" s="1145"/>
      <c r="C57" s="1149"/>
      <c r="D57" s="1143"/>
      <c r="E57" s="1143"/>
      <c r="F57" s="1143"/>
      <c r="G57" s="1143"/>
      <c r="H57" s="1143"/>
      <c r="I57" s="1143"/>
      <c r="J57" s="1143"/>
      <c r="K57" s="1104"/>
      <c r="L57" s="1105"/>
      <c r="M57" s="1143"/>
      <c r="N57" s="1143"/>
      <c r="O57" s="1143"/>
    </row>
    <row r="58" spans="1:29" ht="21.75" thickBot="1">
      <c r="A58" s="763" t="s">
        <v>2663</v>
      </c>
      <c r="B58" s="759"/>
      <c r="C58" s="764"/>
      <c r="D58" s="764"/>
      <c r="E58" s="764"/>
      <c r="F58" s="765"/>
      <c r="G58" s="765"/>
      <c r="H58" s="764"/>
      <c r="I58" s="764"/>
      <c r="J58" s="764"/>
      <c r="K58" s="766"/>
      <c r="L58" s="1160"/>
      <c r="M58" s="1158"/>
      <c r="N58" s="1158"/>
      <c r="O58" s="1158"/>
      <c r="P58" s="2670"/>
      <c r="Q58" s="504"/>
    </row>
    <row r="59" spans="1:29" s="508" customFormat="1" ht="15">
      <c r="A59" s="505" t="s">
        <v>2537</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c r="E60" s="512"/>
      <c r="F60" s="512"/>
      <c r="G60" s="512"/>
      <c r="H60" s="512"/>
      <c r="I60" s="512"/>
      <c r="J60" s="512"/>
      <c r="K60" s="512"/>
      <c r="L60" s="512"/>
      <c r="M60" s="513"/>
      <c r="N60" s="512"/>
      <c r="O60" s="513"/>
      <c r="P60" s="2671"/>
    </row>
    <row r="61" spans="1:29" s="117" customFormat="1" ht="15.75" thickBot="1">
      <c r="A61" s="515" t="s">
        <v>2574</v>
      </c>
      <c r="B61" s="516"/>
      <c r="C61" s="517"/>
      <c r="D61" s="518"/>
      <c r="E61" s="518"/>
      <c r="F61" s="518"/>
      <c r="G61" s="518"/>
      <c r="H61" s="518"/>
      <c r="I61" s="518"/>
      <c r="J61" s="518"/>
      <c r="K61" s="518"/>
      <c r="L61" s="518"/>
      <c r="M61" s="519"/>
      <c r="N61" s="518"/>
      <c r="O61" s="519"/>
      <c r="P61" s="2671"/>
      <c r="Q61" s="504"/>
    </row>
    <row r="62" spans="1:29" s="117" customFormat="1" ht="15">
      <c r="A62" s="521" t="s">
        <v>2539</v>
      </c>
      <c r="B62" s="510"/>
      <c r="C62" s="522" t="s">
        <v>2641</v>
      </c>
      <c r="D62" s="523"/>
      <c r="E62" s="523"/>
      <c r="F62" s="523"/>
      <c r="G62" s="523"/>
      <c r="H62" s="523"/>
      <c r="I62" s="523"/>
      <c r="J62" s="523"/>
      <c r="K62" s="523"/>
      <c r="L62" s="524"/>
      <c r="M62" s="525"/>
      <c r="N62" s="1150"/>
      <c r="O62" s="1150"/>
      <c r="P62" s="2672"/>
      <c r="Q62" s="504"/>
    </row>
    <row r="63" spans="1:29" s="117" customFormat="1" ht="15.75" thickBot="1">
      <c r="A63" s="521"/>
      <c r="B63" s="510"/>
      <c r="C63" s="511">
        <v>100</v>
      </c>
      <c r="D63" s="512"/>
      <c r="E63" s="512"/>
      <c r="F63" s="512"/>
      <c r="G63" s="512"/>
      <c r="H63" s="512"/>
      <c r="I63" s="512"/>
      <c r="J63" s="512"/>
      <c r="K63" s="512"/>
      <c r="L63" s="512"/>
      <c r="M63" s="514"/>
      <c r="N63" s="1150"/>
      <c r="O63" s="1150"/>
      <c r="P63" s="2671"/>
      <c r="Q63" s="504"/>
    </row>
    <row r="64" spans="1:29">
      <c r="A64" s="527" t="s">
        <v>2577</v>
      </c>
      <c r="B64" s="528" t="s">
        <v>2543</v>
      </c>
      <c r="C64" s="529">
        <f>C9</f>
        <v>0</v>
      </c>
      <c r="D64" s="530"/>
      <c r="E64" s="530"/>
      <c r="F64" s="530"/>
      <c r="G64" s="530"/>
      <c r="H64" s="530"/>
      <c r="I64" s="530"/>
      <c r="J64" s="530"/>
      <c r="K64" s="531"/>
      <c r="L64" s="532"/>
      <c r="M64" s="533"/>
      <c r="N64" s="1151"/>
      <c r="O64" s="1151"/>
      <c r="P64" s="2673"/>
      <c r="Q64" s="504"/>
    </row>
    <row r="65" spans="1:17" ht="15.75" thickBot="1">
      <c r="A65" s="534"/>
      <c r="B65" s="535"/>
      <c r="C65" s="536">
        <v>100</v>
      </c>
      <c r="D65" s="536"/>
      <c r="E65" s="536"/>
      <c r="F65" s="536"/>
      <c r="G65" s="536"/>
      <c r="H65" s="536"/>
      <c r="I65" s="536"/>
      <c r="J65" s="536"/>
      <c r="K65" s="536"/>
      <c r="L65" s="536"/>
      <c r="M65" s="537"/>
      <c r="N65" s="1152"/>
      <c r="O65" s="1152"/>
      <c r="P65" s="267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3"/>
      <c r="Q68" s="504"/>
    </row>
    <row r="69" spans="1:17" ht="15">
      <c r="A69" s="534"/>
      <c r="B69" s="548"/>
      <c r="C69" s="549"/>
      <c r="D69" s="549"/>
      <c r="E69" s="549"/>
      <c r="F69" s="549"/>
      <c r="G69" s="549"/>
      <c r="H69" s="549"/>
      <c r="I69" s="549"/>
      <c r="J69" s="549"/>
      <c r="K69" s="550"/>
      <c r="L69" s="551"/>
      <c r="M69" s="552"/>
      <c r="N69" s="1151"/>
      <c r="O69" s="1151"/>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3"/>
      <c r="Q70" s="504"/>
    </row>
    <row r="71" spans="1:17" s="471" customFormat="1" ht="15.75" thickTop="1">
      <c r="A71" s="553"/>
      <c r="B71" s="538">
        <f>B12</f>
        <v>111</v>
      </c>
      <c r="C71" s="554"/>
      <c r="D71" s="554"/>
      <c r="E71" s="554"/>
      <c r="F71" s="554"/>
      <c r="G71" s="554"/>
      <c r="H71" s="555"/>
      <c r="I71" s="555"/>
      <c r="J71" s="555"/>
      <c r="K71" s="555"/>
      <c r="L71" s="556"/>
      <c r="M71" s="557"/>
      <c r="N71" s="1153"/>
      <c r="O71" s="1153"/>
      <c r="P71" s="2674"/>
      <c r="Q71" s="559"/>
    </row>
    <row r="72" spans="1:17" s="471" customFormat="1" ht="15.75" thickBot="1">
      <c r="A72" s="553"/>
      <c r="B72" s="543"/>
      <c r="C72" s="560"/>
      <c r="D72" s="536"/>
      <c r="E72" s="536"/>
      <c r="F72" s="536"/>
      <c r="G72" s="536"/>
      <c r="H72" s="536"/>
      <c r="I72" s="536"/>
      <c r="J72" s="536"/>
      <c r="K72" s="536"/>
      <c r="L72" s="536"/>
      <c r="M72" s="537"/>
      <c r="N72" s="1152"/>
      <c r="O72" s="1152"/>
      <c r="P72" s="2674"/>
      <c r="Q72" s="559"/>
    </row>
    <row r="73" spans="1:17" s="471" customFormat="1" ht="15.75" thickTop="1">
      <c r="A73" s="553"/>
      <c r="B73" s="538">
        <f>B13</f>
        <v>111</v>
      </c>
      <c r="C73" s="554"/>
      <c r="D73" s="554"/>
      <c r="E73" s="554"/>
      <c r="F73" s="554"/>
      <c r="G73" s="554"/>
      <c r="H73" s="555"/>
      <c r="I73" s="555"/>
      <c r="J73" s="555"/>
      <c r="K73" s="555"/>
      <c r="L73" s="556"/>
      <c r="M73" s="557"/>
      <c r="N73" s="1153"/>
      <c r="O73" s="1153"/>
      <c r="P73" s="2675"/>
      <c r="Q73" s="561"/>
    </row>
    <row r="74" spans="1:17" s="471" customFormat="1" ht="15.75" thickBot="1">
      <c r="A74" s="553"/>
      <c r="B74" s="543"/>
      <c r="C74" s="560"/>
      <c r="D74" s="560"/>
      <c r="E74" s="560"/>
      <c r="F74" s="560"/>
      <c r="G74" s="560"/>
      <c r="H74" s="562"/>
      <c r="I74" s="562"/>
      <c r="J74" s="562"/>
      <c r="K74" s="562"/>
      <c r="L74" s="562"/>
      <c r="M74" s="563"/>
      <c r="N74" s="1153"/>
      <c r="O74" s="1153"/>
      <c r="P74" s="2674"/>
      <c r="Q74" s="559"/>
    </row>
    <row r="75" spans="1:17" s="471" customFormat="1" ht="15.75" thickTop="1">
      <c r="A75" s="553"/>
      <c r="B75" s="546">
        <f>B14</f>
        <v>111</v>
      </c>
      <c r="C75" s="523"/>
      <c r="D75" s="523"/>
      <c r="E75" s="523"/>
      <c r="F75" s="523"/>
      <c r="G75" s="523"/>
      <c r="H75" s="564"/>
      <c r="I75" s="564"/>
      <c r="J75" s="564"/>
      <c r="K75" s="564"/>
      <c r="L75" s="565"/>
      <c r="M75" s="566"/>
      <c r="N75" s="1153"/>
      <c r="O75" s="1153"/>
      <c r="P75" s="2676"/>
      <c r="Q75" s="559"/>
    </row>
    <row r="76" spans="1:17" s="471" customFormat="1" ht="15.75" thickBot="1">
      <c r="A76" s="568"/>
      <c r="B76" s="569"/>
      <c r="C76" s="570"/>
      <c r="D76" s="570"/>
      <c r="E76" s="570"/>
      <c r="F76" s="570"/>
      <c r="G76" s="570"/>
      <c r="H76" s="571"/>
      <c r="I76" s="571"/>
      <c r="J76" s="571"/>
      <c r="K76" s="571"/>
      <c r="L76" s="571"/>
      <c r="M76" s="572"/>
      <c r="N76" s="1153"/>
      <c r="O76" s="1153"/>
      <c r="P76" s="267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3"/>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3"/>
      <c r="Q86" s="504"/>
    </row>
    <row r="87" spans="1:17" s="117" customFormat="1" ht="27.75" thickTop="1">
      <c r="A87" s="579"/>
      <c r="B87" s="538" t="s">
        <v>2688</v>
      </c>
      <c r="C87" s="554"/>
      <c r="D87" s="554"/>
      <c r="E87" s="554"/>
      <c r="F87" s="554"/>
      <c r="G87" s="554"/>
      <c r="H87" s="554"/>
      <c r="I87" s="554"/>
      <c r="J87" s="554"/>
      <c r="K87" s="554"/>
      <c r="L87" s="580"/>
      <c r="M87" s="581"/>
      <c r="N87" s="1150"/>
      <c r="O87" s="1150"/>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3"/>
      <c r="Q88" s="504"/>
    </row>
    <row r="89" spans="1:17" s="117" customFormat="1" ht="15.75" thickTop="1">
      <c r="A89" s="579"/>
      <c r="B89" s="538" t="str">
        <f>B27</f>
        <v>楼层</v>
      </c>
      <c r="C89" s="554"/>
      <c r="D89" s="554"/>
      <c r="E89" s="554"/>
      <c r="F89" s="2624"/>
      <c r="G89" s="554"/>
      <c r="H89" s="554"/>
      <c r="I89" s="554"/>
      <c r="J89" s="554"/>
      <c r="K89" s="554"/>
      <c r="L89" s="554"/>
      <c r="M89" s="581"/>
      <c r="N89" s="1150"/>
      <c r="O89" s="1150"/>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4"/>
      <c r="Q92" s="559"/>
    </row>
    <row r="93" spans="1:17" ht="15.75" thickTop="1">
      <c r="A93" s="534"/>
      <c r="B93" s="538">
        <f>B29</f>
        <v>111</v>
      </c>
      <c r="C93" s="554"/>
      <c r="D93" s="554"/>
      <c r="E93" s="554"/>
      <c r="F93" s="554"/>
      <c r="G93" s="554"/>
      <c r="H93" s="554"/>
      <c r="I93" s="554"/>
      <c r="J93" s="554"/>
      <c r="K93" s="554"/>
      <c r="L93" s="580"/>
      <c r="M93" s="581"/>
      <c r="N93" s="1151"/>
      <c r="O93" s="1151"/>
      <c r="P93" s="2673"/>
      <c r="Q93" s="504"/>
    </row>
    <row r="94" spans="1:17" ht="15.75" thickBot="1">
      <c r="A94" s="534"/>
      <c r="B94" s="543"/>
      <c r="C94" s="560"/>
      <c r="D94" s="536"/>
      <c r="E94" s="536"/>
      <c r="F94" s="536"/>
      <c r="G94" s="536"/>
      <c r="H94" s="536"/>
      <c r="I94" s="536"/>
      <c r="J94" s="536"/>
      <c r="K94" s="536"/>
      <c r="L94" s="536"/>
      <c r="M94" s="537"/>
      <c r="N94" s="1152"/>
      <c r="O94" s="1152"/>
      <c r="P94" s="2673"/>
      <c r="Q94" s="504"/>
    </row>
    <row r="95" spans="1:17" ht="15.75" thickTop="1">
      <c r="A95" s="534"/>
      <c r="B95" s="538">
        <f>B30</f>
        <v>111</v>
      </c>
      <c r="C95" s="554"/>
      <c r="D95" s="554"/>
      <c r="E95" s="554"/>
      <c r="F95" s="554"/>
      <c r="G95" s="583"/>
      <c r="H95" s="583"/>
      <c r="I95" s="583"/>
      <c r="J95" s="583"/>
      <c r="K95" s="584"/>
      <c r="L95" s="585"/>
      <c r="M95" s="586"/>
      <c r="N95" s="1151"/>
      <c r="O95" s="1151"/>
      <c r="P95" s="2673"/>
      <c r="Q95" s="504"/>
    </row>
    <row r="96" spans="1:17" ht="15.75" thickBot="1">
      <c r="A96" s="534"/>
      <c r="B96" s="543"/>
      <c r="C96" s="560"/>
      <c r="D96" s="560"/>
      <c r="E96" s="560"/>
      <c r="F96" s="560"/>
      <c r="G96" s="536"/>
      <c r="H96" s="536"/>
      <c r="I96" s="536"/>
      <c r="J96" s="536"/>
      <c r="K96" s="536"/>
      <c r="L96" s="536"/>
      <c r="M96" s="537"/>
      <c r="N96" s="1152"/>
      <c r="O96" s="1152"/>
      <c r="P96" s="2673"/>
      <c r="Q96" s="504"/>
    </row>
    <row r="97" spans="1:17" ht="15.75" thickTop="1">
      <c r="A97" s="534"/>
      <c r="B97" s="538">
        <f>B31</f>
        <v>111</v>
      </c>
      <c r="C97" s="554"/>
      <c r="D97" s="554"/>
      <c r="E97" s="554"/>
      <c r="F97" s="554"/>
      <c r="G97" s="583"/>
      <c r="H97" s="583"/>
      <c r="I97" s="583"/>
      <c r="J97" s="583"/>
      <c r="K97" s="584"/>
      <c r="L97" s="585"/>
      <c r="M97" s="586"/>
      <c r="N97" s="1151"/>
      <c r="O97" s="1151"/>
      <c r="P97" s="2673"/>
      <c r="Q97" s="504"/>
    </row>
    <row r="98" spans="1:17" ht="15.75" thickBot="1">
      <c r="A98" s="534"/>
      <c r="B98" s="543"/>
      <c r="C98" s="560"/>
      <c r="D98" s="536"/>
      <c r="E98" s="536"/>
      <c r="F98" s="536"/>
      <c r="G98" s="536"/>
      <c r="H98" s="536"/>
      <c r="I98" s="536"/>
      <c r="J98" s="536"/>
      <c r="K98" s="536"/>
      <c r="L98" s="536"/>
      <c r="M98" s="537"/>
      <c r="N98" s="1152"/>
      <c r="O98" s="1152"/>
      <c r="P98" s="2673"/>
      <c r="Q98" s="504"/>
    </row>
    <row r="99" spans="1:17" ht="15.75" thickTop="1">
      <c r="A99" s="534"/>
      <c r="B99" s="546">
        <f>B32</f>
        <v>111</v>
      </c>
      <c r="C99" s="523"/>
      <c r="D99" s="523"/>
      <c r="E99" s="523"/>
      <c r="F99" s="523"/>
      <c r="G99" s="587"/>
      <c r="H99" s="587"/>
      <c r="I99" s="587"/>
      <c r="J99" s="587"/>
      <c r="K99" s="588"/>
      <c r="L99" s="589"/>
      <c r="M99" s="590"/>
      <c r="N99" s="1151"/>
      <c r="O99" s="1151"/>
      <c r="P99" s="2673"/>
      <c r="Q99" s="504"/>
    </row>
    <row r="100" spans="1:17" ht="15.75" thickBot="1">
      <c r="A100" s="2625"/>
      <c r="B100" s="569"/>
      <c r="C100" s="570"/>
      <c r="D100" s="570"/>
      <c r="E100" s="570"/>
      <c r="F100" s="570"/>
      <c r="G100" s="591"/>
      <c r="H100" s="591"/>
      <c r="I100" s="591"/>
      <c r="J100" s="591"/>
      <c r="K100" s="591"/>
      <c r="L100" s="591"/>
      <c r="M100" s="592"/>
      <c r="N100" s="1152"/>
      <c r="O100" s="1152"/>
      <c r="P100" s="2673"/>
      <c r="Q100" s="504"/>
    </row>
    <row r="101" spans="1:17">
      <c r="A101" s="527" t="s">
        <v>2552</v>
      </c>
      <c r="B101" s="528" t="s">
        <v>2601</v>
      </c>
      <c r="C101" s="530"/>
      <c r="D101" s="530"/>
      <c r="E101" s="530"/>
      <c r="F101" s="530"/>
      <c r="G101" s="530"/>
      <c r="H101" s="530"/>
      <c r="I101" s="530"/>
      <c r="J101" s="530"/>
      <c r="K101" s="531"/>
      <c r="L101" s="532"/>
      <c r="M101" s="533"/>
      <c r="N101" s="1151"/>
      <c r="O101" s="1151"/>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3"/>
      <c r="Q103" s="504"/>
    </row>
    <row r="104" spans="1:17" s="471" customFormat="1">
      <c r="A104" s="593"/>
      <c r="B104" s="594"/>
      <c r="C104" s="595"/>
      <c r="D104" s="595"/>
      <c r="E104" s="595"/>
      <c r="F104" s="595"/>
      <c r="G104" s="595"/>
      <c r="H104" s="595"/>
      <c r="I104" s="595"/>
      <c r="J104" s="596"/>
      <c r="K104" s="596"/>
      <c r="L104" s="597"/>
      <c r="M104" s="598"/>
      <c r="N104" s="1153"/>
      <c r="O104" s="1153"/>
      <c r="P104" s="267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4"/>
      <c r="Q105" s="559"/>
    </row>
    <row r="106" spans="1:17" ht="15" thickTop="1">
      <c r="A106" s="599"/>
      <c r="B106" s="538" t="s">
        <v>2603</v>
      </c>
      <c r="C106" s="554"/>
      <c r="D106" s="554"/>
      <c r="E106" s="583"/>
      <c r="F106" s="583"/>
      <c r="G106" s="583"/>
      <c r="H106" s="583"/>
      <c r="I106" s="583"/>
      <c r="J106" s="583"/>
      <c r="K106" s="584"/>
      <c r="L106" s="585"/>
      <c r="M106" s="586"/>
      <c r="N106" s="1151"/>
      <c r="O106" s="1151"/>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3"/>
      <c r="Q107" s="504"/>
    </row>
    <row r="108" spans="1:17" ht="15" thickTop="1">
      <c r="A108" s="599"/>
      <c r="B108" s="538" t="s">
        <v>2605</v>
      </c>
      <c r="C108" s="554"/>
      <c r="D108" s="554"/>
      <c r="E108" s="554"/>
      <c r="F108" s="583"/>
      <c r="G108" s="583"/>
      <c r="H108" s="583"/>
      <c r="I108" s="583"/>
      <c r="J108" s="583"/>
      <c r="K108" s="584"/>
      <c r="L108" s="585"/>
      <c r="M108" s="586"/>
      <c r="N108" s="1151"/>
      <c r="O108" s="1151"/>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3"/>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4"/>
      <c r="Q114" s="559"/>
    </row>
    <row r="115" spans="1:17" ht="15" thickTop="1">
      <c r="A115" s="599"/>
      <c r="B115" s="538" t="s">
        <v>2606</v>
      </c>
      <c r="C115" s="554"/>
      <c r="D115" s="554"/>
      <c r="E115" s="583"/>
      <c r="F115" s="583"/>
      <c r="G115" s="583"/>
      <c r="H115" s="583"/>
      <c r="I115" s="583"/>
      <c r="J115" s="583"/>
      <c r="K115" s="584"/>
      <c r="L115" s="585"/>
      <c r="M115" s="586"/>
      <c r="N115" s="1151"/>
      <c r="O115" s="1151"/>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3"/>
      <c r="Q116" s="504"/>
    </row>
    <row r="117" spans="1:17" ht="15" thickTop="1">
      <c r="A117" s="599"/>
      <c r="B117" s="538" t="s">
        <v>2607</v>
      </c>
      <c r="C117" s="554"/>
      <c r="D117" s="554"/>
      <c r="E117" s="554"/>
      <c r="F117" s="554"/>
      <c r="G117" s="554"/>
      <c r="H117" s="583"/>
      <c r="I117" s="583"/>
      <c r="J117" s="583"/>
      <c r="K117" s="584"/>
      <c r="L117" s="585"/>
      <c r="M117" s="586"/>
      <c r="N117" s="1151"/>
      <c r="O117" s="1151"/>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3"/>
      <c r="Q118" s="504"/>
    </row>
    <row r="119" spans="1:17" ht="15" thickTop="1">
      <c r="A119" s="599"/>
      <c r="B119" s="636" t="s">
        <v>2690</v>
      </c>
      <c r="C119" s="583"/>
      <c r="D119" s="583"/>
      <c r="E119" s="583"/>
      <c r="F119" s="583"/>
      <c r="G119" s="583"/>
      <c r="H119" s="583"/>
      <c r="I119" s="583"/>
      <c r="J119" s="583"/>
      <c r="K119" s="583"/>
      <c r="L119" s="2678"/>
      <c r="M119" s="2679"/>
      <c r="N119" s="1152"/>
      <c r="O119" s="1152"/>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3"/>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4"/>
      <c r="Q122" s="559"/>
    </row>
    <row r="123" spans="1:17" ht="15" thickTop="1">
      <c r="A123" s="599"/>
      <c r="B123" s="538" t="s">
        <v>2609</v>
      </c>
      <c r="C123" s="554"/>
      <c r="D123" s="554"/>
      <c r="E123" s="554"/>
      <c r="F123" s="583"/>
      <c r="G123" s="583"/>
      <c r="H123" s="583"/>
      <c r="I123" s="583"/>
      <c r="J123" s="583"/>
      <c r="K123" s="584"/>
      <c r="L123" s="585"/>
      <c r="M123" s="586"/>
      <c r="N123" s="1151"/>
      <c r="O123" s="1151"/>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4"/>
      <c r="Q128" s="559"/>
    </row>
    <row r="129" spans="1:17" ht="15" thickTop="1">
      <c r="A129" s="599"/>
      <c r="B129" s="538">
        <f>B46</f>
        <v>111</v>
      </c>
      <c r="C129" s="554"/>
      <c r="D129" s="554"/>
      <c r="E129" s="554"/>
      <c r="F129" s="554"/>
      <c r="G129" s="583"/>
      <c r="H129" s="583"/>
      <c r="I129" s="583"/>
      <c r="J129" s="583"/>
      <c r="K129" s="584"/>
      <c r="L129" s="585"/>
      <c r="M129" s="586"/>
      <c r="N129" s="1151"/>
      <c r="O129" s="1151"/>
      <c r="P129" s="2673"/>
      <c r="Q129" s="504"/>
    </row>
    <row r="130" spans="1:17" ht="15.75" thickBot="1">
      <c r="A130" s="534"/>
      <c r="B130" s="543"/>
      <c r="C130" s="560"/>
      <c r="D130" s="560"/>
      <c r="E130" s="560"/>
      <c r="F130" s="560"/>
      <c r="G130" s="536"/>
      <c r="H130" s="536"/>
      <c r="I130" s="536"/>
      <c r="J130" s="536"/>
      <c r="K130" s="536"/>
      <c r="L130" s="536"/>
      <c r="M130" s="537"/>
      <c r="N130" s="1152"/>
      <c r="O130" s="1152"/>
      <c r="P130" s="2673"/>
      <c r="Q130" s="504"/>
    </row>
    <row r="131" spans="1:17" ht="15" thickTop="1">
      <c r="A131" s="599"/>
      <c r="B131" s="546">
        <f>B47</f>
        <v>111</v>
      </c>
      <c r="C131" s="523"/>
      <c r="D131" s="523"/>
      <c r="E131" s="523"/>
      <c r="F131" s="523"/>
      <c r="G131" s="587"/>
      <c r="H131" s="587"/>
      <c r="I131" s="587"/>
      <c r="J131" s="587"/>
      <c r="K131" s="523"/>
      <c r="L131" s="524"/>
      <c r="M131" s="590"/>
      <c r="N131" s="1151"/>
      <c r="O131" s="1151"/>
      <c r="P131" s="2673"/>
      <c r="Q131" s="504"/>
    </row>
    <row r="132" spans="1:17" ht="15.75" thickBot="1">
      <c r="A132" s="2625"/>
      <c r="B132" s="569"/>
      <c r="C132" s="570"/>
      <c r="D132" s="570"/>
      <c r="E132" s="570"/>
      <c r="F132" s="570"/>
      <c r="G132" s="591"/>
      <c r="H132" s="591"/>
      <c r="I132" s="591"/>
      <c r="J132" s="591"/>
      <c r="K132" s="591"/>
      <c r="L132" s="591"/>
      <c r="M132" s="592"/>
      <c r="N132" s="1152"/>
      <c r="O132" s="1152"/>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958"/>
      <c r="B4" s="3277" t="s">
        <v>1625</v>
      </c>
      <c r="C4" s="3277"/>
      <c r="D4" s="3277"/>
      <c r="E4" s="1958"/>
    </row>
    <row r="5" spans="1:5" ht="16.5" thickTop="1">
      <c r="A5" s="1956"/>
      <c r="B5" s="3275" t="s">
        <v>1617</v>
      </c>
      <c r="C5" s="1959" t="s">
        <v>1618</v>
      </c>
      <c r="D5" s="1040">
        <f ca="1">结果表!H101</f>
        <v>162198</v>
      </c>
      <c r="E5" s="1956"/>
    </row>
    <row r="6" spans="1:5" ht="15.75">
      <c r="A6" s="1956"/>
      <c r="B6" s="3275"/>
      <c r="C6" s="1959" t="s">
        <v>1619</v>
      </c>
      <c r="D6" s="1040" t="str">
        <f ca="1">NUMBERSTRING(INT(D5*10000),2)&amp;"元整"</f>
        <v>壹拾陆亿贰仟壹佰玖拾捌万元整</v>
      </c>
      <c r="E6" s="1956"/>
    </row>
    <row r="7" spans="1:5" ht="15.75">
      <c r="A7" s="1956"/>
      <c r="B7" s="3280"/>
      <c r="C7" s="1960" t="s">
        <v>1620</v>
      </c>
      <c r="D7" s="1041">
        <f ca="1">结果表!H102</f>
        <v>80336</v>
      </c>
      <c r="E7" s="1956"/>
    </row>
    <row r="8" spans="1:5" ht="15.75">
      <c r="A8" s="1956"/>
      <c r="B8" s="3281" t="str">
        <f>结果表!E103</f>
        <v>2.估价师知悉的法定优先受偿款</v>
      </c>
      <c r="C8" s="1961" t="s">
        <v>1621</v>
      </c>
      <c r="D8" s="1041">
        <f>结果表!H103</f>
        <v>0</v>
      </c>
      <c r="E8" s="1956"/>
    </row>
    <row r="9" spans="1:5" ht="15.75">
      <c r="A9" s="1956"/>
      <c r="B9" s="3283"/>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3274" t="str">
        <f>结果表!E107</f>
        <v>3.房地产抵押价值</v>
      </c>
      <c r="C13" s="1964" t="s">
        <v>1618</v>
      </c>
      <c r="D13" s="1043">
        <f ca="1">结果表!H107</f>
        <v>162198</v>
      </c>
      <c r="E13" s="1956"/>
    </row>
    <row r="14" spans="1:5" ht="15.75">
      <c r="A14" s="1956"/>
      <c r="B14" s="3275"/>
      <c r="C14" s="1959" t="s">
        <v>1619</v>
      </c>
      <c r="D14" s="1040" t="str">
        <f ca="1">NUMBERSTRING(INT(D13*10000),2)&amp;"元整"</f>
        <v>壹拾陆亿贰仟壹佰玖拾捌万元整</v>
      </c>
      <c r="E14" s="1956"/>
    </row>
    <row r="15" spans="1:5" ht="15">
      <c r="A15" s="1956"/>
      <c r="B15" s="3280"/>
      <c r="C15" s="1960" t="s">
        <v>1629</v>
      </c>
      <c r="D15" s="1052">
        <f ca="1">结果表!H108</f>
        <v>65540</v>
      </c>
      <c r="E15" s="1956"/>
    </row>
    <row r="16" spans="1:5" ht="15">
      <c r="A16" s="1956"/>
      <c r="B16" s="3281" t="str">
        <f>结果表!E109</f>
        <v>——</v>
      </c>
      <c r="C16" s="1964" t="s">
        <v>1630</v>
      </c>
      <c r="D16" s="1965" t="str">
        <f>结果表!H109</f>
        <v>——</v>
      </c>
      <c r="E16" s="1956"/>
    </row>
    <row r="17" spans="1:5" ht="15.75">
      <c r="A17" s="1956"/>
      <c r="B17" s="3282"/>
      <c r="C17" s="1959" t="s">
        <v>1631</v>
      </c>
      <c r="D17" s="1040" t="e">
        <f>NUMBERSTRING(INT(D16*10000),2)&amp;"元整"</f>
        <v>#VALUE!</v>
      </c>
      <c r="E17" s="1956"/>
    </row>
    <row r="18" spans="1:5" ht="15">
      <c r="A18" s="1956"/>
      <c r="B18" s="3283"/>
      <c r="C18" s="1960" t="s">
        <v>1620</v>
      </c>
      <c r="D18" s="1052" t="str">
        <f>结果表!H110</f>
        <v>——</v>
      </c>
      <c r="E18" s="1956"/>
    </row>
    <row r="19" spans="1:5" ht="15.75">
      <c r="A19" s="1956"/>
      <c r="B19" s="3274" t="str">
        <f>结果表!E111</f>
        <v>——</v>
      </c>
      <c r="C19" s="1964" t="s">
        <v>1618</v>
      </c>
      <c r="D19" s="1041" t="str">
        <f>结果表!H111</f>
        <v>——</v>
      </c>
      <c r="E19" s="1956"/>
    </row>
    <row r="20" spans="1:5" ht="15.75">
      <c r="A20" s="1956"/>
      <c r="B20" s="3275"/>
      <c r="C20" s="1959" t="s">
        <v>1631</v>
      </c>
      <c r="D20" s="1040" t="e">
        <f>NUMBERSTRING(INT(D19*10000),2)&amp;"元整"</f>
        <v>#VALUE!</v>
      </c>
      <c r="E20" s="1956"/>
    </row>
    <row r="21" spans="1:5" ht="15.75" thickBot="1">
      <c r="A21" s="1956"/>
      <c r="B21" s="3276"/>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2691</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IF(C2="——",ROUND(C43*D3/10000,0),ROUND(C43*D3/10000,0)-D2)</f>
        <v>#DIV/0!</v>
      </c>
      <c r="C2" s="2575"/>
      <c r="D2" s="1123"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24747.89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91" t="s">
        <v>2635</v>
      </c>
      <c r="D4" s="3492"/>
      <c r="E4" s="3493" t="s">
        <v>2636</v>
      </c>
      <c r="F4" s="3494"/>
      <c r="G4" s="3491" t="s">
        <v>2637</v>
      </c>
      <c r="H4" s="3492"/>
      <c r="I4" s="3491" t="s">
        <v>2638</v>
      </c>
      <c r="J4" s="3492"/>
      <c r="K4" s="610" t="s">
        <v>2639</v>
      </c>
      <c r="L4" s="1129"/>
      <c r="M4" s="1130"/>
      <c r="N4" s="1130"/>
      <c r="O4" s="1130"/>
      <c r="P4" s="3495" t="s">
        <v>2640</v>
      </c>
      <c r="Q4" s="3496"/>
      <c r="R4" s="3481" t="s">
        <v>2636</v>
      </c>
      <c r="S4" s="3482"/>
      <c r="T4" s="3481" t="s">
        <v>2637</v>
      </c>
      <c r="U4" s="3482"/>
      <c r="V4" s="3487" t="s">
        <v>2638</v>
      </c>
      <c r="W4" s="3487"/>
      <c r="X4" s="1811"/>
      <c r="Y4" s="3481" t="s">
        <v>2640</v>
      </c>
      <c r="Z4" s="3482"/>
      <c r="AA4" s="3488" t="s">
        <v>2636</v>
      </c>
      <c r="AB4" s="3489" t="s">
        <v>2637</v>
      </c>
      <c r="AC4" s="3488" t="s">
        <v>2638</v>
      </c>
    </row>
    <row r="5" spans="1:29" ht="15">
      <c r="A5" s="404"/>
      <c r="B5" s="405"/>
      <c r="C5" s="3505" t="s">
        <v>2531</v>
      </c>
      <c r="D5" s="3502"/>
      <c r="E5" s="3606" t="s">
        <v>2532</v>
      </c>
      <c r="F5" s="3504"/>
      <c r="G5" s="3505" t="s">
        <v>2533</v>
      </c>
      <c r="H5" s="3502"/>
      <c r="I5" s="3505" t="s">
        <v>2534</v>
      </c>
      <c r="J5" s="3502"/>
      <c r="K5" s="610"/>
      <c r="L5" s="1129"/>
      <c r="M5" s="1130"/>
      <c r="N5" s="1130"/>
      <c r="O5" s="1130"/>
      <c r="P5" s="3497"/>
      <c r="Q5" s="3498"/>
      <c r="R5" s="3483"/>
      <c r="S5" s="3484"/>
      <c r="T5" s="3483"/>
      <c r="U5" s="3484"/>
      <c r="V5" s="3487"/>
      <c r="W5" s="3487"/>
      <c r="X5" s="1811"/>
      <c r="Y5" s="3483"/>
      <c r="Z5" s="3484"/>
      <c r="AA5" s="3489"/>
      <c r="AB5" s="3489"/>
      <c r="AC5" s="3489"/>
    </row>
    <row r="6" spans="1:29" ht="15.75" thickBot="1">
      <c r="A6" s="406"/>
      <c r="B6" s="407"/>
      <c r="C6" s="3476" t="s">
        <v>2535</v>
      </c>
      <c r="D6" s="3477"/>
      <c r="E6" s="3478" t="s">
        <v>2535</v>
      </c>
      <c r="F6" s="3479"/>
      <c r="G6" s="3476" t="s">
        <v>2535</v>
      </c>
      <c r="H6" s="3477"/>
      <c r="I6" s="3476" t="s">
        <v>2535</v>
      </c>
      <c r="J6" s="3477"/>
      <c r="K6" s="610" t="s">
        <v>2536</v>
      </c>
      <c r="L6" s="1129"/>
      <c r="M6" s="1130"/>
      <c r="N6" s="1130"/>
      <c r="O6" s="1130"/>
      <c r="P6" s="3499"/>
      <c r="Q6" s="3500"/>
      <c r="R6" s="3483"/>
      <c r="S6" s="3484"/>
      <c r="T6" s="3485"/>
      <c r="U6" s="3486"/>
      <c r="V6" s="3487"/>
      <c r="W6" s="3487"/>
      <c r="X6" s="1811"/>
      <c r="Y6" s="3485"/>
      <c r="Z6" s="3486"/>
      <c r="AA6" s="3490"/>
      <c r="AB6" s="3490"/>
      <c r="AC6" s="3490"/>
    </row>
    <row r="7" spans="1:29" s="117" customFormat="1" ht="15.75" thickBot="1">
      <c r="A7" s="408" t="s">
        <v>2537</v>
      </c>
      <c r="B7" s="409"/>
      <c r="C7" s="410">
        <f>'数据-取费表'!B2</f>
        <v>43670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469" t="s">
        <v>2538</v>
      </c>
      <c r="Q7" s="3480"/>
      <c r="R7" s="770" t="s">
        <v>17</v>
      </c>
      <c r="S7" s="771">
        <f t="shared" ref="S7:S15" si="0">F7</f>
        <v>0</v>
      </c>
      <c r="T7" s="770" t="s">
        <v>17</v>
      </c>
      <c r="U7" s="771">
        <f t="shared" ref="U7:U15" si="1">H7</f>
        <v>0</v>
      </c>
      <c r="V7" s="770" t="s">
        <v>17</v>
      </c>
      <c r="W7" s="771">
        <f t="shared" ref="W7:W15" si="2">J7</f>
        <v>0</v>
      </c>
      <c r="X7" s="772"/>
      <c r="Y7" s="3469" t="s">
        <v>2538</v>
      </c>
      <c r="Z7" s="3470"/>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469" t="s">
        <v>2541</v>
      </c>
      <c r="Q8" s="3470"/>
      <c r="R8" s="770" t="s">
        <v>17</v>
      </c>
      <c r="S8" s="771">
        <f t="shared" si="0"/>
        <v>0</v>
      </c>
      <c r="T8" s="770" t="s">
        <v>17</v>
      </c>
      <c r="U8" s="771">
        <f t="shared" si="1"/>
        <v>0</v>
      </c>
      <c r="V8" s="770" t="s">
        <v>17</v>
      </c>
      <c r="W8" s="771">
        <f t="shared" si="2"/>
        <v>0</v>
      </c>
      <c r="X8" s="772"/>
      <c r="Y8" s="3469" t="s">
        <v>2541</v>
      </c>
      <c r="Z8" s="3470"/>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459" t="s">
        <v>2544</v>
      </c>
      <c r="Q9" s="1793" t="str">
        <f t="shared" ref="Q9:Q15" si="6">B9</f>
        <v>用途</v>
      </c>
      <c r="R9" s="770" t="s">
        <v>17</v>
      </c>
      <c r="S9" s="771">
        <f t="shared" si="0"/>
        <v>100</v>
      </c>
      <c r="T9" s="770" t="s">
        <v>17</v>
      </c>
      <c r="U9" s="771">
        <f t="shared" si="1"/>
        <v>100</v>
      </c>
      <c r="V9" s="770" t="s">
        <v>17</v>
      </c>
      <c r="W9" s="771">
        <f t="shared" si="2"/>
        <v>100</v>
      </c>
      <c r="X9" s="772"/>
      <c r="Y9" s="3317"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459"/>
      <c r="Q10" s="1793" t="str">
        <f t="shared" si="6"/>
        <v>土地使用年限（年）</v>
      </c>
      <c r="R10" s="770" t="s">
        <v>17</v>
      </c>
      <c r="S10" s="771">
        <f t="shared" si="0"/>
        <v>100</v>
      </c>
      <c r="T10" s="770" t="s">
        <v>17</v>
      </c>
      <c r="U10" s="771">
        <f t="shared" si="1"/>
        <v>100</v>
      </c>
      <c r="V10" s="770" t="s">
        <v>17</v>
      </c>
      <c r="W10" s="771">
        <f t="shared" si="2"/>
        <v>100</v>
      </c>
      <c r="X10" s="772"/>
      <c r="Y10" s="3317"/>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459"/>
      <c r="Q11" s="1793" t="str">
        <f t="shared" si="6"/>
        <v>容积率</v>
      </c>
      <c r="R11" s="770" t="s">
        <v>17</v>
      </c>
      <c r="S11" s="771" t="e">
        <f t="shared" si="0"/>
        <v>#N/A</v>
      </c>
      <c r="T11" s="770" t="s">
        <v>17</v>
      </c>
      <c r="U11" s="771" t="e">
        <f t="shared" si="1"/>
        <v>#N/A</v>
      </c>
      <c r="V11" s="770" t="s">
        <v>17</v>
      </c>
      <c r="W11" s="771" t="e">
        <f t="shared" si="2"/>
        <v>#N/A</v>
      </c>
      <c r="X11" s="772"/>
      <c r="Y11" s="3317"/>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1"/>
      <c r="M12" s="1132"/>
      <c r="N12" s="1132"/>
      <c r="O12" s="1133"/>
      <c r="P12" s="3459"/>
      <c r="Q12" s="1793">
        <f t="shared" si="6"/>
        <v>111</v>
      </c>
      <c r="R12" s="770" t="s">
        <v>17</v>
      </c>
      <c r="S12" s="771">
        <f t="shared" si="0"/>
        <v>100</v>
      </c>
      <c r="T12" s="770" t="s">
        <v>17</v>
      </c>
      <c r="U12" s="771">
        <f t="shared" si="1"/>
        <v>100</v>
      </c>
      <c r="V12" s="770" t="s">
        <v>17</v>
      </c>
      <c r="W12" s="771">
        <f t="shared" si="2"/>
        <v>100</v>
      </c>
      <c r="X12" s="772"/>
      <c r="Y12" s="3317"/>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9"/>
      <c r="M13" s="1130"/>
      <c r="N13" s="1130"/>
      <c r="O13" s="1138"/>
      <c r="P13" s="3459"/>
      <c r="Q13" s="1793">
        <f t="shared" si="6"/>
        <v>111</v>
      </c>
      <c r="R13" s="770" t="s">
        <v>17</v>
      </c>
      <c r="S13" s="771">
        <f t="shared" si="0"/>
        <v>100</v>
      </c>
      <c r="T13" s="770" t="s">
        <v>17</v>
      </c>
      <c r="U13" s="771">
        <f t="shared" si="1"/>
        <v>100</v>
      </c>
      <c r="V13" s="770" t="s">
        <v>17</v>
      </c>
      <c r="W13" s="771">
        <f t="shared" si="2"/>
        <v>100</v>
      </c>
      <c r="X13" s="772"/>
      <c r="Y13" s="3317"/>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9"/>
      <c r="M14" s="1130"/>
      <c r="N14" s="1130"/>
      <c r="O14" s="1138"/>
      <c r="P14" s="3459"/>
      <c r="Q14" s="1793">
        <f t="shared" si="6"/>
        <v>111</v>
      </c>
      <c r="R14" s="770" t="s">
        <v>17</v>
      </c>
      <c r="S14" s="771">
        <f t="shared" si="0"/>
        <v>100</v>
      </c>
      <c r="T14" s="770" t="s">
        <v>17</v>
      </c>
      <c r="U14" s="771">
        <f t="shared" si="1"/>
        <v>100</v>
      </c>
      <c r="V14" s="770" t="s">
        <v>17</v>
      </c>
      <c r="W14" s="771">
        <f t="shared" si="2"/>
        <v>100</v>
      </c>
      <c r="X14" s="772"/>
      <c r="Y14" s="3317"/>
      <c r="Z14" s="55">
        <f t="shared" si="7"/>
        <v>111</v>
      </c>
      <c r="AA14" s="773">
        <f t="shared" si="3"/>
        <v>1</v>
      </c>
      <c r="AB14" s="773">
        <f t="shared" si="4"/>
        <v>1</v>
      </c>
      <c r="AC14" s="773">
        <f t="shared" si="5"/>
        <v>1</v>
      </c>
    </row>
    <row r="15" spans="1:29" ht="57">
      <c r="A15" s="440" t="s">
        <v>2548</v>
      </c>
      <c r="B15" s="69" t="s">
        <v>2692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474" t="s">
        <v>2549</v>
      </c>
      <c r="Q15" s="1808" t="str">
        <f t="shared" si="6"/>
        <v>产业集聚程度</v>
      </c>
      <c r="R15" s="774" t="s">
        <v>17</v>
      </c>
      <c r="S15" s="775">
        <f t="shared" si="0"/>
        <v>100</v>
      </c>
      <c r="T15" s="774" t="s">
        <v>17</v>
      </c>
      <c r="U15" s="775">
        <f t="shared" si="1"/>
        <v>100</v>
      </c>
      <c r="V15" s="774" t="s">
        <v>17</v>
      </c>
      <c r="W15" s="775">
        <f t="shared" si="2"/>
        <v>100</v>
      </c>
      <c r="X15" s="1811"/>
      <c r="Y15" s="3474"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475"/>
      <c r="Q16" s="1808"/>
      <c r="R16" s="774"/>
      <c r="S16" s="775"/>
      <c r="T16" s="774"/>
      <c r="U16" s="775"/>
      <c r="V16" s="774"/>
      <c r="W16" s="775"/>
      <c r="X16" s="1811"/>
      <c r="Y16" s="3475"/>
      <c r="Z16" s="1812"/>
      <c r="AA16" s="1809">
        <v>1</v>
      </c>
      <c r="AB16" s="1809">
        <v>1</v>
      </c>
      <c r="AC16" s="1809">
        <v>1</v>
      </c>
    </row>
    <row r="17" spans="1:29" ht="85.5">
      <c r="A17" s="428"/>
      <c r="B17" s="451" t="s">
        <v>2086</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475"/>
      <c r="Q17" s="1808" t="str">
        <f>B17</f>
        <v>交通便捷度</v>
      </c>
      <c r="R17" s="774" t="s">
        <v>17</v>
      </c>
      <c r="S17" s="775">
        <f>F17</f>
        <v>100</v>
      </c>
      <c r="T17" s="774" t="s">
        <v>17</v>
      </c>
      <c r="U17" s="775">
        <f>H17</f>
        <v>100</v>
      </c>
      <c r="V17" s="774" t="s">
        <v>17</v>
      </c>
      <c r="W17" s="775">
        <f>J17</f>
        <v>100</v>
      </c>
      <c r="X17" s="1811"/>
      <c r="Y17" s="3475"/>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8"/>
      <c r="P18" s="3475"/>
      <c r="Q18" s="1808"/>
      <c r="R18" s="774"/>
      <c r="S18" s="775"/>
      <c r="T18" s="774"/>
      <c r="U18" s="775"/>
      <c r="V18" s="774"/>
      <c r="W18" s="775"/>
      <c r="X18" s="1811"/>
      <c r="Y18" s="3475"/>
      <c r="Z18" s="1812"/>
      <c r="AA18" s="1809">
        <v>1</v>
      </c>
      <c r="AB18" s="1809">
        <v>1</v>
      </c>
      <c r="AC18" s="1809">
        <v>1</v>
      </c>
    </row>
    <row r="19" spans="1:29" ht="42.75">
      <c r="A19" s="428"/>
      <c r="B19" s="451" t="s">
        <v>2677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475"/>
      <c r="Q19" s="1808" t="str">
        <f>B19</f>
        <v>公共配套设施</v>
      </c>
      <c r="R19" s="774" t="s">
        <v>17</v>
      </c>
      <c r="S19" s="775">
        <f>F19</f>
        <v>100</v>
      </c>
      <c r="T19" s="774" t="s">
        <v>17</v>
      </c>
      <c r="U19" s="775">
        <f>H19</f>
        <v>100</v>
      </c>
      <c r="V19" s="774" t="s">
        <v>17</v>
      </c>
      <c r="W19" s="775">
        <f>J19</f>
        <v>100</v>
      </c>
      <c r="X19" s="1811"/>
      <c r="Y19" s="3475"/>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8"/>
      <c r="P20" s="3475"/>
      <c r="Q20" s="1808"/>
      <c r="R20" s="774"/>
      <c r="S20" s="775"/>
      <c r="T20" s="774"/>
      <c r="U20" s="775"/>
      <c r="V20" s="774"/>
      <c r="W20" s="775"/>
      <c r="X20" s="1811"/>
      <c r="Y20" s="3475"/>
      <c r="Z20" s="1812"/>
      <c r="AA20" s="1809">
        <v>1</v>
      </c>
      <c r="AB20" s="1809">
        <v>1</v>
      </c>
      <c r="AC20" s="1809">
        <v>1</v>
      </c>
    </row>
    <row r="21" spans="1:29" ht="28.5">
      <c r="A21" s="428"/>
      <c r="B21" s="1383" t="s">
        <v>2678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475"/>
      <c r="Q21" s="1808" t="str">
        <f>B21</f>
        <v>基础设施水平</v>
      </c>
      <c r="R21" s="774" t="s">
        <v>17</v>
      </c>
      <c r="S21" s="775">
        <f>F21</f>
        <v>100</v>
      </c>
      <c r="T21" s="774" t="s">
        <v>17</v>
      </c>
      <c r="U21" s="775">
        <f>H21</f>
        <v>100</v>
      </c>
      <c r="V21" s="774" t="s">
        <v>17</v>
      </c>
      <c r="W21" s="775">
        <f>J21</f>
        <v>100</v>
      </c>
      <c r="X21" s="1811"/>
      <c r="Y21" s="3475"/>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8"/>
      <c r="P22" s="3475"/>
      <c r="Q22" s="1808"/>
      <c r="R22" s="774"/>
      <c r="S22" s="775"/>
      <c r="T22" s="774"/>
      <c r="U22" s="775"/>
      <c r="V22" s="774"/>
      <c r="W22" s="775"/>
      <c r="X22" s="1811"/>
      <c r="Y22" s="3475"/>
      <c r="Z22" s="1812"/>
      <c r="AA22" s="1809">
        <v>1</v>
      </c>
      <c r="AB22" s="1809">
        <v>1</v>
      </c>
      <c r="AC22" s="1809">
        <v>1</v>
      </c>
    </row>
    <row r="23" spans="1:29" ht="71.25">
      <c r="A23" s="428"/>
      <c r="B23" s="451" t="s">
        <v>2679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475"/>
      <c r="Q23" s="1808" t="str">
        <f>B23</f>
        <v>环境质量</v>
      </c>
      <c r="R23" s="774" t="s">
        <v>17</v>
      </c>
      <c r="S23" s="775">
        <f>F23</f>
        <v>100</v>
      </c>
      <c r="T23" s="774" t="s">
        <v>17</v>
      </c>
      <c r="U23" s="775">
        <f>H23</f>
        <v>100</v>
      </c>
      <c r="V23" s="774" t="s">
        <v>17</v>
      </c>
      <c r="W23" s="775">
        <f>J23</f>
        <v>100</v>
      </c>
      <c r="X23" s="1811"/>
      <c r="Y23" s="3475"/>
      <c r="Z23" s="1812" t="str">
        <f>Q23</f>
        <v>环境质量</v>
      </c>
      <c r="AA23" s="1809">
        <f t="shared" si="3"/>
        <v>1</v>
      </c>
      <c r="AB23" s="1809">
        <f t="shared" si="4"/>
        <v>1</v>
      </c>
      <c r="AC23" s="1809">
        <f t="shared" si="5"/>
        <v>1</v>
      </c>
    </row>
    <row r="24" spans="1:29" ht="15">
      <c r="A24" s="428"/>
      <c r="B24" s="1383"/>
      <c r="C24" s="447"/>
      <c r="D24" s="448"/>
      <c r="E24" s="2594"/>
      <c r="F24" s="449"/>
      <c r="G24" s="2593"/>
      <c r="H24" s="448"/>
      <c r="I24" s="2594"/>
      <c r="J24" s="448"/>
      <c r="K24" s="615"/>
      <c r="L24" s="1139"/>
      <c r="M24" s="1130"/>
      <c r="N24" s="1130"/>
      <c r="O24" s="1138"/>
      <c r="P24" s="3475"/>
      <c r="Q24" s="1808"/>
      <c r="R24" s="774"/>
      <c r="S24" s="775"/>
      <c r="T24" s="774"/>
      <c r="U24" s="775"/>
      <c r="V24" s="774"/>
      <c r="W24" s="775"/>
      <c r="X24" s="1811"/>
      <c r="Y24" s="3475"/>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475"/>
      <c r="Q25" s="1808">
        <f>B25</f>
        <v>111</v>
      </c>
      <c r="R25" s="774" t="s">
        <v>17</v>
      </c>
      <c r="S25" s="775">
        <f>F25</f>
        <v>100</v>
      </c>
      <c r="T25" s="774" t="s">
        <v>17</v>
      </c>
      <c r="U25" s="775">
        <f>H25</f>
        <v>100</v>
      </c>
      <c r="V25" s="774" t="s">
        <v>17</v>
      </c>
      <c r="W25" s="775">
        <f>J25</f>
        <v>100</v>
      </c>
      <c r="X25" s="1811"/>
      <c r="Y25" s="3475"/>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475"/>
      <c r="Q26" s="1808">
        <f t="shared" ref="Q26:Q40" si="11">B26</f>
        <v>111</v>
      </c>
      <c r="R26" s="774" t="s">
        <v>17</v>
      </c>
      <c r="S26" s="775">
        <f>F26</f>
        <v>100</v>
      </c>
      <c r="T26" s="774" t="s">
        <v>17</v>
      </c>
      <c r="U26" s="775">
        <f>H26</f>
        <v>100</v>
      </c>
      <c r="V26" s="774" t="s">
        <v>17</v>
      </c>
      <c r="W26" s="775">
        <f>J26</f>
        <v>100</v>
      </c>
      <c r="X26" s="1811"/>
      <c r="Y26" s="3475"/>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475"/>
      <c r="Q27" s="1793">
        <f t="shared" si="11"/>
        <v>111</v>
      </c>
      <c r="R27" s="770" t="s">
        <v>17</v>
      </c>
      <c r="S27" s="771">
        <f>F27</f>
        <v>100</v>
      </c>
      <c r="T27" s="770" t="s">
        <v>17</v>
      </c>
      <c r="U27" s="771">
        <f>H27</f>
        <v>100</v>
      </c>
      <c r="V27" s="770" t="s">
        <v>17</v>
      </c>
      <c r="W27" s="771">
        <f>J27</f>
        <v>100</v>
      </c>
      <c r="X27" s="772"/>
      <c r="Y27" s="3475"/>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475"/>
      <c r="Q28" s="1808">
        <f t="shared" si="11"/>
        <v>111</v>
      </c>
      <c r="R28" s="774" t="s">
        <v>17</v>
      </c>
      <c r="S28" s="775">
        <f t="shared" ref="S28:S40" si="12">F28</f>
        <v>100</v>
      </c>
      <c r="T28" s="774" t="s">
        <v>17</v>
      </c>
      <c r="U28" s="775">
        <f t="shared" ref="U28:U40" si="13">H28</f>
        <v>100</v>
      </c>
      <c r="V28" s="774" t="s">
        <v>17</v>
      </c>
      <c r="W28" s="775">
        <f t="shared" ref="W28:W40" si="14">J28</f>
        <v>100</v>
      </c>
      <c r="X28" s="1811"/>
      <c r="Y28" s="3475"/>
      <c r="Z28" s="1812">
        <f t="shared" ref="Z28:Z40" si="15">Q28</f>
        <v>111</v>
      </c>
      <c r="AA28" s="1809">
        <f t="shared" si="3"/>
        <v>1</v>
      </c>
      <c r="AB28" s="1809">
        <f t="shared" si="4"/>
        <v>1</v>
      </c>
      <c r="AC28" s="1809">
        <f t="shared" si="5"/>
        <v>1</v>
      </c>
    </row>
    <row r="29" spans="1:29" ht="28.5">
      <c r="A29" s="466" t="s">
        <v>2552</v>
      </c>
      <c r="B29" s="71" t="s">
        <v>2682</v>
      </c>
      <c r="C29" s="2668"/>
      <c r="D29" s="467">
        <v>100</v>
      </c>
      <c r="E29" s="2668"/>
      <c r="F29" s="461">
        <f>SUMIF(88:88,E29,89:89)-SUMIF(88:88,C29,89:89)+100</f>
        <v>100</v>
      </c>
      <c r="G29" s="2668"/>
      <c r="H29" s="435">
        <f>SUMIF(88:88,G29,89:89)-SUMIF(88:88,C29,89:89)+100</f>
        <v>100</v>
      </c>
      <c r="I29" s="2668"/>
      <c r="J29" s="467">
        <f>SUMIF(88:88,I29,89:89)-SUMIF(88:88,C29,89:89)+100</f>
        <v>100</v>
      </c>
      <c r="K29" s="612"/>
      <c r="L29" s="1139"/>
      <c r="M29" s="1130"/>
      <c r="N29" s="1130"/>
      <c r="O29" s="1138"/>
      <c r="P29" s="3622" t="s">
        <v>2554</v>
      </c>
      <c r="Q29" s="1808" t="str">
        <f t="shared" si="11"/>
        <v>建筑类型</v>
      </c>
      <c r="R29" s="774" t="s">
        <v>17</v>
      </c>
      <c r="S29" s="775">
        <f t="shared" si="12"/>
        <v>100</v>
      </c>
      <c r="T29" s="774" t="s">
        <v>17</v>
      </c>
      <c r="U29" s="775">
        <f t="shared" si="13"/>
        <v>100</v>
      </c>
      <c r="V29" s="774" t="s">
        <v>17</v>
      </c>
      <c r="W29" s="775">
        <f t="shared" si="14"/>
        <v>100</v>
      </c>
      <c r="X29" s="1811"/>
      <c r="Y29" s="3467"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467"/>
      <c r="Q30" s="776" t="str">
        <f t="shared" si="11"/>
        <v>项目建筑规模</v>
      </c>
      <c r="R30" s="777" t="s">
        <v>17</v>
      </c>
      <c r="S30" s="778" t="e">
        <f t="shared" si="12"/>
        <v>#N/A</v>
      </c>
      <c r="T30" s="777" t="s">
        <v>17</v>
      </c>
      <c r="U30" s="778" t="e">
        <f t="shared" si="13"/>
        <v>#N/A</v>
      </c>
      <c r="V30" s="777" t="s">
        <v>17</v>
      </c>
      <c r="W30" s="778" t="e">
        <f t="shared" si="14"/>
        <v>#N/A</v>
      </c>
      <c r="X30" s="779"/>
      <c r="Y30" s="3467"/>
      <c r="Z30" s="780"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467"/>
      <c r="Q31" s="1808" t="str">
        <f t="shared" si="11"/>
        <v>建筑结构</v>
      </c>
      <c r="R31" s="774" t="s">
        <v>17</v>
      </c>
      <c r="S31" s="775">
        <f t="shared" si="12"/>
        <v>100</v>
      </c>
      <c r="T31" s="774" t="s">
        <v>17</v>
      </c>
      <c r="U31" s="775">
        <f t="shared" si="13"/>
        <v>100</v>
      </c>
      <c r="V31" s="774" t="s">
        <v>17</v>
      </c>
      <c r="W31" s="775">
        <f t="shared" si="14"/>
        <v>100</v>
      </c>
      <c r="X31" s="1811"/>
      <c r="Y31" s="3467"/>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467"/>
      <c r="Q32" s="1808" t="str">
        <f t="shared" si="11"/>
        <v>公共部分装修</v>
      </c>
      <c r="R32" s="774" t="s">
        <v>17</v>
      </c>
      <c r="S32" s="775">
        <f t="shared" si="12"/>
        <v>100</v>
      </c>
      <c r="T32" s="774" t="s">
        <v>17</v>
      </c>
      <c r="U32" s="775">
        <f t="shared" si="13"/>
        <v>100</v>
      </c>
      <c r="V32" s="774" t="s">
        <v>17</v>
      </c>
      <c r="W32" s="775">
        <f t="shared" si="14"/>
        <v>100</v>
      </c>
      <c r="X32" s="1811"/>
      <c r="Y32" s="3467"/>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467"/>
      <c r="Q33" s="1808" t="str">
        <f t="shared" si="11"/>
        <v>成新度</v>
      </c>
      <c r="R33" s="774" t="s">
        <v>17</v>
      </c>
      <c r="S33" s="775" t="e">
        <f t="shared" si="12"/>
        <v>#N/A</v>
      </c>
      <c r="T33" s="774" t="s">
        <v>17</v>
      </c>
      <c r="U33" s="775" t="e">
        <f t="shared" si="13"/>
        <v>#N/A</v>
      </c>
      <c r="V33" s="774" t="s">
        <v>17</v>
      </c>
      <c r="W33" s="775" t="e">
        <f t="shared" si="14"/>
        <v>#N/A</v>
      </c>
      <c r="X33" s="1811"/>
      <c r="Y33" s="3467"/>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467"/>
      <c r="Q34" s="1793" t="str">
        <f t="shared" si="11"/>
        <v>物业管理</v>
      </c>
      <c r="R34" s="770" t="s">
        <v>17</v>
      </c>
      <c r="S34" s="771">
        <f t="shared" si="12"/>
        <v>100</v>
      </c>
      <c r="T34" s="770" t="s">
        <v>17</v>
      </c>
      <c r="U34" s="771">
        <f t="shared" si="13"/>
        <v>100</v>
      </c>
      <c r="V34" s="770" t="s">
        <v>17</v>
      </c>
      <c r="W34" s="771">
        <f t="shared" si="14"/>
        <v>100</v>
      </c>
      <c r="X34" s="772"/>
      <c r="Y34" s="3467"/>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467" t="s">
        <v>2554</v>
      </c>
      <c r="Q35" s="1808" t="str">
        <f t="shared" si="11"/>
        <v>市政基础设施</v>
      </c>
      <c r="R35" s="774" t="s">
        <v>17</v>
      </c>
      <c r="S35" s="775">
        <f t="shared" si="12"/>
        <v>100</v>
      </c>
      <c r="T35" s="774" t="s">
        <v>17</v>
      </c>
      <c r="U35" s="775">
        <f t="shared" si="13"/>
        <v>100</v>
      </c>
      <c r="V35" s="774" t="s">
        <v>17</v>
      </c>
      <c r="W35" s="775">
        <f t="shared" si="14"/>
        <v>100</v>
      </c>
      <c r="X35" s="1811"/>
      <c r="Y35" s="3467"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467"/>
      <c r="Q36" s="1808" t="str">
        <f t="shared" si="11"/>
        <v>内部装修</v>
      </c>
      <c r="R36" s="774" t="s">
        <v>17</v>
      </c>
      <c r="S36" s="775">
        <f t="shared" si="12"/>
        <v>100</v>
      </c>
      <c r="T36" s="774" t="s">
        <v>17</v>
      </c>
      <c r="U36" s="775">
        <f t="shared" si="13"/>
        <v>100</v>
      </c>
      <c r="V36" s="774" t="s">
        <v>17</v>
      </c>
      <c r="W36" s="775">
        <f t="shared" si="14"/>
        <v>100</v>
      </c>
      <c r="X36" s="1811"/>
      <c r="Y36" s="3467"/>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467"/>
      <c r="Q37" s="1808" t="str">
        <f t="shared" si="11"/>
        <v>内部装修状况</v>
      </c>
      <c r="R37" s="774" t="s">
        <v>17</v>
      </c>
      <c r="S37" s="775">
        <f t="shared" si="12"/>
        <v>100</v>
      </c>
      <c r="T37" s="774" t="s">
        <v>17</v>
      </c>
      <c r="U37" s="775">
        <f t="shared" si="13"/>
        <v>100</v>
      </c>
      <c r="V37" s="774" t="s">
        <v>17</v>
      </c>
      <c r="W37" s="775">
        <f t="shared" si="14"/>
        <v>100</v>
      </c>
      <c r="X37" s="1811"/>
      <c r="Y37" s="3467"/>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467"/>
      <c r="Q38" s="776">
        <f t="shared" si="11"/>
        <v>111</v>
      </c>
      <c r="R38" s="777" t="s">
        <v>17</v>
      </c>
      <c r="S38" s="778">
        <f t="shared" si="12"/>
        <v>100</v>
      </c>
      <c r="T38" s="777" t="s">
        <v>17</v>
      </c>
      <c r="U38" s="778">
        <f t="shared" si="13"/>
        <v>100</v>
      </c>
      <c r="V38" s="777" t="s">
        <v>17</v>
      </c>
      <c r="W38" s="778">
        <f t="shared" si="14"/>
        <v>100</v>
      </c>
      <c r="X38" s="779"/>
      <c r="Y38" s="3467"/>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467"/>
      <c r="Q39" s="1808">
        <f t="shared" si="11"/>
        <v>111</v>
      </c>
      <c r="R39" s="774" t="s">
        <v>17</v>
      </c>
      <c r="S39" s="775">
        <f t="shared" si="12"/>
        <v>100</v>
      </c>
      <c r="T39" s="774" t="s">
        <v>17</v>
      </c>
      <c r="U39" s="775">
        <f t="shared" si="13"/>
        <v>100</v>
      </c>
      <c r="V39" s="774" t="s">
        <v>17</v>
      </c>
      <c r="W39" s="775">
        <f t="shared" si="14"/>
        <v>100</v>
      </c>
      <c r="X39" s="1811"/>
      <c r="Y39" s="3467"/>
      <c r="Z39" s="1812">
        <f t="shared" si="15"/>
        <v>111</v>
      </c>
      <c r="AA39" s="1809">
        <f t="shared" si="3"/>
        <v>1</v>
      </c>
      <c r="AB39" s="1809">
        <f t="shared" si="4"/>
        <v>1</v>
      </c>
      <c r="AC39" s="1809">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468"/>
      <c r="Q40" s="1808">
        <f t="shared" si="11"/>
        <v>111</v>
      </c>
      <c r="R40" s="774" t="s">
        <v>17</v>
      </c>
      <c r="S40" s="775">
        <f t="shared" si="12"/>
        <v>100</v>
      </c>
      <c r="T40" s="774" t="s">
        <v>17</v>
      </c>
      <c r="U40" s="775">
        <f t="shared" si="13"/>
        <v>100</v>
      </c>
      <c r="V40" s="774" t="s">
        <v>17</v>
      </c>
      <c r="W40" s="775">
        <f t="shared" si="14"/>
        <v>100</v>
      </c>
      <c r="X40" s="1811"/>
      <c r="Y40" s="3468"/>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3"/>
      <c r="L41" s="1142"/>
      <c r="M41" s="1143"/>
      <c r="N41" s="1130"/>
      <c r="O41" s="1143"/>
      <c r="P41" s="3459" t="str">
        <f>A41</f>
        <v>成交单价（元/平方米）</v>
      </c>
      <c r="Q41" s="3459"/>
      <c r="R41" s="3460">
        <f>E41</f>
        <v>0</v>
      </c>
      <c r="S41" s="3460"/>
      <c r="T41" s="3460">
        <f>G41</f>
        <v>0</v>
      </c>
      <c r="U41" s="3460"/>
      <c r="V41" s="3460">
        <f>I41</f>
        <v>0</v>
      </c>
      <c r="W41" s="3460"/>
      <c r="X41" s="759"/>
      <c r="Y41" s="781"/>
      <c r="Z41" s="759"/>
      <c r="AA41" s="759"/>
      <c r="AB41" s="759"/>
      <c r="AC41" s="759"/>
    </row>
    <row r="42" spans="1:29" ht="15.7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759"/>
      <c r="Y42" s="759"/>
      <c r="Z42" s="759"/>
      <c r="AA42" s="759"/>
      <c r="AB42" s="759"/>
      <c r="AC42" s="759"/>
    </row>
    <row r="43" spans="1:29" ht="15.75" thickBot="1">
      <c r="A43" s="492" t="s">
        <v>2659</v>
      </c>
      <c r="B43" s="493"/>
      <c r="C43" s="1416" t="e">
        <f>R43</f>
        <v>#DIV/0!</v>
      </c>
      <c r="D43" s="1416"/>
      <c r="E43" s="1416"/>
      <c r="F43" s="1416"/>
      <c r="G43" s="1416"/>
      <c r="H43" s="1416"/>
      <c r="I43" s="1416"/>
      <c r="J43" s="1416"/>
      <c r="K43" s="785"/>
      <c r="L43" s="1142"/>
      <c r="M43" s="1143"/>
      <c r="N43" s="1143"/>
      <c r="O43" s="1143"/>
      <c r="P43" s="3461" t="str">
        <f>A43</f>
        <v>估价对象XX用房的比较价值（楼面单价，元/平方米）</v>
      </c>
      <c r="Q43" s="3462"/>
      <c r="R43" s="3463" t="e">
        <f>IF(F1="售价",ROUND(AVERAGE(R42:V42),0),ROUND(AVERAGE(R42:V42),1))</f>
        <v>#DIV/0!</v>
      </c>
      <c r="S43" s="3463"/>
      <c r="T43" s="3463"/>
      <c r="U43" s="3463"/>
      <c r="V43" s="3463"/>
      <c r="W43" s="346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2663</v>
      </c>
      <c r="B51" s="759"/>
      <c r="C51" s="764"/>
      <c r="D51" s="764"/>
      <c r="E51" s="764"/>
      <c r="F51" s="765"/>
      <c r="G51" s="765"/>
      <c r="H51" s="764"/>
      <c r="I51" s="764"/>
      <c r="J51" s="764"/>
      <c r="K51" s="1159"/>
      <c r="L51" s="1160"/>
      <c r="M51" s="1158"/>
      <c r="N51" s="1158"/>
      <c r="O51" s="1158"/>
      <c r="P51" s="503"/>
      <c r="Q51" s="504"/>
    </row>
    <row r="52" spans="1:17" s="508" customFormat="1" ht="15">
      <c r="A52" s="505" t="s">
        <v>2537</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5"/>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7" t="e">
        <f ca="1">IF(C2="——",IF(B37="元/平方米",ROUND(C39*D3/10000,0),ROUND(F3*C39/10000,0)),IF(B37="元/平方米",ROUND(C39*D3/10000,0),ROUND(F3*C39/10000,0))-D2)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2634</v>
      </c>
      <c r="B4" s="402"/>
      <c r="C4" s="3491" t="s">
        <v>2635</v>
      </c>
      <c r="D4" s="3492"/>
      <c r="E4" s="3493" t="s">
        <v>2636</v>
      </c>
      <c r="F4" s="3494"/>
      <c r="G4" s="3491" t="s">
        <v>2637</v>
      </c>
      <c r="H4" s="3492"/>
      <c r="I4" s="3491" t="s">
        <v>2638</v>
      </c>
      <c r="J4" s="3492"/>
      <c r="K4" s="610" t="s">
        <v>2639</v>
      </c>
      <c r="L4" s="1129"/>
      <c r="M4" s="1130"/>
      <c r="N4" s="1130"/>
      <c r="O4" s="1130"/>
      <c r="P4" s="3495" t="s">
        <v>2640</v>
      </c>
      <c r="Q4" s="3496"/>
      <c r="R4" s="3481" t="s">
        <v>2636</v>
      </c>
      <c r="S4" s="3482"/>
      <c r="T4" s="3481" t="s">
        <v>2637</v>
      </c>
      <c r="U4" s="3482"/>
      <c r="V4" s="3487" t="s">
        <v>2638</v>
      </c>
      <c r="W4" s="3487"/>
      <c r="X4" s="1811"/>
      <c r="Y4" s="3481" t="s">
        <v>2640</v>
      </c>
      <c r="Z4" s="3482"/>
      <c r="AA4" s="3488" t="s">
        <v>2636</v>
      </c>
      <c r="AB4" s="3489" t="s">
        <v>2637</v>
      </c>
      <c r="AC4" s="3488" t="s">
        <v>2638</v>
      </c>
    </row>
    <row r="5" spans="1:29" ht="15">
      <c r="A5" s="404"/>
      <c r="B5" s="405"/>
      <c r="C5" s="3505" t="s">
        <v>2531</v>
      </c>
      <c r="D5" s="3502"/>
      <c r="E5" s="3606" t="s">
        <v>2532</v>
      </c>
      <c r="F5" s="3504"/>
      <c r="G5" s="3505" t="s">
        <v>2533</v>
      </c>
      <c r="H5" s="3502"/>
      <c r="I5" s="3505" t="s">
        <v>2534</v>
      </c>
      <c r="J5" s="3502"/>
      <c r="K5" s="610"/>
      <c r="L5" s="1129"/>
      <c r="M5" s="1130"/>
      <c r="N5" s="1130"/>
      <c r="O5" s="1130"/>
      <c r="P5" s="3497"/>
      <c r="Q5" s="3498"/>
      <c r="R5" s="3483"/>
      <c r="S5" s="3484"/>
      <c r="T5" s="3483"/>
      <c r="U5" s="3484"/>
      <c r="V5" s="3487"/>
      <c r="W5" s="3487"/>
      <c r="X5" s="1811"/>
      <c r="Y5" s="3483"/>
      <c r="Z5" s="3484"/>
      <c r="AA5" s="3489"/>
      <c r="AB5" s="3489"/>
      <c r="AC5" s="3489"/>
    </row>
    <row r="6" spans="1:29" ht="15.75" thickBot="1">
      <c r="A6" s="406"/>
      <c r="B6" s="407"/>
      <c r="C6" s="3476" t="s">
        <v>2535</v>
      </c>
      <c r="D6" s="3477"/>
      <c r="E6" s="3478" t="s">
        <v>2535</v>
      </c>
      <c r="F6" s="3479"/>
      <c r="G6" s="3476" t="s">
        <v>2535</v>
      </c>
      <c r="H6" s="3477"/>
      <c r="I6" s="3476" t="s">
        <v>2535</v>
      </c>
      <c r="J6" s="3477"/>
      <c r="K6" s="610" t="s">
        <v>2536</v>
      </c>
      <c r="L6" s="1129"/>
      <c r="M6" s="1130"/>
      <c r="N6" s="1130"/>
      <c r="O6" s="1130"/>
      <c r="P6" s="3499"/>
      <c r="Q6" s="3500"/>
      <c r="R6" s="3483"/>
      <c r="S6" s="3484"/>
      <c r="T6" s="3485"/>
      <c r="U6" s="3486"/>
      <c r="V6" s="3487"/>
      <c r="W6" s="3487"/>
      <c r="X6" s="1811"/>
      <c r="Y6" s="3485"/>
      <c r="Z6" s="3486"/>
      <c r="AA6" s="3490"/>
      <c r="AB6" s="3490"/>
      <c r="AC6" s="3490"/>
    </row>
    <row r="7" spans="1:29" s="117" customFormat="1" ht="15.75" thickBot="1">
      <c r="A7" s="408" t="s">
        <v>2537</v>
      </c>
      <c r="B7" s="409"/>
      <c r="C7" s="410">
        <f>'数据-取费表'!B2</f>
        <v>43670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469" t="s">
        <v>2538</v>
      </c>
      <c r="Q7" s="3480"/>
      <c r="R7" s="770" t="s">
        <v>17</v>
      </c>
      <c r="S7" s="771">
        <f t="shared" ref="S7:S14" si="0">F7</f>
        <v>0</v>
      </c>
      <c r="T7" s="770" t="s">
        <v>17</v>
      </c>
      <c r="U7" s="771">
        <f t="shared" ref="U7:U14" si="1">H7</f>
        <v>0</v>
      </c>
      <c r="V7" s="770" t="s">
        <v>17</v>
      </c>
      <c r="W7" s="771">
        <f t="shared" ref="W7:W14" si="2">J7</f>
        <v>0</v>
      </c>
      <c r="X7" s="772"/>
      <c r="Y7" s="3469" t="s">
        <v>2538</v>
      </c>
      <c r="Z7" s="3470"/>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469" t="s">
        <v>2541</v>
      </c>
      <c r="Q8" s="3470"/>
      <c r="R8" s="770" t="s">
        <v>17</v>
      </c>
      <c r="S8" s="771">
        <f t="shared" si="0"/>
        <v>0</v>
      </c>
      <c r="T8" s="770" t="s">
        <v>17</v>
      </c>
      <c r="U8" s="771">
        <f t="shared" si="1"/>
        <v>0</v>
      </c>
      <c r="V8" s="770" t="s">
        <v>17</v>
      </c>
      <c r="W8" s="771">
        <f t="shared" si="2"/>
        <v>0</v>
      </c>
      <c r="X8" s="772"/>
      <c r="Y8" s="3469" t="s">
        <v>2541</v>
      </c>
      <c r="Z8" s="3470"/>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459" t="s">
        <v>2544</v>
      </c>
      <c r="Q9" s="1793" t="str">
        <f t="shared" ref="Q9:Q14" si="6">B9</f>
        <v>用途</v>
      </c>
      <c r="R9" s="770" t="s">
        <v>17</v>
      </c>
      <c r="S9" s="771">
        <f t="shared" si="0"/>
        <v>100</v>
      </c>
      <c r="T9" s="770" t="s">
        <v>17</v>
      </c>
      <c r="U9" s="771">
        <f t="shared" si="1"/>
        <v>100</v>
      </c>
      <c r="V9" s="770" t="s">
        <v>17</v>
      </c>
      <c r="W9" s="771">
        <f t="shared" si="2"/>
        <v>100</v>
      </c>
      <c r="X9" s="772"/>
      <c r="Y9" s="3317"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459"/>
      <c r="Q10" s="1793" t="str">
        <f t="shared" si="6"/>
        <v>土地使用年限（年）</v>
      </c>
      <c r="R10" s="770" t="s">
        <v>17</v>
      </c>
      <c r="S10" s="771">
        <f t="shared" si="0"/>
        <v>100</v>
      </c>
      <c r="T10" s="770" t="s">
        <v>17</v>
      </c>
      <c r="U10" s="771">
        <f t="shared" si="1"/>
        <v>100</v>
      </c>
      <c r="V10" s="770" t="s">
        <v>17</v>
      </c>
      <c r="W10" s="771">
        <f t="shared" si="2"/>
        <v>100</v>
      </c>
      <c r="X10" s="772"/>
      <c r="Y10" s="33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459"/>
      <c r="Q11" s="1793">
        <f t="shared" si="6"/>
        <v>111</v>
      </c>
      <c r="R11" s="770" t="s">
        <v>17</v>
      </c>
      <c r="S11" s="771">
        <f t="shared" si="0"/>
        <v>100</v>
      </c>
      <c r="T11" s="770" t="s">
        <v>17</v>
      </c>
      <c r="U11" s="771">
        <f t="shared" si="1"/>
        <v>100</v>
      </c>
      <c r="V11" s="770" t="s">
        <v>17</v>
      </c>
      <c r="W11" s="771">
        <f t="shared" si="2"/>
        <v>100</v>
      </c>
      <c r="X11" s="772"/>
      <c r="Y11" s="33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459"/>
      <c r="Q12" s="1793">
        <f t="shared" si="6"/>
        <v>111</v>
      </c>
      <c r="R12" s="770" t="s">
        <v>17</v>
      </c>
      <c r="S12" s="771">
        <f t="shared" si="0"/>
        <v>100</v>
      </c>
      <c r="T12" s="770" t="s">
        <v>17</v>
      </c>
      <c r="U12" s="771">
        <f t="shared" si="1"/>
        <v>100</v>
      </c>
      <c r="V12" s="770" t="s">
        <v>17</v>
      </c>
      <c r="W12" s="771">
        <f t="shared" si="2"/>
        <v>100</v>
      </c>
      <c r="X12" s="772"/>
      <c r="Y12" s="33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459"/>
      <c r="Q13" s="1793">
        <f t="shared" si="6"/>
        <v>111</v>
      </c>
      <c r="R13" s="770" t="s">
        <v>17</v>
      </c>
      <c r="S13" s="771">
        <f t="shared" si="0"/>
        <v>100</v>
      </c>
      <c r="T13" s="770" t="s">
        <v>17</v>
      </c>
      <c r="U13" s="771">
        <f t="shared" si="1"/>
        <v>100</v>
      </c>
      <c r="V13" s="770" t="s">
        <v>17</v>
      </c>
      <c r="W13" s="771">
        <f t="shared" si="2"/>
        <v>100</v>
      </c>
      <c r="X13" s="772"/>
      <c r="Y13" s="3317"/>
      <c r="Z13" s="55">
        <f t="shared" si="7"/>
        <v>111</v>
      </c>
      <c r="AA13" s="773">
        <f t="shared" si="3"/>
        <v>1</v>
      </c>
      <c r="AB13" s="773">
        <f t="shared" si="4"/>
        <v>1</v>
      </c>
      <c r="AC13" s="773">
        <f t="shared" si="5"/>
        <v>1</v>
      </c>
    </row>
    <row r="14" spans="1:29" ht="15">
      <c r="A14" s="401" t="s">
        <v>2548</v>
      </c>
      <c r="B14" s="629" t="s">
        <v>2698</v>
      </c>
      <c r="C14" s="268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474" t="s">
        <v>2549</v>
      </c>
      <c r="Q14" s="1808" t="str">
        <f t="shared" si="6"/>
        <v>交通便捷度</v>
      </c>
      <c r="R14" s="774" t="s">
        <v>17</v>
      </c>
      <c r="S14" s="775">
        <f t="shared" si="0"/>
        <v>100</v>
      </c>
      <c r="T14" s="774" t="s">
        <v>17</v>
      </c>
      <c r="U14" s="775">
        <f t="shared" si="1"/>
        <v>100</v>
      </c>
      <c r="V14" s="774" t="s">
        <v>17</v>
      </c>
      <c r="W14" s="775">
        <f t="shared" si="2"/>
        <v>100</v>
      </c>
      <c r="X14" s="1811"/>
      <c r="Y14" s="3474"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475"/>
      <c r="Q15" s="1808"/>
      <c r="R15" s="774"/>
      <c r="S15" s="775"/>
      <c r="T15" s="774"/>
      <c r="U15" s="775"/>
      <c r="V15" s="774"/>
      <c r="W15" s="775"/>
      <c r="X15" s="1811"/>
      <c r="Y15" s="3475"/>
      <c r="Z15" s="1812"/>
      <c r="AA15" s="1809">
        <v>1</v>
      </c>
      <c r="AB15" s="1809">
        <v>1</v>
      </c>
      <c r="AC15" s="1809">
        <v>1</v>
      </c>
    </row>
    <row r="16" spans="1:29" ht="15">
      <c r="A16" s="404"/>
      <c r="B16" s="631" t="s">
        <v>2677</v>
      </c>
      <c r="C16" s="259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475"/>
      <c r="Q16" s="1808" t="str">
        <f>B16</f>
        <v>公共配套设施</v>
      </c>
      <c r="R16" s="774" t="s">
        <v>17</v>
      </c>
      <c r="S16" s="775">
        <f>F16</f>
        <v>100</v>
      </c>
      <c r="T16" s="774" t="s">
        <v>17</v>
      </c>
      <c r="U16" s="775">
        <f>H16</f>
        <v>100</v>
      </c>
      <c r="V16" s="774" t="s">
        <v>17</v>
      </c>
      <c r="W16" s="775">
        <f>J16</f>
        <v>100</v>
      </c>
      <c r="X16" s="1811"/>
      <c r="Y16" s="3475"/>
      <c r="Z16" s="1812" t="str">
        <f>Q16</f>
        <v>公共配套设施</v>
      </c>
      <c r="AA16" s="1809">
        <f t="shared" si="3"/>
        <v>1</v>
      </c>
      <c r="AB16" s="1809">
        <f t="shared" si="4"/>
        <v>1</v>
      </c>
      <c r="AC16" s="1809">
        <f t="shared" si="5"/>
        <v>1</v>
      </c>
    </row>
    <row r="17" spans="1:29" ht="15">
      <c r="A17" s="404"/>
      <c r="B17" s="632"/>
      <c r="C17" s="2597"/>
      <c r="D17" s="448"/>
      <c r="E17" s="447"/>
      <c r="F17" s="449"/>
      <c r="G17" s="447"/>
      <c r="H17" s="448"/>
      <c r="I17" s="447"/>
      <c r="J17" s="448"/>
      <c r="K17" s="615"/>
      <c r="L17" s="1139"/>
      <c r="M17" s="1130"/>
      <c r="N17" s="1130"/>
      <c r="O17" s="1130"/>
      <c r="P17" s="3475"/>
      <c r="Q17" s="1808"/>
      <c r="R17" s="774"/>
      <c r="S17" s="775"/>
      <c r="T17" s="774"/>
      <c r="U17" s="775"/>
      <c r="V17" s="774"/>
      <c r="W17" s="775"/>
      <c r="X17" s="1811"/>
      <c r="Y17" s="3475"/>
      <c r="Z17" s="1812"/>
      <c r="AA17" s="1809">
        <v>1</v>
      </c>
      <c r="AB17" s="1809">
        <v>1</v>
      </c>
      <c r="AC17" s="1809">
        <v>1</v>
      </c>
    </row>
    <row r="18" spans="1:29" ht="15">
      <c r="A18" s="404"/>
      <c r="B18" s="633" t="s">
        <v>2678</v>
      </c>
      <c r="C18" s="259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475"/>
      <c r="Q18" s="1808" t="str">
        <f>B18</f>
        <v>基础设施水平</v>
      </c>
      <c r="R18" s="774" t="s">
        <v>17</v>
      </c>
      <c r="S18" s="775">
        <f>F18</f>
        <v>100</v>
      </c>
      <c r="T18" s="774" t="s">
        <v>17</v>
      </c>
      <c r="U18" s="775">
        <f>H18</f>
        <v>100</v>
      </c>
      <c r="V18" s="774" t="s">
        <v>17</v>
      </c>
      <c r="W18" s="775">
        <f>J18</f>
        <v>100</v>
      </c>
      <c r="X18" s="1811"/>
      <c r="Y18" s="3475"/>
      <c r="Z18" s="1812" t="str">
        <f>Q18</f>
        <v>基础设施水平</v>
      </c>
      <c r="AA18" s="1809">
        <f t="shared" ref="AA18" si="8">D18/F18</f>
        <v>1</v>
      </c>
      <c r="AB18" s="1809">
        <f t="shared" ref="AB18" si="9">D18/H18</f>
        <v>1</v>
      </c>
      <c r="AC18" s="1809">
        <f t="shared" ref="AC18" si="10">D18/J18</f>
        <v>1</v>
      </c>
    </row>
    <row r="19" spans="1:29" ht="15">
      <c r="A19" s="404"/>
      <c r="B19" s="633"/>
      <c r="C19" s="2597"/>
      <c r="D19" s="450"/>
      <c r="E19" s="2597"/>
      <c r="F19" s="453"/>
      <c r="G19" s="2597"/>
      <c r="H19" s="448"/>
      <c r="I19" s="447"/>
      <c r="J19" s="448"/>
      <c r="K19" s="1382"/>
      <c r="L19" s="1139"/>
      <c r="M19" s="1130"/>
      <c r="N19" s="1130"/>
      <c r="O19" s="1130"/>
      <c r="P19" s="3475"/>
      <c r="Q19" s="1808"/>
      <c r="R19" s="774"/>
      <c r="S19" s="775"/>
      <c r="T19" s="774"/>
      <c r="U19" s="775"/>
      <c r="V19" s="774"/>
      <c r="W19" s="775"/>
      <c r="X19" s="1811"/>
      <c r="Y19" s="3475"/>
      <c r="Z19" s="1812"/>
      <c r="AA19" s="1809">
        <v>1</v>
      </c>
      <c r="AB19" s="1809">
        <v>1</v>
      </c>
      <c r="AC19" s="1809">
        <v>1</v>
      </c>
    </row>
    <row r="20" spans="1:29" ht="15">
      <c r="A20" s="404"/>
      <c r="B20" s="631" t="s">
        <v>2699</v>
      </c>
      <c r="C20" s="259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475"/>
      <c r="Q20" s="1808" t="str">
        <f>B20</f>
        <v>自然及人文环境</v>
      </c>
      <c r="R20" s="774" t="s">
        <v>17</v>
      </c>
      <c r="S20" s="775">
        <f>F20</f>
        <v>100</v>
      </c>
      <c r="T20" s="774" t="s">
        <v>17</v>
      </c>
      <c r="U20" s="775">
        <f>H20</f>
        <v>100</v>
      </c>
      <c r="V20" s="774" t="s">
        <v>17</v>
      </c>
      <c r="W20" s="775">
        <f>J20</f>
        <v>100</v>
      </c>
      <c r="X20" s="1811"/>
      <c r="Y20" s="347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475"/>
      <c r="Q21" s="1808"/>
      <c r="R21" s="774"/>
      <c r="S21" s="775"/>
      <c r="T21" s="774"/>
      <c r="U21" s="775"/>
      <c r="V21" s="774"/>
      <c r="W21" s="775"/>
      <c r="X21" s="1811"/>
      <c r="Y21" s="3475"/>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475"/>
      <c r="Q22" s="1808" t="str">
        <f>B22</f>
        <v>楼层</v>
      </c>
      <c r="R22" s="774" t="s">
        <v>17</v>
      </c>
      <c r="S22" s="775">
        <f>F22</f>
        <v>100</v>
      </c>
      <c r="T22" s="774" t="s">
        <v>17</v>
      </c>
      <c r="U22" s="775">
        <f>H22</f>
        <v>100</v>
      </c>
      <c r="V22" s="774" t="s">
        <v>17</v>
      </c>
      <c r="W22" s="775">
        <f>J22</f>
        <v>100</v>
      </c>
      <c r="X22" s="1811"/>
      <c r="Y22" s="347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475"/>
      <c r="Q23" s="1808">
        <f>B23</f>
        <v>111</v>
      </c>
      <c r="R23" s="774" t="s">
        <v>17</v>
      </c>
      <c r="S23" s="775">
        <f>F23</f>
        <v>100</v>
      </c>
      <c r="T23" s="774" t="s">
        <v>17</v>
      </c>
      <c r="U23" s="775">
        <f>H23</f>
        <v>100</v>
      </c>
      <c r="V23" s="774" t="s">
        <v>17</v>
      </c>
      <c r="W23" s="775">
        <f>J23</f>
        <v>100</v>
      </c>
      <c r="X23" s="1811"/>
      <c r="Y23" s="347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475"/>
      <c r="Q24" s="1808">
        <f t="shared" ref="Q24:Q36" si="11">B24</f>
        <v>111</v>
      </c>
      <c r="R24" s="774" t="s">
        <v>17</v>
      </c>
      <c r="S24" s="775">
        <f>F24</f>
        <v>100</v>
      </c>
      <c r="T24" s="774" t="s">
        <v>17</v>
      </c>
      <c r="U24" s="775">
        <f>H24</f>
        <v>100</v>
      </c>
      <c r="V24" s="774" t="s">
        <v>17</v>
      </c>
      <c r="W24" s="775">
        <f>J24</f>
        <v>100</v>
      </c>
      <c r="X24" s="1811"/>
      <c r="Y24" s="347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475"/>
      <c r="Q25" s="1793">
        <f t="shared" si="11"/>
        <v>111</v>
      </c>
      <c r="R25" s="770" t="s">
        <v>17</v>
      </c>
      <c r="S25" s="771">
        <f>F25</f>
        <v>100</v>
      </c>
      <c r="T25" s="770" t="s">
        <v>17</v>
      </c>
      <c r="U25" s="771">
        <f>H25</f>
        <v>100</v>
      </c>
      <c r="V25" s="770" t="s">
        <v>17</v>
      </c>
      <c r="W25" s="771">
        <f>J25</f>
        <v>100</v>
      </c>
      <c r="X25" s="772"/>
      <c r="Y25" s="3475"/>
      <c r="Z25" s="55">
        <f>Q25</f>
        <v>111</v>
      </c>
      <c r="AA25" s="1809">
        <f>D25/F25</f>
        <v>1</v>
      </c>
      <c r="AB25" s="1809">
        <f>D25/H25</f>
        <v>1</v>
      </c>
      <c r="AC25" s="1809">
        <f>D25/J25</f>
        <v>1</v>
      </c>
    </row>
    <row r="26" spans="1:29" ht="28.5">
      <c r="A26" s="652" t="s">
        <v>2552</v>
      </c>
      <c r="B26" s="70" t="s">
        <v>2701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622" t="s">
        <v>2554</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467"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467"/>
      <c r="Q27" s="776" t="str">
        <f t="shared" si="11"/>
        <v>项目停车位配比</v>
      </c>
      <c r="R27" s="777" t="s">
        <v>17</v>
      </c>
      <c r="S27" s="778">
        <f t="shared" si="12"/>
        <v>100</v>
      </c>
      <c r="T27" s="777" t="s">
        <v>17</v>
      </c>
      <c r="U27" s="778">
        <f t="shared" si="13"/>
        <v>100</v>
      </c>
      <c r="V27" s="777" t="s">
        <v>17</v>
      </c>
      <c r="W27" s="778">
        <f t="shared" si="14"/>
        <v>100</v>
      </c>
      <c r="X27" s="779"/>
      <c r="Y27" s="3467"/>
      <c r="Z27" s="780"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467"/>
      <c r="Q28" s="1808" t="str">
        <f t="shared" si="11"/>
        <v>公共部分装修</v>
      </c>
      <c r="R28" s="774" t="s">
        <v>17</v>
      </c>
      <c r="S28" s="775">
        <f t="shared" si="12"/>
        <v>100</v>
      </c>
      <c r="T28" s="774" t="s">
        <v>17</v>
      </c>
      <c r="U28" s="775">
        <f t="shared" si="13"/>
        <v>100</v>
      </c>
      <c r="V28" s="774" t="s">
        <v>17</v>
      </c>
      <c r="W28" s="775">
        <f t="shared" si="14"/>
        <v>100</v>
      </c>
      <c r="X28" s="1811"/>
      <c r="Y28" s="3467"/>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467"/>
      <c r="Q29" s="1808" t="str">
        <f t="shared" si="11"/>
        <v>成新率</v>
      </c>
      <c r="R29" s="774" t="s">
        <v>17</v>
      </c>
      <c r="S29" s="775" t="e">
        <f t="shared" si="12"/>
        <v>#N/A</v>
      </c>
      <c r="T29" s="774" t="s">
        <v>17</v>
      </c>
      <c r="U29" s="775" t="e">
        <f t="shared" si="13"/>
        <v>#N/A</v>
      </c>
      <c r="V29" s="774" t="s">
        <v>17</v>
      </c>
      <c r="W29" s="775" t="e">
        <f t="shared" si="14"/>
        <v>#N/A</v>
      </c>
      <c r="X29" s="1811"/>
      <c r="Y29" s="3467"/>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467"/>
      <c r="Q30" s="1808" t="str">
        <f t="shared" si="11"/>
        <v>物业等级</v>
      </c>
      <c r="R30" s="774" t="s">
        <v>17</v>
      </c>
      <c r="S30" s="775">
        <f t="shared" si="12"/>
        <v>100</v>
      </c>
      <c r="T30" s="774" t="s">
        <v>17</v>
      </c>
      <c r="U30" s="775">
        <f t="shared" si="13"/>
        <v>100</v>
      </c>
      <c r="V30" s="774" t="s">
        <v>17</v>
      </c>
      <c r="W30" s="775">
        <f t="shared" si="14"/>
        <v>100</v>
      </c>
      <c r="X30" s="1811"/>
      <c r="Y30" s="3467"/>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467"/>
      <c r="Q31" s="1793" t="str">
        <f t="shared" si="11"/>
        <v>停车位面积</v>
      </c>
      <c r="R31" s="770" t="s">
        <v>17</v>
      </c>
      <c r="S31" s="771" t="e">
        <f t="shared" si="12"/>
        <v>#N/A</v>
      </c>
      <c r="T31" s="770" t="s">
        <v>17</v>
      </c>
      <c r="U31" s="771" t="e">
        <f t="shared" si="13"/>
        <v>#N/A</v>
      </c>
      <c r="V31" s="770" t="s">
        <v>17</v>
      </c>
      <c r="W31" s="771" t="e">
        <f t="shared" si="14"/>
        <v>#N/A</v>
      </c>
      <c r="X31" s="772"/>
      <c r="Y31" s="3467"/>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467" t="s">
        <v>2554</v>
      </c>
      <c r="Q32" s="1808" t="str">
        <f t="shared" si="11"/>
        <v>车位类型</v>
      </c>
      <c r="R32" s="774" t="s">
        <v>17</v>
      </c>
      <c r="S32" s="775">
        <f t="shared" si="12"/>
        <v>100</v>
      </c>
      <c r="T32" s="774" t="s">
        <v>17</v>
      </c>
      <c r="U32" s="775">
        <f t="shared" si="13"/>
        <v>100</v>
      </c>
      <c r="V32" s="774" t="s">
        <v>17</v>
      </c>
      <c r="W32" s="775">
        <f t="shared" si="14"/>
        <v>100</v>
      </c>
      <c r="X32" s="1811"/>
      <c r="Y32" s="3467"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467"/>
      <c r="Q33" s="1808" t="str">
        <f t="shared" si="11"/>
        <v>是否直接入户</v>
      </c>
      <c r="R33" s="774" t="s">
        <v>17</v>
      </c>
      <c r="S33" s="775">
        <f t="shared" si="12"/>
        <v>100</v>
      </c>
      <c r="T33" s="774" t="s">
        <v>17</v>
      </c>
      <c r="U33" s="775">
        <f t="shared" si="13"/>
        <v>100</v>
      </c>
      <c r="V33" s="774" t="s">
        <v>17</v>
      </c>
      <c r="W33" s="775">
        <f t="shared" si="14"/>
        <v>100</v>
      </c>
      <c r="X33" s="1811"/>
      <c r="Y33" s="346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467"/>
      <c r="Q34" s="1808">
        <f t="shared" si="11"/>
        <v>111</v>
      </c>
      <c r="R34" s="774" t="s">
        <v>17</v>
      </c>
      <c r="S34" s="775">
        <f t="shared" si="12"/>
        <v>100</v>
      </c>
      <c r="T34" s="774" t="s">
        <v>17</v>
      </c>
      <c r="U34" s="775">
        <f t="shared" si="13"/>
        <v>100</v>
      </c>
      <c r="V34" s="774" t="s">
        <v>17</v>
      </c>
      <c r="W34" s="775">
        <f t="shared" si="14"/>
        <v>100</v>
      </c>
      <c r="X34" s="1811"/>
      <c r="Y34" s="346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467"/>
      <c r="Q35" s="776">
        <f t="shared" si="11"/>
        <v>111</v>
      </c>
      <c r="R35" s="777" t="s">
        <v>17</v>
      </c>
      <c r="S35" s="778">
        <f t="shared" si="12"/>
        <v>100</v>
      </c>
      <c r="T35" s="777" t="s">
        <v>17</v>
      </c>
      <c r="U35" s="778">
        <f t="shared" si="13"/>
        <v>100</v>
      </c>
      <c r="V35" s="777" t="s">
        <v>17</v>
      </c>
      <c r="W35" s="778">
        <f t="shared" si="14"/>
        <v>100</v>
      </c>
      <c r="X35" s="779"/>
      <c r="Y35" s="3467"/>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467"/>
      <c r="Q36" s="1808">
        <f t="shared" si="11"/>
        <v>111</v>
      </c>
      <c r="R36" s="774" t="s">
        <v>17</v>
      </c>
      <c r="S36" s="775">
        <f t="shared" si="12"/>
        <v>100</v>
      </c>
      <c r="T36" s="774" t="s">
        <v>17</v>
      </c>
      <c r="U36" s="775">
        <f t="shared" si="13"/>
        <v>100</v>
      </c>
      <c r="V36" s="774" t="s">
        <v>17</v>
      </c>
      <c r="W36" s="775">
        <f t="shared" si="14"/>
        <v>100</v>
      </c>
      <c r="X36" s="1811"/>
      <c r="Y36" s="3467"/>
      <c r="Z36" s="1812">
        <f t="shared" si="15"/>
        <v>111</v>
      </c>
      <c r="AA36" s="1809">
        <f t="shared" si="3"/>
        <v>1</v>
      </c>
      <c r="AB36" s="1809">
        <f t="shared" si="4"/>
        <v>1</v>
      </c>
      <c r="AC36" s="1809">
        <f t="shared" si="5"/>
        <v>1</v>
      </c>
    </row>
    <row r="37" spans="1:29" ht="15">
      <c r="A37" s="479" t="s">
        <v>2709</v>
      </c>
      <c r="B37" s="2684" t="s">
        <v>2710</v>
      </c>
      <c r="C37" s="1406" t="s">
        <v>1</v>
      </c>
      <c r="D37" s="1407"/>
      <c r="E37" s="1408"/>
      <c r="F37" s="1409"/>
      <c r="G37" s="1410"/>
      <c r="H37" s="1411"/>
      <c r="I37" s="1408"/>
      <c r="J37" s="1411"/>
      <c r="K37" s="619"/>
      <c r="L37" s="1142"/>
      <c r="M37" s="1143"/>
      <c r="N37" s="1130"/>
      <c r="O37" s="1143"/>
      <c r="P37" s="3459" t="str">
        <f>A37</f>
        <v>成交单价</v>
      </c>
      <c r="Q37" s="3459"/>
      <c r="R37" s="3460">
        <f>E37</f>
        <v>0</v>
      </c>
      <c r="S37" s="3460"/>
      <c r="T37" s="3460">
        <f>G37</f>
        <v>0</v>
      </c>
      <c r="U37" s="3460"/>
      <c r="V37" s="3460">
        <f>I37</f>
        <v>0</v>
      </c>
      <c r="W37" s="3460"/>
      <c r="X37" s="759"/>
      <c r="Y37" s="781"/>
      <c r="Z37" s="759"/>
      <c r="AA37" s="759"/>
      <c r="AB37" s="759"/>
      <c r="AC37" s="759"/>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759"/>
      <c r="Y38" s="759"/>
      <c r="Z38" s="759"/>
      <c r="AA38" s="759"/>
      <c r="AB38" s="759"/>
      <c r="AC38" s="759"/>
    </row>
    <row r="39" spans="1:29" ht="15.75" thickBot="1">
      <c r="A39" s="492" t="s">
        <v>2712</v>
      </c>
      <c r="B39" s="493"/>
      <c r="C39" s="1416" t="e">
        <f>R39</f>
        <v>#DIV/0!</v>
      </c>
      <c r="D39" s="1416"/>
      <c r="E39" s="1416"/>
      <c r="F39" s="1416"/>
      <c r="G39" s="1416"/>
      <c r="H39" s="1416"/>
      <c r="I39" s="1416"/>
      <c r="J39" s="1416"/>
      <c r="K39" s="621"/>
      <c r="L39" s="1142"/>
      <c r="M39" s="1143"/>
      <c r="N39" s="1143"/>
      <c r="O39" s="1143"/>
      <c r="P39" s="3461" t="str">
        <f>A39</f>
        <v>估价对象XX用房的比较价值（楼面单价，元/平方米）</v>
      </c>
      <c r="Q39" s="3462"/>
      <c r="R39" s="3463" t="e">
        <f>IF(F1="售价",ROUND(AVERAGE(R38:V38),0),ROUND(AVERAGE(R38:V38),1))</f>
        <v>#DIV/0!</v>
      </c>
      <c r="S39" s="3463"/>
      <c r="T39" s="3463"/>
      <c r="U39" s="3463"/>
      <c r="V39" s="3463"/>
      <c r="W39" s="346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IF(C2="——",ROUND(C37*D3/10000,0),ROUND(C37*D3/10000,0)-D2)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91" t="s">
        <v>2635</v>
      </c>
      <c r="D4" s="3492"/>
      <c r="E4" s="3493" t="s">
        <v>2636</v>
      </c>
      <c r="F4" s="3494"/>
      <c r="G4" s="3491" t="s">
        <v>2637</v>
      </c>
      <c r="H4" s="3492"/>
      <c r="I4" s="3491" t="s">
        <v>2638</v>
      </c>
      <c r="J4" s="3492"/>
      <c r="K4" s="610" t="s">
        <v>2639</v>
      </c>
      <c r="L4" s="1129"/>
      <c r="M4" s="1130"/>
      <c r="N4" s="1130"/>
      <c r="O4" s="1130"/>
      <c r="P4" s="3495" t="s">
        <v>2640</v>
      </c>
      <c r="Q4" s="3496"/>
      <c r="R4" s="3481" t="s">
        <v>2636</v>
      </c>
      <c r="S4" s="3482"/>
      <c r="T4" s="3481" t="s">
        <v>2637</v>
      </c>
      <c r="U4" s="3482"/>
      <c r="V4" s="3487" t="s">
        <v>2638</v>
      </c>
      <c r="W4" s="3487"/>
      <c r="X4" s="1811"/>
      <c r="Y4" s="3481" t="s">
        <v>2640</v>
      </c>
      <c r="Z4" s="3482"/>
      <c r="AA4" s="3488" t="s">
        <v>2636</v>
      </c>
      <c r="AB4" s="3489" t="s">
        <v>2637</v>
      </c>
      <c r="AC4" s="3488" t="s">
        <v>2638</v>
      </c>
    </row>
    <row r="5" spans="1:29" ht="15">
      <c r="A5" s="404"/>
      <c r="B5" s="405"/>
      <c r="C5" s="3505" t="s">
        <v>2531</v>
      </c>
      <c r="D5" s="3502"/>
      <c r="E5" s="3606" t="s">
        <v>2532</v>
      </c>
      <c r="F5" s="3504"/>
      <c r="G5" s="3505" t="s">
        <v>2533</v>
      </c>
      <c r="H5" s="3502"/>
      <c r="I5" s="3505" t="s">
        <v>2534</v>
      </c>
      <c r="J5" s="3502"/>
      <c r="K5" s="610"/>
      <c r="L5" s="1129"/>
      <c r="M5" s="1130"/>
      <c r="N5" s="1130"/>
      <c r="O5" s="1130"/>
      <c r="P5" s="3497"/>
      <c r="Q5" s="3498"/>
      <c r="R5" s="3483"/>
      <c r="S5" s="3484"/>
      <c r="T5" s="3483"/>
      <c r="U5" s="3484"/>
      <c r="V5" s="3487"/>
      <c r="W5" s="3487"/>
      <c r="X5" s="1811"/>
      <c r="Y5" s="3483"/>
      <c r="Z5" s="3484"/>
      <c r="AA5" s="3489"/>
      <c r="AB5" s="3489"/>
      <c r="AC5" s="3489"/>
    </row>
    <row r="6" spans="1:29" ht="15.75" thickBot="1">
      <c r="A6" s="406"/>
      <c r="B6" s="407"/>
      <c r="C6" s="3476" t="s">
        <v>2535</v>
      </c>
      <c r="D6" s="3477"/>
      <c r="E6" s="3478" t="s">
        <v>2535</v>
      </c>
      <c r="F6" s="3479"/>
      <c r="G6" s="3476" t="s">
        <v>2535</v>
      </c>
      <c r="H6" s="3477"/>
      <c r="I6" s="3476" t="s">
        <v>2535</v>
      </c>
      <c r="J6" s="3477"/>
      <c r="K6" s="610" t="s">
        <v>2536</v>
      </c>
      <c r="L6" s="1129"/>
      <c r="M6" s="1130"/>
      <c r="N6" s="1130"/>
      <c r="O6" s="1130"/>
      <c r="P6" s="3499"/>
      <c r="Q6" s="3500"/>
      <c r="R6" s="3483"/>
      <c r="S6" s="3484"/>
      <c r="T6" s="3485"/>
      <c r="U6" s="3486"/>
      <c r="V6" s="3487"/>
      <c r="W6" s="3487"/>
      <c r="X6" s="1811"/>
      <c r="Y6" s="3485"/>
      <c r="Z6" s="3486"/>
      <c r="AA6" s="3490"/>
      <c r="AB6" s="3490"/>
      <c r="AC6" s="3490"/>
    </row>
    <row r="7" spans="1:29" s="117" customFormat="1" ht="15.75" thickBot="1">
      <c r="A7" s="408" t="s">
        <v>2537</v>
      </c>
      <c r="B7" s="409"/>
      <c r="C7" s="410">
        <f>'数据-取费表'!B2</f>
        <v>43670</v>
      </c>
      <c r="D7" s="411">
        <v>100</v>
      </c>
      <c r="E7" s="412"/>
      <c r="F7" s="413">
        <f>SUMIF(46:46,YEAR(E7)&amp;"-"&amp;MONTH(E7),47:47)</f>
        <v>0</v>
      </c>
      <c r="G7" s="2685"/>
      <c r="H7" s="411">
        <f>SUMIF(46:46,YEAR(G7)&amp;"-"&amp;MONTH(G7),47:47)</f>
        <v>0</v>
      </c>
      <c r="I7" s="412"/>
      <c r="J7" s="411">
        <f>SUMIF(46:46,YEAR(I7)&amp;"-"&amp;MONTH(I7),47:47)</f>
        <v>0</v>
      </c>
      <c r="K7" s="611"/>
      <c r="L7" s="1131"/>
      <c r="M7" s="1132"/>
      <c r="N7" s="1132"/>
      <c r="O7" s="1132"/>
      <c r="P7" s="3469" t="s">
        <v>2538</v>
      </c>
      <c r="Q7" s="3480"/>
      <c r="R7" s="770" t="s">
        <v>17</v>
      </c>
      <c r="S7" s="771">
        <f t="shared" ref="S7:S14" si="0">F7</f>
        <v>0</v>
      </c>
      <c r="T7" s="770" t="s">
        <v>17</v>
      </c>
      <c r="U7" s="771">
        <f t="shared" ref="U7:U14" si="1">H7</f>
        <v>0</v>
      </c>
      <c r="V7" s="770" t="s">
        <v>17</v>
      </c>
      <c r="W7" s="771">
        <f t="shared" ref="W7:W14" si="2">J7</f>
        <v>0</v>
      </c>
      <c r="X7" s="772"/>
      <c r="Y7" s="3469" t="s">
        <v>2538</v>
      </c>
      <c r="Z7" s="3470"/>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469" t="s">
        <v>2541</v>
      </c>
      <c r="Q8" s="3470"/>
      <c r="R8" s="770" t="s">
        <v>17</v>
      </c>
      <c r="S8" s="771">
        <f t="shared" si="0"/>
        <v>0</v>
      </c>
      <c r="T8" s="770" t="s">
        <v>17</v>
      </c>
      <c r="U8" s="771">
        <f t="shared" si="1"/>
        <v>0</v>
      </c>
      <c r="V8" s="770" t="s">
        <v>17</v>
      </c>
      <c r="W8" s="771">
        <f t="shared" si="2"/>
        <v>0</v>
      </c>
      <c r="X8" s="772"/>
      <c r="Y8" s="3469" t="s">
        <v>2541</v>
      </c>
      <c r="Z8" s="3470"/>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459" t="s">
        <v>2544</v>
      </c>
      <c r="Q9" s="1793" t="str">
        <f t="shared" ref="Q9:Q14" si="6">B9</f>
        <v>用途</v>
      </c>
      <c r="R9" s="770" t="s">
        <v>17</v>
      </c>
      <c r="S9" s="771">
        <f t="shared" si="0"/>
        <v>100</v>
      </c>
      <c r="T9" s="770" t="s">
        <v>17</v>
      </c>
      <c r="U9" s="771">
        <f t="shared" si="1"/>
        <v>100</v>
      </c>
      <c r="V9" s="770" t="s">
        <v>17</v>
      </c>
      <c r="W9" s="771">
        <f t="shared" si="2"/>
        <v>100</v>
      </c>
      <c r="X9" s="772"/>
      <c r="Y9" s="3317"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459"/>
      <c r="Q10" s="1793" t="str">
        <f t="shared" si="6"/>
        <v>土地使用年限（年）</v>
      </c>
      <c r="R10" s="770" t="s">
        <v>17</v>
      </c>
      <c r="S10" s="771">
        <f t="shared" si="0"/>
        <v>100</v>
      </c>
      <c r="T10" s="770" t="s">
        <v>17</v>
      </c>
      <c r="U10" s="771">
        <f t="shared" si="1"/>
        <v>100</v>
      </c>
      <c r="V10" s="770" t="s">
        <v>17</v>
      </c>
      <c r="W10" s="771">
        <f t="shared" si="2"/>
        <v>100</v>
      </c>
      <c r="X10" s="772"/>
      <c r="Y10" s="3317"/>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459"/>
      <c r="Q11" s="1793">
        <f t="shared" si="6"/>
        <v>111</v>
      </c>
      <c r="R11" s="770" t="s">
        <v>17</v>
      </c>
      <c r="S11" s="771">
        <f t="shared" si="0"/>
        <v>100</v>
      </c>
      <c r="T11" s="770" t="s">
        <v>17</v>
      </c>
      <c r="U11" s="771">
        <f t="shared" si="1"/>
        <v>100</v>
      </c>
      <c r="V11" s="770" t="s">
        <v>17</v>
      </c>
      <c r="W11" s="771">
        <f t="shared" si="2"/>
        <v>100</v>
      </c>
      <c r="X11" s="772"/>
      <c r="Y11" s="3317"/>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459"/>
      <c r="Q12" s="1793">
        <f t="shared" si="6"/>
        <v>111</v>
      </c>
      <c r="R12" s="770" t="s">
        <v>17</v>
      </c>
      <c r="S12" s="771">
        <f t="shared" si="0"/>
        <v>100</v>
      </c>
      <c r="T12" s="770" t="s">
        <v>17</v>
      </c>
      <c r="U12" s="771">
        <f t="shared" si="1"/>
        <v>100</v>
      </c>
      <c r="V12" s="770" t="s">
        <v>17</v>
      </c>
      <c r="W12" s="771">
        <f t="shared" si="2"/>
        <v>100</v>
      </c>
      <c r="X12" s="772"/>
      <c r="Y12" s="3317"/>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9"/>
      <c r="M13" s="1130"/>
      <c r="N13" s="1130"/>
      <c r="O13" s="1138"/>
      <c r="P13" s="3459"/>
      <c r="Q13" s="1793">
        <f t="shared" si="6"/>
        <v>111</v>
      </c>
      <c r="R13" s="770" t="s">
        <v>17</v>
      </c>
      <c r="S13" s="771">
        <f t="shared" si="0"/>
        <v>100</v>
      </c>
      <c r="T13" s="770" t="s">
        <v>17</v>
      </c>
      <c r="U13" s="771">
        <f t="shared" si="1"/>
        <v>100</v>
      </c>
      <c r="V13" s="770" t="s">
        <v>17</v>
      </c>
      <c r="W13" s="771">
        <f t="shared" si="2"/>
        <v>100</v>
      </c>
      <c r="X13" s="772"/>
      <c r="Y13" s="3317"/>
      <c r="Z13" s="55">
        <f t="shared" si="7"/>
        <v>111</v>
      </c>
      <c r="AA13" s="773">
        <f t="shared" si="3"/>
        <v>1</v>
      </c>
      <c r="AB13" s="773">
        <f t="shared" si="4"/>
        <v>1</v>
      </c>
      <c r="AC13" s="773">
        <f t="shared" si="5"/>
        <v>1</v>
      </c>
    </row>
    <row r="14" spans="1:29" ht="15">
      <c r="A14" s="440" t="s">
        <v>2548</v>
      </c>
      <c r="B14" s="69" t="s">
        <v>2698</v>
      </c>
      <c r="C14" s="268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474" t="s">
        <v>2549</v>
      </c>
      <c r="Q14" s="1808" t="str">
        <f t="shared" si="6"/>
        <v>交通便捷度</v>
      </c>
      <c r="R14" s="774" t="s">
        <v>17</v>
      </c>
      <c r="S14" s="775">
        <f t="shared" si="0"/>
        <v>100</v>
      </c>
      <c r="T14" s="774" t="s">
        <v>17</v>
      </c>
      <c r="U14" s="775">
        <f t="shared" si="1"/>
        <v>100</v>
      </c>
      <c r="V14" s="774" t="s">
        <v>17</v>
      </c>
      <c r="W14" s="775">
        <f t="shared" si="2"/>
        <v>100</v>
      </c>
      <c r="X14" s="1811"/>
      <c r="Y14" s="3474"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475"/>
      <c r="Q15" s="1808"/>
      <c r="R15" s="774"/>
      <c r="S15" s="775"/>
      <c r="T15" s="774"/>
      <c r="U15" s="775"/>
      <c r="V15" s="774"/>
      <c r="W15" s="775"/>
      <c r="X15" s="1811"/>
      <c r="Y15" s="3475"/>
      <c r="Z15" s="1812"/>
      <c r="AA15" s="1809">
        <v>1</v>
      </c>
      <c r="AB15" s="1809">
        <v>1</v>
      </c>
      <c r="AC15" s="1809">
        <v>1</v>
      </c>
    </row>
    <row r="16" spans="1:29" ht="15">
      <c r="A16" s="428"/>
      <c r="B16" s="451" t="s">
        <v>2677</v>
      </c>
      <c r="C16" s="259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475"/>
      <c r="Q16" s="1808" t="str">
        <f>B16</f>
        <v>公共配套设施</v>
      </c>
      <c r="R16" s="774" t="s">
        <v>17</v>
      </c>
      <c r="S16" s="775">
        <f>F16</f>
        <v>100</v>
      </c>
      <c r="T16" s="774" t="s">
        <v>17</v>
      </c>
      <c r="U16" s="775">
        <f>H16</f>
        <v>100</v>
      </c>
      <c r="V16" s="774" t="s">
        <v>17</v>
      </c>
      <c r="W16" s="775">
        <f>J16</f>
        <v>100</v>
      </c>
      <c r="X16" s="1811"/>
      <c r="Y16" s="3475"/>
      <c r="Z16" s="1812" t="str">
        <f>Q16</f>
        <v>公共配套设施</v>
      </c>
      <c r="AA16" s="1809">
        <f t="shared" si="3"/>
        <v>1</v>
      </c>
      <c r="AB16" s="1809">
        <f t="shared" si="4"/>
        <v>1</v>
      </c>
      <c r="AC16" s="1809">
        <f t="shared" si="5"/>
        <v>1</v>
      </c>
    </row>
    <row r="17" spans="1:29" ht="15">
      <c r="A17" s="428"/>
      <c r="B17" s="456"/>
      <c r="C17" s="2597"/>
      <c r="D17" s="448"/>
      <c r="E17" s="447"/>
      <c r="F17" s="449"/>
      <c r="G17" s="447"/>
      <c r="H17" s="448"/>
      <c r="I17" s="447"/>
      <c r="J17" s="448"/>
      <c r="K17" s="615"/>
      <c r="L17" s="1139"/>
      <c r="M17" s="1130"/>
      <c r="N17" s="1130"/>
      <c r="O17" s="1138"/>
      <c r="P17" s="3475"/>
      <c r="Q17" s="1808"/>
      <c r="R17" s="774"/>
      <c r="S17" s="775"/>
      <c r="T17" s="774"/>
      <c r="U17" s="775"/>
      <c r="V17" s="774"/>
      <c r="W17" s="775"/>
      <c r="X17" s="1811"/>
      <c r="Y17" s="3475"/>
      <c r="Z17" s="1812"/>
      <c r="AA17" s="1809">
        <v>1</v>
      </c>
      <c r="AB17" s="1809">
        <v>1</v>
      </c>
      <c r="AC17" s="1809">
        <v>1</v>
      </c>
    </row>
    <row r="18" spans="1:29" ht="15">
      <c r="A18" s="428"/>
      <c r="B18" s="1383" t="s">
        <v>2678</v>
      </c>
      <c r="C18" s="259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475"/>
      <c r="Q18" s="1808" t="str">
        <f>B18</f>
        <v>基础设施水平</v>
      </c>
      <c r="R18" s="774" t="s">
        <v>17</v>
      </c>
      <c r="S18" s="775">
        <f>F18</f>
        <v>100</v>
      </c>
      <c r="T18" s="774" t="s">
        <v>17</v>
      </c>
      <c r="U18" s="775">
        <f>H18</f>
        <v>100</v>
      </c>
      <c r="V18" s="774" t="s">
        <v>17</v>
      </c>
      <c r="W18" s="775">
        <f>J18</f>
        <v>100</v>
      </c>
      <c r="X18" s="1811"/>
      <c r="Y18" s="3475"/>
      <c r="Z18" s="1812" t="str">
        <f>Q18</f>
        <v>基础设施水平</v>
      </c>
      <c r="AA18" s="1809">
        <f t="shared" ref="AA18" si="8">D18/F18</f>
        <v>1</v>
      </c>
      <c r="AB18" s="1809">
        <f t="shared" ref="AB18" si="9">D18/H18</f>
        <v>1</v>
      </c>
      <c r="AC18" s="1809">
        <f t="shared" ref="AC18" si="10">D18/J18</f>
        <v>1</v>
      </c>
    </row>
    <row r="19" spans="1:29" ht="15">
      <c r="A19" s="428"/>
      <c r="B19" s="1383"/>
      <c r="C19" s="2597"/>
      <c r="D19" s="450"/>
      <c r="E19" s="2597"/>
      <c r="F19" s="453"/>
      <c r="G19" s="2597"/>
      <c r="H19" s="448"/>
      <c r="I19" s="447"/>
      <c r="J19" s="448"/>
      <c r="K19" s="1382"/>
      <c r="L19" s="1139"/>
      <c r="M19" s="1130"/>
      <c r="N19" s="1130"/>
      <c r="O19" s="1138"/>
      <c r="P19" s="3475"/>
      <c r="Q19" s="1808"/>
      <c r="R19" s="774"/>
      <c r="S19" s="775"/>
      <c r="T19" s="774"/>
      <c r="U19" s="775"/>
      <c r="V19" s="774"/>
      <c r="W19" s="775"/>
      <c r="X19" s="1811"/>
      <c r="Y19" s="3475"/>
      <c r="Z19" s="1812"/>
      <c r="AA19" s="1809">
        <v>1</v>
      </c>
      <c r="AB19" s="1809">
        <v>1</v>
      </c>
      <c r="AC19" s="1809">
        <v>1</v>
      </c>
    </row>
    <row r="20" spans="1:29" ht="15">
      <c r="A20" s="428"/>
      <c r="B20" s="451" t="s">
        <v>2699</v>
      </c>
      <c r="C20" s="259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475"/>
      <c r="Q20" s="1808" t="str">
        <f>B20</f>
        <v>自然及人文环境</v>
      </c>
      <c r="R20" s="774" t="s">
        <v>17</v>
      </c>
      <c r="S20" s="775">
        <f>F20</f>
        <v>100</v>
      </c>
      <c r="T20" s="774" t="s">
        <v>17</v>
      </c>
      <c r="U20" s="775">
        <f>H20</f>
        <v>100</v>
      </c>
      <c r="V20" s="774" t="s">
        <v>17</v>
      </c>
      <c r="W20" s="775">
        <f>J20</f>
        <v>100</v>
      </c>
      <c r="X20" s="1811"/>
      <c r="Y20" s="347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475"/>
      <c r="Q21" s="1808"/>
      <c r="R21" s="774"/>
      <c r="S21" s="775"/>
      <c r="T21" s="774"/>
      <c r="U21" s="775"/>
      <c r="V21" s="774"/>
      <c r="W21" s="775"/>
      <c r="X21" s="1811"/>
      <c r="Y21" s="3475"/>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475"/>
      <c r="Q22" s="1808" t="str">
        <f>B22</f>
        <v>楼层</v>
      </c>
      <c r="R22" s="774" t="s">
        <v>17</v>
      </c>
      <c r="S22" s="775">
        <f>F22</f>
        <v>100</v>
      </c>
      <c r="T22" s="774" t="s">
        <v>17</v>
      </c>
      <c r="U22" s="775">
        <f>H22</f>
        <v>100</v>
      </c>
      <c r="V22" s="774" t="s">
        <v>17</v>
      </c>
      <c r="W22" s="775">
        <f>J22</f>
        <v>100</v>
      </c>
      <c r="X22" s="1811"/>
      <c r="Y22" s="3475"/>
      <c r="Z22" s="1812" t="str">
        <f>Q22</f>
        <v>楼层</v>
      </c>
      <c r="AA22" s="1809">
        <f t="shared" si="3"/>
        <v>1</v>
      </c>
      <c r="AB22" s="1809">
        <f t="shared" si="4"/>
        <v>1</v>
      </c>
      <c r="AC22" s="1809">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475"/>
      <c r="Q23" s="1808">
        <f>B23</f>
        <v>111</v>
      </c>
      <c r="R23" s="774" t="s">
        <v>17</v>
      </c>
      <c r="S23" s="775">
        <f>F23</f>
        <v>100</v>
      </c>
      <c r="T23" s="774" t="s">
        <v>17</v>
      </c>
      <c r="U23" s="775">
        <f>H23</f>
        <v>100</v>
      </c>
      <c r="V23" s="774" t="s">
        <v>17</v>
      </c>
      <c r="W23" s="775">
        <f>J23</f>
        <v>100</v>
      </c>
      <c r="X23" s="1811"/>
      <c r="Y23" s="3475"/>
      <c r="Z23" s="1812">
        <f>Q23</f>
        <v>111</v>
      </c>
      <c r="AA23" s="1809">
        <f t="shared" si="3"/>
        <v>1</v>
      </c>
      <c r="AB23" s="1809">
        <f t="shared" si="4"/>
        <v>1</v>
      </c>
      <c r="AC23" s="1809">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475"/>
      <c r="Q24" s="1808">
        <f t="shared" ref="Q24:Q34" si="11">B24</f>
        <v>111</v>
      </c>
      <c r="R24" s="774" t="s">
        <v>17</v>
      </c>
      <c r="S24" s="775">
        <f>F24</f>
        <v>100</v>
      </c>
      <c r="T24" s="774" t="s">
        <v>17</v>
      </c>
      <c r="U24" s="775">
        <f>H24</f>
        <v>100</v>
      </c>
      <c r="V24" s="774" t="s">
        <v>17</v>
      </c>
      <c r="W24" s="775">
        <f>J24</f>
        <v>100</v>
      </c>
      <c r="X24" s="1811"/>
      <c r="Y24" s="3475"/>
      <c r="Z24" s="1812">
        <f>Q24</f>
        <v>111</v>
      </c>
      <c r="AA24" s="1809">
        <f t="shared" si="3"/>
        <v>1</v>
      </c>
      <c r="AB24" s="1809">
        <f t="shared" si="4"/>
        <v>1</v>
      </c>
      <c r="AC24" s="1809">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1"/>
      <c r="M25" s="1132"/>
      <c r="N25" s="1132"/>
      <c r="O25" s="1133"/>
      <c r="P25" s="3475"/>
      <c r="Q25" s="1793">
        <f t="shared" si="11"/>
        <v>111</v>
      </c>
      <c r="R25" s="770" t="s">
        <v>17</v>
      </c>
      <c r="S25" s="771">
        <f>F25</f>
        <v>100</v>
      </c>
      <c r="T25" s="770" t="s">
        <v>17</v>
      </c>
      <c r="U25" s="771">
        <f>H25</f>
        <v>100</v>
      </c>
      <c r="V25" s="770" t="s">
        <v>17</v>
      </c>
      <c r="W25" s="771">
        <f>J25</f>
        <v>100</v>
      </c>
      <c r="X25" s="772"/>
      <c r="Y25" s="3475"/>
      <c r="Z25" s="55">
        <f>Q25</f>
        <v>111</v>
      </c>
      <c r="AA25" s="1809">
        <f>D25/F25</f>
        <v>1</v>
      </c>
      <c r="AB25" s="1809">
        <f>D25/H25</f>
        <v>1</v>
      </c>
      <c r="AC25" s="1809">
        <f>D25/J25</f>
        <v>1</v>
      </c>
    </row>
    <row r="26" spans="1:29" ht="28.5">
      <c r="A26" s="466" t="s">
        <v>2552</v>
      </c>
      <c r="B26" s="71" t="s">
        <v>2703</v>
      </c>
      <c r="C26" s="2668"/>
      <c r="D26" s="467">
        <v>100</v>
      </c>
      <c r="E26" s="2668"/>
      <c r="F26" s="667">
        <f>SUMIF(77:77,E26,78:78)-SUMIF(77:77,C26,78:78)+100</f>
        <v>100</v>
      </c>
      <c r="G26" s="2668"/>
      <c r="H26" s="467">
        <f>SUMIF(77:77,G26,78:78)-SUMIF(77:77,C26,78:78)+100</f>
        <v>100</v>
      </c>
      <c r="I26" s="2668"/>
      <c r="J26" s="467">
        <f>SUMIF(77:77,I26,78:78)-SUMIF(77:77,C26,78:78)+100</f>
        <v>100</v>
      </c>
      <c r="K26" s="612"/>
      <c r="L26" s="1139"/>
      <c r="M26" s="1130"/>
      <c r="N26" s="1130"/>
      <c r="O26" s="1138"/>
      <c r="P26" s="3622" t="s">
        <v>2554</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467"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467"/>
      <c r="Q27" s="776" t="str">
        <f t="shared" si="11"/>
        <v>成新率</v>
      </c>
      <c r="R27" s="777" t="s">
        <v>17</v>
      </c>
      <c r="S27" s="778" t="e">
        <f t="shared" si="12"/>
        <v>#N/A</v>
      </c>
      <c r="T27" s="777" t="s">
        <v>17</v>
      </c>
      <c r="U27" s="778" t="e">
        <f t="shared" si="13"/>
        <v>#N/A</v>
      </c>
      <c r="V27" s="777" t="s">
        <v>17</v>
      </c>
      <c r="W27" s="778" t="e">
        <f t="shared" si="14"/>
        <v>#N/A</v>
      </c>
      <c r="X27" s="779"/>
      <c r="Y27" s="3467"/>
      <c r="Z27" s="780"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467"/>
      <c r="Q28" s="1808" t="str">
        <f t="shared" si="11"/>
        <v>物业等级</v>
      </c>
      <c r="R28" s="774" t="s">
        <v>17</v>
      </c>
      <c r="S28" s="775">
        <f t="shared" si="12"/>
        <v>100</v>
      </c>
      <c r="T28" s="774" t="s">
        <v>17</v>
      </c>
      <c r="U28" s="775">
        <f t="shared" si="13"/>
        <v>100</v>
      </c>
      <c r="V28" s="774" t="s">
        <v>17</v>
      </c>
      <c r="W28" s="775">
        <f t="shared" si="14"/>
        <v>100</v>
      </c>
      <c r="X28" s="1811"/>
      <c r="Y28" s="3467"/>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467"/>
      <c r="Q29" s="1808" t="str">
        <f t="shared" si="11"/>
        <v>有无电梯</v>
      </c>
      <c r="R29" s="774" t="s">
        <v>17</v>
      </c>
      <c r="S29" s="775">
        <f t="shared" si="12"/>
        <v>100</v>
      </c>
      <c r="T29" s="774" t="s">
        <v>17</v>
      </c>
      <c r="U29" s="775">
        <f t="shared" si="13"/>
        <v>100</v>
      </c>
      <c r="V29" s="774" t="s">
        <v>17</v>
      </c>
      <c r="W29" s="775">
        <f t="shared" si="14"/>
        <v>100</v>
      </c>
      <c r="X29" s="1811"/>
      <c r="Y29" s="3467"/>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467"/>
      <c r="Q30" s="1808" t="str">
        <f t="shared" si="11"/>
        <v>建筑面积</v>
      </c>
      <c r="R30" s="774" t="s">
        <v>17</v>
      </c>
      <c r="S30" s="775" t="e">
        <f t="shared" si="12"/>
        <v>#N/A</v>
      </c>
      <c r="T30" s="774" t="s">
        <v>17</v>
      </c>
      <c r="U30" s="775" t="e">
        <f t="shared" si="13"/>
        <v>#N/A</v>
      </c>
      <c r="V30" s="774" t="s">
        <v>17</v>
      </c>
      <c r="W30" s="775" t="e">
        <f t="shared" si="14"/>
        <v>#N/A</v>
      </c>
      <c r="X30" s="1811"/>
      <c r="Y30" s="3467"/>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467"/>
      <c r="Q31" s="1793" t="str">
        <f t="shared" si="11"/>
        <v>是否封闭</v>
      </c>
      <c r="R31" s="770" t="s">
        <v>17</v>
      </c>
      <c r="S31" s="771">
        <f t="shared" si="12"/>
        <v>100</v>
      </c>
      <c r="T31" s="770" t="s">
        <v>17</v>
      </c>
      <c r="U31" s="771">
        <f t="shared" si="13"/>
        <v>100</v>
      </c>
      <c r="V31" s="770" t="s">
        <v>17</v>
      </c>
      <c r="W31" s="771">
        <f t="shared" si="14"/>
        <v>100</v>
      </c>
      <c r="X31" s="772"/>
      <c r="Y31" s="3467"/>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467" t="s">
        <v>2554</v>
      </c>
      <c r="Q32" s="1808">
        <f t="shared" si="11"/>
        <v>111</v>
      </c>
      <c r="R32" s="774" t="s">
        <v>17</v>
      </c>
      <c r="S32" s="775">
        <f t="shared" si="12"/>
        <v>100</v>
      </c>
      <c r="T32" s="774" t="s">
        <v>17</v>
      </c>
      <c r="U32" s="775">
        <f t="shared" si="13"/>
        <v>100</v>
      </c>
      <c r="V32" s="774" t="s">
        <v>17</v>
      </c>
      <c r="W32" s="775">
        <f t="shared" si="14"/>
        <v>100</v>
      </c>
      <c r="X32" s="1811"/>
      <c r="Y32" s="3467" t="s">
        <v>2554</v>
      </c>
      <c r="Z32" s="1812">
        <f t="shared" si="15"/>
        <v>111</v>
      </c>
      <c r="AA32" s="1809">
        <f t="shared" si="3"/>
        <v>1</v>
      </c>
      <c r="AB32" s="1809">
        <f t="shared" si="4"/>
        <v>1</v>
      </c>
      <c r="AC32" s="1809">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467"/>
      <c r="Q33" s="1808">
        <f t="shared" si="11"/>
        <v>111</v>
      </c>
      <c r="R33" s="774" t="s">
        <v>17</v>
      </c>
      <c r="S33" s="775">
        <f t="shared" si="12"/>
        <v>100</v>
      </c>
      <c r="T33" s="774" t="s">
        <v>17</v>
      </c>
      <c r="U33" s="775">
        <f t="shared" si="13"/>
        <v>100</v>
      </c>
      <c r="V33" s="774" t="s">
        <v>17</v>
      </c>
      <c r="W33" s="775">
        <f t="shared" si="14"/>
        <v>100</v>
      </c>
      <c r="X33" s="1811"/>
      <c r="Y33" s="3467"/>
      <c r="Z33" s="1812">
        <f t="shared" si="15"/>
        <v>111</v>
      </c>
      <c r="AA33" s="1809">
        <f t="shared" si="3"/>
        <v>1</v>
      </c>
      <c r="AB33" s="1809">
        <f t="shared" si="4"/>
        <v>1</v>
      </c>
      <c r="AC33" s="1809">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9"/>
      <c r="M34" s="1130"/>
      <c r="N34" s="1130"/>
      <c r="O34" s="1138"/>
      <c r="P34" s="3467"/>
      <c r="Q34" s="1808">
        <f t="shared" si="11"/>
        <v>111</v>
      </c>
      <c r="R34" s="774" t="s">
        <v>17</v>
      </c>
      <c r="S34" s="775">
        <f t="shared" si="12"/>
        <v>100</v>
      </c>
      <c r="T34" s="774" t="s">
        <v>17</v>
      </c>
      <c r="U34" s="775">
        <f t="shared" si="13"/>
        <v>100</v>
      </c>
      <c r="V34" s="774" t="s">
        <v>17</v>
      </c>
      <c r="W34" s="775">
        <f t="shared" si="14"/>
        <v>100</v>
      </c>
      <c r="X34" s="1811"/>
      <c r="Y34" s="3467"/>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3"/>
      <c r="L35" s="1142"/>
      <c r="M35" s="1143"/>
      <c r="N35" s="1130"/>
      <c r="O35" s="1143"/>
      <c r="P35" s="3459" t="str">
        <f>A35</f>
        <v>成交单价（元/平方米）</v>
      </c>
      <c r="Q35" s="3459"/>
      <c r="R35" s="3460">
        <f>E35</f>
        <v>0</v>
      </c>
      <c r="S35" s="3460"/>
      <c r="T35" s="3460">
        <f>G35</f>
        <v>0</v>
      </c>
      <c r="U35" s="3460"/>
      <c r="V35" s="3460">
        <f>I35</f>
        <v>0</v>
      </c>
      <c r="W35" s="3460"/>
      <c r="X35" s="759"/>
      <c r="Y35" s="781"/>
      <c r="Z35" s="759"/>
      <c r="AA35" s="759"/>
      <c r="AB35" s="759"/>
      <c r="AC35" s="759"/>
    </row>
    <row r="36" spans="1:29" ht="15.7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759"/>
      <c r="Y36" s="759"/>
      <c r="Z36" s="759"/>
      <c r="AA36" s="759"/>
      <c r="AB36" s="759"/>
      <c r="AC36" s="759"/>
    </row>
    <row r="37" spans="1:29" ht="15.75" thickBot="1">
      <c r="A37" s="492" t="s">
        <v>2659</v>
      </c>
      <c r="B37" s="493"/>
      <c r="C37" s="1416" t="e">
        <f>R37</f>
        <v>#DIV/0!</v>
      </c>
      <c r="D37" s="1416"/>
      <c r="E37" s="1416"/>
      <c r="F37" s="1416"/>
      <c r="G37" s="1416"/>
      <c r="H37" s="1416"/>
      <c r="I37" s="1416"/>
      <c r="J37" s="1416"/>
      <c r="K37" s="785"/>
      <c r="L37" s="1142"/>
      <c r="M37" s="1143"/>
      <c r="N37" s="1143"/>
      <c r="O37" s="1143"/>
      <c r="P37" s="3461" t="str">
        <f>A37</f>
        <v>估价对象XX用房的比较价值（楼面单价，元/平方米）</v>
      </c>
      <c r="Q37" s="3462"/>
      <c r="R37" s="3463" t="e">
        <f>IF(F1="售价",ROUND(AVERAGE(R36:V36),0),ROUND(AVERAGE(R36:V36),1))</f>
        <v>#DIV/0!</v>
      </c>
      <c r="S37" s="3463"/>
      <c r="T37" s="3463"/>
      <c r="U37" s="3463"/>
      <c r="V37" s="3463"/>
      <c r="W37" s="346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2634</v>
      </c>
      <c r="B4" s="402"/>
      <c r="C4" s="3491" t="s">
        <v>2635</v>
      </c>
      <c r="D4" s="3492"/>
      <c r="E4" s="3493" t="s">
        <v>2636</v>
      </c>
      <c r="F4" s="3494"/>
      <c r="G4" s="3491" t="s">
        <v>2637</v>
      </c>
      <c r="H4" s="3492"/>
      <c r="I4" s="3491" t="s">
        <v>2638</v>
      </c>
      <c r="J4" s="3492"/>
      <c r="K4" s="610" t="s">
        <v>2639</v>
      </c>
      <c r="L4" s="1129"/>
      <c r="M4" s="1130"/>
      <c r="N4" s="1130"/>
      <c r="O4" s="1130"/>
      <c r="P4" s="3495" t="s">
        <v>2640</v>
      </c>
      <c r="Q4" s="3496"/>
      <c r="R4" s="3481" t="s">
        <v>2636</v>
      </c>
      <c r="S4" s="3482"/>
      <c r="T4" s="3481" t="s">
        <v>2637</v>
      </c>
      <c r="U4" s="3482"/>
      <c r="V4" s="3487" t="s">
        <v>2638</v>
      </c>
      <c r="W4" s="3487"/>
      <c r="X4" s="1811"/>
      <c r="Y4" s="3481" t="s">
        <v>2640</v>
      </c>
      <c r="Z4" s="3482"/>
      <c r="AA4" s="3488" t="s">
        <v>2636</v>
      </c>
      <c r="AB4" s="3489" t="s">
        <v>2637</v>
      </c>
      <c r="AC4" s="3488" t="s">
        <v>2638</v>
      </c>
    </row>
    <row r="5" spans="1:30" ht="15">
      <c r="A5" s="404"/>
      <c r="B5" s="405"/>
      <c r="C5" s="3505" t="s">
        <v>2531</v>
      </c>
      <c r="D5" s="3502"/>
      <c r="E5" s="3606" t="s">
        <v>2532</v>
      </c>
      <c r="F5" s="3504"/>
      <c r="G5" s="3505" t="s">
        <v>2533</v>
      </c>
      <c r="H5" s="3502"/>
      <c r="I5" s="3505" t="s">
        <v>2534</v>
      </c>
      <c r="J5" s="3502"/>
      <c r="K5" s="610"/>
      <c r="L5" s="1129"/>
      <c r="M5" s="1130"/>
      <c r="N5" s="1130"/>
      <c r="O5" s="1130"/>
      <c r="P5" s="3497"/>
      <c r="Q5" s="3498"/>
      <c r="R5" s="3483"/>
      <c r="S5" s="3484"/>
      <c r="T5" s="3483"/>
      <c r="U5" s="3484"/>
      <c r="V5" s="3487"/>
      <c r="W5" s="3487"/>
      <c r="X5" s="1811"/>
      <c r="Y5" s="3483"/>
      <c r="Z5" s="3484"/>
      <c r="AA5" s="3489"/>
      <c r="AB5" s="3489"/>
      <c r="AC5" s="3489"/>
    </row>
    <row r="6" spans="1:30" ht="15.75" thickBot="1">
      <c r="A6" s="406"/>
      <c r="B6" s="407"/>
      <c r="C6" s="3476" t="s">
        <v>2535</v>
      </c>
      <c r="D6" s="3477"/>
      <c r="E6" s="3478" t="s">
        <v>2535</v>
      </c>
      <c r="F6" s="3479"/>
      <c r="G6" s="3476" t="s">
        <v>2535</v>
      </c>
      <c r="H6" s="3477"/>
      <c r="I6" s="3476" t="s">
        <v>2535</v>
      </c>
      <c r="J6" s="3477"/>
      <c r="K6" s="610" t="s">
        <v>2536</v>
      </c>
      <c r="L6" s="1129"/>
      <c r="M6" s="1130"/>
      <c r="N6" s="1130"/>
      <c r="O6" s="1130"/>
      <c r="P6" s="3499"/>
      <c r="Q6" s="3500"/>
      <c r="R6" s="3483"/>
      <c r="S6" s="3484"/>
      <c r="T6" s="3485"/>
      <c r="U6" s="3486"/>
      <c r="V6" s="3487"/>
      <c r="W6" s="3487"/>
      <c r="X6" s="1811"/>
      <c r="Y6" s="3485"/>
      <c r="Z6" s="3486"/>
      <c r="AA6" s="3490"/>
      <c r="AB6" s="3490"/>
      <c r="AC6" s="3490"/>
    </row>
    <row r="7" spans="1:30" s="117" customFormat="1" ht="15.75" thickBot="1">
      <c r="A7" s="408" t="s">
        <v>2537</v>
      </c>
      <c r="B7" s="409"/>
      <c r="C7" s="410">
        <f>'数据-取费表'!B2</f>
        <v>43670</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1"/>
      <c r="M7" s="1132"/>
      <c r="N7" s="1132"/>
      <c r="O7" s="1132"/>
      <c r="P7" s="3469" t="s">
        <v>2538</v>
      </c>
      <c r="Q7" s="3480"/>
      <c r="R7" s="770" t="s">
        <v>17</v>
      </c>
      <c r="S7" s="771">
        <f t="shared" ref="S7:S15" si="0">F7</f>
        <v>0</v>
      </c>
      <c r="T7" s="770" t="s">
        <v>17</v>
      </c>
      <c r="U7" s="771">
        <f t="shared" ref="U7:U15" si="1">H7</f>
        <v>0</v>
      </c>
      <c r="V7" s="770" t="s">
        <v>17</v>
      </c>
      <c r="W7" s="771">
        <f t="shared" ref="W7:W15" si="2">J7</f>
        <v>0</v>
      </c>
      <c r="X7" s="772"/>
      <c r="Y7" s="3469" t="s">
        <v>2538</v>
      </c>
      <c r="Z7" s="3470"/>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469" t="s">
        <v>2541</v>
      </c>
      <c r="Q8" s="3470"/>
      <c r="R8" s="770" t="s">
        <v>17</v>
      </c>
      <c r="S8" s="771">
        <f t="shared" si="0"/>
        <v>0</v>
      </c>
      <c r="T8" s="770" t="s">
        <v>17</v>
      </c>
      <c r="U8" s="771">
        <f t="shared" si="1"/>
        <v>0</v>
      </c>
      <c r="V8" s="770" t="s">
        <v>17</v>
      </c>
      <c r="W8" s="771">
        <f t="shared" si="2"/>
        <v>0</v>
      </c>
      <c r="X8" s="772"/>
      <c r="Y8" s="3469" t="s">
        <v>2541</v>
      </c>
      <c r="Z8" s="3470"/>
      <c r="AA8" s="773" t="e">
        <f t="shared" ref="AA8:AA45" si="3">D8/F8</f>
        <v>#DIV/0!</v>
      </c>
      <c r="AB8" s="773" t="e">
        <f t="shared" ref="AB8:AB45" si="4">D8/H8</f>
        <v>#DIV/0!</v>
      </c>
      <c r="AC8" s="773" t="e">
        <f t="shared" ref="AC8:AC45" si="5">D8/J8</f>
        <v>#DIV/0!</v>
      </c>
    </row>
    <row r="9" spans="1:30" s="117" customFormat="1">
      <c r="A9" s="415" t="s">
        <v>2542</v>
      </c>
      <c r="B9" s="71" t="s">
        <v>2543</v>
      </c>
      <c r="C9" s="2688"/>
      <c r="D9" s="135">
        <v>100</v>
      </c>
      <c r="E9" s="2688"/>
      <c r="F9" s="135">
        <f>SUMIF(75:75,E9,76:76)-SUMIF(75:75,C9,76:76)+100</f>
        <v>100</v>
      </c>
      <c r="G9" s="2688"/>
      <c r="H9" s="135">
        <f>SUMIF(75:75,G9,76:76)-SUMIF(75:75,C9,76:76)+100</f>
        <v>100</v>
      </c>
      <c r="I9" s="2688"/>
      <c r="J9" s="135">
        <f>SUMIF(75:75,I9,76:76)-SUMIF(75:75,C9,76:76)+100</f>
        <v>100</v>
      </c>
      <c r="K9" s="611"/>
      <c r="L9" s="1131"/>
      <c r="M9" s="1132"/>
      <c r="N9" s="1132"/>
      <c r="O9" s="1133"/>
      <c r="P9" s="3459" t="s">
        <v>2544</v>
      </c>
      <c r="Q9" s="1793" t="str">
        <f t="shared" ref="Q9:Q15" si="6">B9</f>
        <v>用途</v>
      </c>
      <c r="R9" s="770" t="s">
        <v>17</v>
      </c>
      <c r="S9" s="771">
        <f t="shared" si="0"/>
        <v>100</v>
      </c>
      <c r="T9" s="770" t="s">
        <v>17</v>
      </c>
      <c r="U9" s="771">
        <f t="shared" si="1"/>
        <v>100</v>
      </c>
      <c r="V9" s="770" t="s">
        <v>17</v>
      </c>
      <c r="W9" s="771">
        <f t="shared" si="2"/>
        <v>100</v>
      </c>
      <c r="X9" s="772"/>
      <c r="Y9" s="3317"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 ca="1">ROUND(100/'数据-取费表'!G16,0)</f>
        <v>107</v>
      </c>
      <c r="G10" s="463"/>
      <c r="H10" s="136">
        <f ca="1">ROUND(100/'数据-取费表'!G16,0)</f>
        <v>107</v>
      </c>
      <c r="I10" s="463"/>
      <c r="J10" s="136">
        <f ca="1">ROUND(100/'数据-取费表'!G16,0)</f>
        <v>107</v>
      </c>
      <c r="K10" s="672"/>
      <c r="L10" s="1134"/>
      <c r="M10" s="1135"/>
      <c r="N10" s="1135"/>
      <c r="O10" s="1136"/>
      <c r="P10" s="3459"/>
      <c r="Q10" s="1793" t="str">
        <f t="shared" si="6"/>
        <v>土地使用年限（年）</v>
      </c>
      <c r="R10" s="770" t="s">
        <v>17</v>
      </c>
      <c r="S10" s="771">
        <f t="shared" ca="1" si="0"/>
        <v>107</v>
      </c>
      <c r="T10" s="770" t="s">
        <v>17</v>
      </c>
      <c r="U10" s="771">
        <f t="shared" ca="1" si="1"/>
        <v>107</v>
      </c>
      <c r="V10" s="770" t="s">
        <v>17</v>
      </c>
      <c r="W10" s="771">
        <f t="shared" ca="1" si="2"/>
        <v>107</v>
      </c>
      <c r="X10" s="772"/>
      <c r="Y10" s="3317"/>
      <c r="Z10" s="55" t="str">
        <f t="shared" si="7"/>
        <v>土地使用年限（年）</v>
      </c>
      <c r="AA10" s="773">
        <f t="shared" ca="1" si="3"/>
        <v>0.93457943925233644</v>
      </c>
      <c r="AB10" s="773">
        <f t="shared" ca="1" si="4"/>
        <v>0.93457943925233644</v>
      </c>
      <c r="AC10" s="773">
        <f t="shared" ca="1" si="5"/>
        <v>0.93457943925233644</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459"/>
      <c r="Q11" s="1793" t="str">
        <f t="shared" si="6"/>
        <v>容积率</v>
      </c>
      <c r="R11" s="770" t="s">
        <v>17</v>
      </c>
      <c r="S11" s="771" t="e">
        <f t="shared" si="0"/>
        <v>#N/A</v>
      </c>
      <c r="T11" s="770" t="s">
        <v>17</v>
      </c>
      <c r="U11" s="771" t="e">
        <f t="shared" si="1"/>
        <v>#N/A</v>
      </c>
      <c r="V11" s="770" t="s">
        <v>17</v>
      </c>
      <c r="W11" s="771" t="e">
        <f t="shared" si="2"/>
        <v>#N/A</v>
      </c>
      <c r="X11" s="772"/>
      <c r="Y11" s="3317"/>
      <c r="Z11" s="55" t="str">
        <f t="shared" si="7"/>
        <v>容积率</v>
      </c>
      <c r="AA11" s="773" t="e">
        <f t="shared" si="3"/>
        <v>#N/A</v>
      </c>
      <c r="AB11" s="773" t="e">
        <f t="shared" si="4"/>
        <v>#N/A</v>
      </c>
      <c r="AC11" s="773" t="e">
        <f t="shared" si="5"/>
        <v>#N/A</v>
      </c>
    </row>
    <row r="12" spans="1:30" s="117" customFormat="1" ht="15">
      <c r="A12" s="431"/>
      <c r="B12" s="2589"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459"/>
      <c r="Q12" s="1793" t="str">
        <f t="shared" si="6"/>
        <v>配建</v>
      </c>
      <c r="R12" s="770" t="s">
        <v>17</v>
      </c>
      <c r="S12" s="771">
        <f t="shared" si="0"/>
        <v>100</v>
      </c>
      <c r="T12" s="770" t="s">
        <v>17</v>
      </c>
      <c r="U12" s="771">
        <f t="shared" si="1"/>
        <v>100</v>
      </c>
      <c r="V12" s="770" t="s">
        <v>17</v>
      </c>
      <c r="W12" s="771">
        <f t="shared" si="2"/>
        <v>100</v>
      </c>
      <c r="X12" s="772"/>
      <c r="Y12" s="3317"/>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459"/>
      <c r="Q13" s="1793">
        <f t="shared" si="6"/>
        <v>111</v>
      </c>
      <c r="R13" s="770" t="s">
        <v>17</v>
      </c>
      <c r="S13" s="771">
        <f t="shared" si="0"/>
        <v>100</v>
      </c>
      <c r="T13" s="770" t="s">
        <v>17</v>
      </c>
      <c r="U13" s="771">
        <f t="shared" si="1"/>
        <v>100</v>
      </c>
      <c r="V13" s="770" t="s">
        <v>17</v>
      </c>
      <c r="W13" s="771">
        <f t="shared" si="2"/>
        <v>100</v>
      </c>
      <c r="X13" s="772"/>
      <c r="Y13" s="3317"/>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459"/>
      <c r="Q14" s="1793">
        <f t="shared" si="6"/>
        <v>111</v>
      </c>
      <c r="R14" s="770" t="s">
        <v>17</v>
      </c>
      <c r="S14" s="771">
        <f t="shared" si="0"/>
        <v>100</v>
      </c>
      <c r="T14" s="770" t="s">
        <v>17</v>
      </c>
      <c r="U14" s="771">
        <f t="shared" si="1"/>
        <v>100</v>
      </c>
      <c r="V14" s="770" t="s">
        <v>17</v>
      </c>
      <c r="W14" s="771">
        <f t="shared" si="2"/>
        <v>100</v>
      </c>
      <c r="X14" s="772"/>
      <c r="Y14" s="3317"/>
      <c r="Z14" s="55">
        <f t="shared" si="7"/>
        <v>111</v>
      </c>
      <c r="AA14" s="773">
        <f>D14/F14</f>
        <v>1</v>
      </c>
      <c r="AB14" s="773">
        <f>D14/H14</f>
        <v>1</v>
      </c>
      <c r="AC14" s="773">
        <f>D14/J14</f>
        <v>1</v>
      </c>
    </row>
    <row r="15" spans="1:30" ht="15">
      <c r="A15" s="440" t="s">
        <v>2548</v>
      </c>
      <c r="B15" s="69" t="s">
        <v>2077</v>
      </c>
      <c r="C15" s="2592"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474" t="s">
        <v>2549</v>
      </c>
      <c r="Q15" s="1808" t="str">
        <f t="shared" si="6"/>
        <v>居住社区成熟度</v>
      </c>
      <c r="R15" s="774" t="s">
        <v>17</v>
      </c>
      <c r="S15" s="775">
        <f t="shared" si="0"/>
        <v>100</v>
      </c>
      <c r="T15" s="774" t="s">
        <v>17</v>
      </c>
      <c r="U15" s="775">
        <f t="shared" si="1"/>
        <v>100</v>
      </c>
      <c r="V15" s="774" t="s">
        <v>17</v>
      </c>
      <c r="W15" s="775">
        <f t="shared" si="2"/>
        <v>100</v>
      </c>
      <c r="X15" s="1811"/>
      <c r="Y15" s="3474" t="s">
        <v>2549</v>
      </c>
      <c r="Z15" s="1812" t="str">
        <f t="shared" si="7"/>
        <v>居住社区成熟度</v>
      </c>
      <c r="AA15" s="1809">
        <f t="shared" si="3"/>
        <v>1</v>
      </c>
      <c r="AB15" s="1809">
        <f t="shared" si="4"/>
        <v>1</v>
      </c>
      <c r="AC15" s="1809">
        <f t="shared" si="5"/>
        <v>1</v>
      </c>
    </row>
    <row r="16" spans="1:30" ht="15">
      <c r="A16" s="428"/>
      <c r="B16" s="446"/>
      <c r="C16" s="447"/>
      <c r="D16" s="448"/>
      <c r="E16" s="2594"/>
      <c r="F16" s="448"/>
      <c r="G16" s="2594"/>
      <c r="H16" s="450"/>
      <c r="I16" s="2593"/>
      <c r="J16" s="448"/>
      <c r="K16" s="672"/>
      <c r="L16" s="1139"/>
      <c r="M16" s="1130"/>
      <c r="N16" s="1130"/>
      <c r="O16" s="1138"/>
      <c r="P16" s="3475"/>
      <c r="Q16" s="1808"/>
      <c r="R16" s="774"/>
      <c r="S16" s="775"/>
      <c r="T16" s="774"/>
      <c r="U16" s="775"/>
      <c r="V16" s="774"/>
      <c r="W16" s="775"/>
      <c r="X16" s="1811"/>
      <c r="Y16" s="3475"/>
      <c r="Z16" s="1812"/>
      <c r="AA16" s="1809">
        <v>1</v>
      </c>
      <c r="AB16" s="1809">
        <v>1</v>
      </c>
      <c r="AC16" s="1809">
        <v>1</v>
      </c>
    </row>
    <row r="17" spans="1:29" ht="15">
      <c r="A17" s="428"/>
      <c r="B17" s="451" t="s">
        <v>2642</v>
      </c>
      <c r="C17" s="2653"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475"/>
      <c r="Q17" s="1808" t="str">
        <f>B17</f>
        <v>商业繁华度</v>
      </c>
      <c r="R17" s="774" t="s">
        <v>17</v>
      </c>
      <c r="S17" s="775">
        <f>F17</f>
        <v>100</v>
      </c>
      <c r="T17" s="774" t="s">
        <v>17</v>
      </c>
      <c r="U17" s="775">
        <f>H17</f>
        <v>100</v>
      </c>
      <c r="V17" s="774" t="s">
        <v>17</v>
      </c>
      <c r="W17" s="775">
        <f>J17</f>
        <v>100</v>
      </c>
      <c r="X17" s="1811"/>
      <c r="Y17" s="3475"/>
      <c r="Z17" s="1812" t="str">
        <f>Q17</f>
        <v>商业繁华度</v>
      </c>
      <c r="AA17" s="1809">
        <f t="shared" si="3"/>
        <v>1</v>
      </c>
      <c r="AB17" s="1809">
        <f t="shared" si="4"/>
        <v>1</v>
      </c>
      <c r="AC17" s="1809">
        <f t="shared" si="5"/>
        <v>1</v>
      </c>
    </row>
    <row r="18" spans="1:29" ht="15">
      <c r="A18" s="428"/>
      <c r="B18" s="456"/>
      <c r="C18" s="2597"/>
      <c r="D18" s="450"/>
      <c r="E18" s="2599"/>
      <c r="F18" s="450"/>
      <c r="G18" s="2599"/>
      <c r="H18" s="448"/>
      <c r="I18" s="2598"/>
      <c r="J18" s="448"/>
      <c r="K18" s="672"/>
      <c r="L18" s="1139"/>
      <c r="M18" s="1130"/>
      <c r="N18" s="1130"/>
      <c r="O18" s="1138"/>
      <c r="P18" s="3475"/>
      <c r="Q18" s="1808"/>
      <c r="R18" s="774"/>
      <c r="S18" s="775"/>
      <c r="T18" s="774"/>
      <c r="U18" s="775"/>
      <c r="V18" s="774"/>
      <c r="W18" s="775"/>
      <c r="X18" s="1811"/>
      <c r="Y18" s="3475"/>
      <c r="Z18" s="1812"/>
      <c r="AA18" s="1809">
        <v>1</v>
      </c>
      <c r="AB18" s="1809">
        <v>1</v>
      </c>
      <c r="AC18" s="1809">
        <v>1</v>
      </c>
    </row>
    <row r="19" spans="1:29" ht="15">
      <c r="A19" s="428"/>
      <c r="B19" s="451" t="s">
        <v>2676</v>
      </c>
      <c r="C19" s="265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475"/>
      <c r="Q19" s="1808" t="str">
        <f>B19</f>
        <v>办公集聚程度</v>
      </c>
      <c r="R19" s="774" t="s">
        <v>17</v>
      </c>
      <c r="S19" s="775">
        <f>F19</f>
        <v>100</v>
      </c>
      <c r="T19" s="774" t="s">
        <v>17</v>
      </c>
      <c r="U19" s="775">
        <f>H19</f>
        <v>100</v>
      </c>
      <c r="V19" s="774" t="s">
        <v>17</v>
      </c>
      <c r="W19" s="775">
        <f>J19</f>
        <v>100</v>
      </c>
      <c r="X19" s="1811"/>
      <c r="Y19" s="3475"/>
      <c r="Z19" s="1812" t="str">
        <f>Q19</f>
        <v>办公集聚程度</v>
      </c>
      <c r="AA19" s="1809">
        <f t="shared" si="3"/>
        <v>1</v>
      </c>
      <c r="AB19" s="1809">
        <f t="shared" si="4"/>
        <v>1</v>
      </c>
      <c r="AC19" s="1809">
        <f t="shared" si="5"/>
        <v>1</v>
      </c>
    </row>
    <row r="20" spans="1:29" ht="15">
      <c r="A20" s="428"/>
      <c r="B20" s="456"/>
      <c r="C20" s="447"/>
      <c r="D20" s="448"/>
      <c r="E20" s="2594"/>
      <c r="F20" s="448"/>
      <c r="G20" s="2594"/>
      <c r="H20" s="448"/>
      <c r="I20" s="2593"/>
      <c r="J20" s="448"/>
      <c r="K20" s="672"/>
      <c r="L20" s="1139"/>
      <c r="M20" s="1130"/>
      <c r="N20" s="1130"/>
      <c r="O20" s="1138"/>
      <c r="P20" s="3475"/>
      <c r="Q20" s="1808"/>
      <c r="R20" s="774"/>
      <c r="S20" s="775"/>
      <c r="T20" s="774"/>
      <c r="U20" s="775"/>
      <c r="V20" s="774"/>
      <c r="W20" s="775"/>
      <c r="X20" s="1811"/>
      <c r="Y20" s="3475"/>
      <c r="Z20" s="1812"/>
      <c r="AA20" s="1809">
        <v>1</v>
      </c>
      <c r="AB20" s="1809">
        <v>1</v>
      </c>
      <c r="AC20" s="1809">
        <v>1</v>
      </c>
    </row>
    <row r="21" spans="1:29" ht="15">
      <c r="A21" s="428"/>
      <c r="B21" s="451" t="s">
        <v>2698</v>
      </c>
      <c r="C21" s="259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475"/>
      <c r="Q21" s="1808" t="str">
        <f>B21</f>
        <v>交通便捷度</v>
      </c>
      <c r="R21" s="774" t="s">
        <v>17</v>
      </c>
      <c r="S21" s="775">
        <f>F21</f>
        <v>100</v>
      </c>
      <c r="T21" s="774" t="s">
        <v>17</v>
      </c>
      <c r="U21" s="775">
        <f>H21</f>
        <v>100</v>
      </c>
      <c r="V21" s="774" t="s">
        <v>17</v>
      </c>
      <c r="W21" s="775">
        <f>J21</f>
        <v>100</v>
      </c>
      <c r="X21" s="1811"/>
      <c r="Y21" s="3475"/>
      <c r="Z21" s="1812" t="str">
        <f>Q21</f>
        <v>交通便捷度</v>
      </c>
      <c r="AA21" s="1809">
        <f t="shared" si="3"/>
        <v>1</v>
      </c>
      <c r="AB21" s="1809">
        <f t="shared" si="4"/>
        <v>1</v>
      </c>
      <c r="AC21" s="1809">
        <f t="shared" si="5"/>
        <v>1</v>
      </c>
    </row>
    <row r="22" spans="1:29" ht="15">
      <c r="A22" s="428"/>
      <c r="B22" s="1383"/>
      <c r="C22" s="447"/>
      <c r="D22" s="450"/>
      <c r="E22" s="2594"/>
      <c r="F22" s="448"/>
      <c r="G22" s="2594"/>
      <c r="H22" s="448"/>
      <c r="I22" s="2593"/>
      <c r="J22" s="448"/>
      <c r="K22" s="672"/>
      <c r="L22" s="1139"/>
      <c r="M22" s="1130"/>
      <c r="N22" s="1130"/>
      <c r="O22" s="1138"/>
      <c r="P22" s="3475"/>
      <c r="Q22" s="1808"/>
      <c r="R22" s="774"/>
      <c r="S22" s="775"/>
      <c r="T22" s="774"/>
      <c r="U22" s="775"/>
      <c r="V22" s="774"/>
      <c r="W22" s="775"/>
      <c r="X22" s="1811"/>
      <c r="Y22" s="3475"/>
      <c r="Z22" s="1812"/>
      <c r="AA22" s="1809">
        <v>1</v>
      </c>
      <c r="AB22" s="1809">
        <v>1</v>
      </c>
      <c r="AC22" s="1809">
        <v>1</v>
      </c>
    </row>
    <row r="23" spans="1:29" ht="15">
      <c r="A23" s="404"/>
      <c r="B23" s="451" t="s">
        <v>2737</v>
      </c>
      <c r="C23" s="1388" t="str">
        <f>估价对象房地状况!C19</f>
        <v>好</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475"/>
      <c r="Q23" s="1808" t="str">
        <f t="shared" ref="Q23:Q37" si="8">B23</f>
        <v>区域土地利用方向</v>
      </c>
      <c r="R23" s="774" t="s">
        <v>17</v>
      </c>
      <c r="S23" s="775">
        <f>F23</f>
        <v>100</v>
      </c>
      <c r="T23" s="774" t="s">
        <v>17</v>
      </c>
      <c r="U23" s="775">
        <f>H23</f>
        <v>100</v>
      </c>
      <c r="V23" s="774" t="s">
        <v>17</v>
      </c>
      <c r="W23" s="775">
        <f>J23</f>
        <v>100</v>
      </c>
      <c r="X23" s="1811"/>
      <c r="Y23" s="3475"/>
      <c r="Z23" s="1812" t="str">
        <f>Q23</f>
        <v>区域土地利用方向</v>
      </c>
      <c r="AA23" s="1809">
        <f t="shared" si="3"/>
        <v>1</v>
      </c>
      <c r="AB23" s="1809">
        <f t="shared" si="4"/>
        <v>1</v>
      </c>
      <c r="AC23" s="1809">
        <f t="shared" si="5"/>
        <v>1</v>
      </c>
    </row>
    <row r="24" spans="1:29" ht="15">
      <c r="A24" s="404"/>
      <c r="B24" s="456"/>
      <c r="C24" s="616"/>
      <c r="D24" s="448"/>
      <c r="E24" s="2594"/>
      <c r="F24" s="448"/>
      <c r="G24" s="2593"/>
      <c r="H24" s="448"/>
      <c r="I24" s="2593"/>
      <c r="J24" s="448"/>
      <c r="K24" s="812"/>
      <c r="L24" s="1139"/>
      <c r="M24" s="1130"/>
      <c r="N24" s="1130"/>
      <c r="O24" s="1138"/>
      <c r="P24" s="3475"/>
      <c r="Q24" s="1808"/>
      <c r="R24" s="774"/>
      <c r="S24" s="775"/>
      <c r="T24" s="774"/>
      <c r="U24" s="775"/>
      <c r="V24" s="774"/>
      <c r="W24" s="775"/>
      <c r="X24" s="1811"/>
      <c r="Y24" s="3475"/>
      <c r="Z24" s="1812"/>
      <c r="AA24" s="1809"/>
      <c r="AB24" s="1809"/>
      <c r="AC24" s="1809"/>
    </row>
    <row r="25" spans="1:29" ht="27">
      <c r="A25" s="404"/>
      <c r="B25" s="1383" t="s">
        <v>2738</v>
      </c>
      <c r="C25" s="265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475"/>
      <c r="Q25" s="1808" t="str">
        <f t="shared" si="8"/>
        <v>自然及人文环境状况</v>
      </c>
      <c r="R25" s="774" t="s">
        <v>17</v>
      </c>
      <c r="S25" s="775">
        <f>F25</f>
        <v>100</v>
      </c>
      <c r="T25" s="774" t="s">
        <v>17</v>
      </c>
      <c r="U25" s="775">
        <f>H25</f>
        <v>100</v>
      </c>
      <c r="V25" s="774" t="s">
        <v>17</v>
      </c>
      <c r="W25" s="775">
        <f>J25</f>
        <v>100</v>
      </c>
      <c r="X25" s="1811"/>
      <c r="Y25" s="3475"/>
      <c r="Z25" s="1812" t="str">
        <f>Q25</f>
        <v>自然及人文环境状况</v>
      </c>
      <c r="AA25" s="1809">
        <f t="shared" si="3"/>
        <v>1</v>
      </c>
      <c r="AB25" s="1809">
        <f t="shared" si="4"/>
        <v>1</v>
      </c>
      <c r="AC25" s="1809">
        <f t="shared" si="5"/>
        <v>1</v>
      </c>
    </row>
    <row r="26" spans="1:29" ht="15">
      <c r="A26" s="404"/>
      <c r="B26" s="456"/>
      <c r="C26" s="447"/>
      <c r="D26" s="448"/>
      <c r="E26" s="2600"/>
      <c r="F26" s="448"/>
      <c r="G26" s="2600"/>
      <c r="H26" s="448"/>
      <c r="I26" s="447"/>
      <c r="J26" s="448"/>
      <c r="K26" s="672"/>
      <c r="L26" s="1139"/>
      <c r="M26" s="1130"/>
      <c r="N26" s="1130"/>
      <c r="O26" s="1138"/>
      <c r="P26" s="3475"/>
      <c r="Q26" s="1808"/>
      <c r="R26" s="774"/>
      <c r="S26" s="775"/>
      <c r="T26" s="774"/>
      <c r="U26" s="775"/>
      <c r="V26" s="774"/>
      <c r="W26" s="775"/>
      <c r="X26" s="1811"/>
      <c r="Y26" s="3475"/>
      <c r="Z26" s="1812"/>
      <c r="AA26" s="1809">
        <v>1</v>
      </c>
      <c r="AB26" s="1809">
        <v>1</v>
      </c>
      <c r="AC26" s="1809">
        <v>1</v>
      </c>
    </row>
    <row r="27" spans="1:29" s="117" customFormat="1" ht="15">
      <c r="A27" s="649"/>
      <c r="B27" s="1383" t="s">
        <v>2643</v>
      </c>
      <c r="C27" s="259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475"/>
      <c r="Q27" s="1793" t="str">
        <f t="shared" si="8"/>
        <v>公共配套设施</v>
      </c>
      <c r="R27" s="770" t="s">
        <v>17</v>
      </c>
      <c r="S27" s="771">
        <f>F27</f>
        <v>100</v>
      </c>
      <c r="T27" s="770" t="s">
        <v>17</v>
      </c>
      <c r="U27" s="771">
        <f>H27</f>
        <v>100</v>
      </c>
      <c r="V27" s="770" t="s">
        <v>17</v>
      </c>
      <c r="W27" s="771">
        <f>J27</f>
        <v>100</v>
      </c>
      <c r="X27" s="772"/>
      <c r="Y27" s="3475"/>
      <c r="Z27" s="55" t="str">
        <f>Q27</f>
        <v>公共配套设施</v>
      </c>
      <c r="AA27" s="1809">
        <f>D27/F27</f>
        <v>1</v>
      </c>
      <c r="AB27" s="1809">
        <f>D27/H27</f>
        <v>1</v>
      </c>
      <c r="AC27" s="1809">
        <f>D27/J27</f>
        <v>1</v>
      </c>
    </row>
    <row r="28" spans="1:29" s="117" customFormat="1" ht="15">
      <c r="A28" s="649"/>
      <c r="B28" s="456"/>
      <c r="C28" s="2689"/>
      <c r="D28" s="448"/>
      <c r="E28" s="2600"/>
      <c r="F28" s="448"/>
      <c r="G28" s="2600"/>
      <c r="H28" s="448"/>
      <c r="I28" s="447"/>
      <c r="J28" s="448"/>
      <c r="K28" s="672"/>
      <c r="L28" s="1131"/>
      <c r="M28" s="1132"/>
      <c r="N28" s="1132"/>
      <c r="O28" s="1133"/>
      <c r="P28" s="3475"/>
      <c r="Q28" s="1793"/>
      <c r="R28" s="770"/>
      <c r="S28" s="771"/>
      <c r="T28" s="770"/>
      <c r="U28" s="771"/>
      <c r="V28" s="770"/>
      <c r="W28" s="771"/>
      <c r="X28" s="772"/>
      <c r="Y28" s="3475"/>
      <c r="Z28" s="55"/>
      <c r="AA28" s="1809">
        <v>1</v>
      </c>
      <c r="AB28" s="1809">
        <v>1</v>
      </c>
      <c r="AC28" s="1809">
        <v>1</v>
      </c>
    </row>
    <row r="29" spans="1:29" s="117" customFormat="1" ht="15">
      <c r="A29" s="649"/>
      <c r="B29" s="1383" t="s">
        <v>2644</v>
      </c>
      <c r="C29" s="259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475"/>
      <c r="Q29" s="1793" t="str">
        <f t="shared" ref="Q29" si="9">B29</f>
        <v>基础设施水平</v>
      </c>
      <c r="R29" s="770" t="s">
        <v>17</v>
      </c>
      <c r="S29" s="771">
        <f>F29</f>
        <v>100</v>
      </c>
      <c r="T29" s="770" t="s">
        <v>17</v>
      </c>
      <c r="U29" s="771">
        <f>H29</f>
        <v>100</v>
      </c>
      <c r="V29" s="770" t="s">
        <v>17</v>
      </c>
      <c r="W29" s="771">
        <f>J29</f>
        <v>100</v>
      </c>
      <c r="X29" s="772"/>
      <c r="Y29" s="3475"/>
      <c r="Z29" s="55" t="str">
        <f>Q29</f>
        <v>基础设施水平</v>
      </c>
      <c r="AA29" s="1809">
        <f>D29/F29</f>
        <v>1</v>
      </c>
      <c r="AB29" s="1809">
        <f>D29/H29</f>
        <v>1</v>
      </c>
      <c r="AC29" s="1809">
        <f>D29/J29</f>
        <v>1</v>
      </c>
    </row>
    <row r="30" spans="1:29" s="117" customFormat="1" ht="15">
      <c r="A30" s="649"/>
      <c r="B30" s="456"/>
      <c r="C30" s="2689"/>
      <c r="D30" s="448"/>
      <c r="E30" s="2690"/>
      <c r="F30" s="448"/>
      <c r="G30" s="2690"/>
      <c r="H30" s="448"/>
      <c r="I30" s="2690"/>
      <c r="J30" s="448"/>
      <c r="K30" s="672"/>
      <c r="L30" s="1131"/>
      <c r="M30" s="1132"/>
      <c r="N30" s="1132"/>
      <c r="O30" s="1133"/>
      <c r="P30" s="3475"/>
      <c r="Q30" s="1793"/>
      <c r="R30" s="770"/>
      <c r="S30" s="771"/>
      <c r="T30" s="770"/>
      <c r="U30" s="771"/>
      <c r="V30" s="770"/>
      <c r="W30" s="771"/>
      <c r="X30" s="772"/>
      <c r="Y30" s="3475"/>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475"/>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475"/>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475"/>
      <c r="Q32" s="1808" t="str">
        <f t="shared" si="8"/>
        <v>毗邻道路的类型与等级</v>
      </c>
      <c r="R32" s="774" t="s">
        <v>17</v>
      </c>
      <c r="S32" s="775">
        <f t="shared" si="10"/>
        <v>100</v>
      </c>
      <c r="T32" s="774" t="s">
        <v>17</v>
      </c>
      <c r="U32" s="775">
        <f t="shared" si="11"/>
        <v>100</v>
      </c>
      <c r="V32" s="774" t="s">
        <v>17</v>
      </c>
      <c r="W32" s="775">
        <f t="shared" si="12"/>
        <v>100</v>
      </c>
      <c r="X32" s="1811"/>
      <c r="Y32" s="3475"/>
      <c r="Z32" s="1812" t="str">
        <f t="shared" si="13"/>
        <v>毗邻道路的类型与等级</v>
      </c>
      <c r="AA32" s="1809">
        <f t="shared" si="3"/>
        <v>1</v>
      </c>
      <c r="AB32" s="1809">
        <f t="shared" si="4"/>
        <v>1</v>
      </c>
      <c r="AC32" s="1809">
        <f t="shared" si="5"/>
        <v>1</v>
      </c>
    </row>
    <row r="33" spans="1:29" ht="15">
      <c r="A33" s="428"/>
      <c r="B33" s="456"/>
      <c r="C33" s="447"/>
      <c r="D33" s="448"/>
      <c r="E33" s="2600"/>
      <c r="F33" s="448"/>
      <c r="G33" s="2600"/>
      <c r="H33" s="448"/>
      <c r="I33" s="447"/>
      <c r="J33" s="448"/>
      <c r="K33" s="613"/>
      <c r="L33" s="1139"/>
      <c r="M33" s="1130"/>
      <c r="N33" s="1130"/>
      <c r="O33" s="1138"/>
      <c r="P33" s="3475"/>
      <c r="Q33" s="1808"/>
      <c r="R33" s="774"/>
      <c r="S33" s="775"/>
      <c r="T33" s="774"/>
      <c r="U33" s="775"/>
      <c r="V33" s="774"/>
      <c r="W33" s="775"/>
      <c r="X33" s="1811"/>
      <c r="Y33" s="3475"/>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475"/>
      <c r="Q34" s="1808" t="str">
        <f t="shared" si="8"/>
        <v>土地级别</v>
      </c>
      <c r="R34" s="774" t="s">
        <v>17</v>
      </c>
      <c r="S34" s="775">
        <f t="shared" si="10"/>
        <v>100</v>
      </c>
      <c r="T34" s="774" t="s">
        <v>17</v>
      </c>
      <c r="U34" s="775">
        <f t="shared" si="11"/>
        <v>100</v>
      </c>
      <c r="V34" s="774" t="s">
        <v>17</v>
      </c>
      <c r="W34" s="775">
        <f t="shared" si="12"/>
        <v>100</v>
      </c>
      <c r="X34" s="1811"/>
      <c r="Y34" s="3475"/>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475"/>
      <c r="Q35" s="1808">
        <f t="shared" si="8"/>
        <v>111</v>
      </c>
      <c r="R35" s="774" t="s">
        <v>17</v>
      </c>
      <c r="S35" s="775">
        <f t="shared" si="10"/>
        <v>100</v>
      </c>
      <c r="T35" s="774" t="s">
        <v>17</v>
      </c>
      <c r="U35" s="775">
        <f t="shared" si="11"/>
        <v>100</v>
      </c>
      <c r="V35" s="774" t="s">
        <v>17</v>
      </c>
      <c r="W35" s="775">
        <f t="shared" si="12"/>
        <v>100</v>
      </c>
      <c r="X35" s="1811"/>
      <c r="Y35" s="3475"/>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622" t="s">
        <v>2554</v>
      </c>
      <c r="Q36" s="1808">
        <f t="shared" si="8"/>
        <v>111</v>
      </c>
      <c r="R36" s="774" t="s">
        <v>17</v>
      </c>
      <c r="S36" s="775">
        <f t="shared" si="10"/>
        <v>100</v>
      </c>
      <c r="T36" s="774" t="s">
        <v>17</v>
      </c>
      <c r="U36" s="775">
        <f t="shared" si="11"/>
        <v>100</v>
      </c>
      <c r="V36" s="774" t="s">
        <v>17</v>
      </c>
      <c r="W36" s="775">
        <f t="shared" si="12"/>
        <v>100</v>
      </c>
      <c r="X36" s="1811"/>
      <c r="Y36" s="3467"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467"/>
      <c r="Q37" s="1808">
        <f t="shared" si="8"/>
        <v>111</v>
      </c>
      <c r="R37" s="777" t="s">
        <v>17</v>
      </c>
      <c r="S37" s="778">
        <f t="shared" si="10"/>
        <v>100</v>
      </c>
      <c r="T37" s="777" t="s">
        <v>17</v>
      </c>
      <c r="U37" s="778">
        <f t="shared" si="11"/>
        <v>100</v>
      </c>
      <c r="V37" s="777" t="s">
        <v>17</v>
      </c>
      <c r="W37" s="778">
        <f t="shared" si="12"/>
        <v>100</v>
      </c>
      <c r="X37" s="779"/>
      <c r="Y37" s="3467"/>
      <c r="Z37" s="780">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467"/>
      <c r="Q38" s="1808" t="str">
        <f>B38</f>
        <v>宗地面积</v>
      </c>
      <c r="R38" s="774" t="s">
        <v>17</v>
      </c>
      <c r="S38" s="775" t="e">
        <f t="shared" si="10"/>
        <v>#N/A</v>
      </c>
      <c r="T38" s="774" t="s">
        <v>17</v>
      </c>
      <c r="U38" s="775" t="e">
        <f t="shared" si="11"/>
        <v>#N/A</v>
      </c>
      <c r="V38" s="774" t="s">
        <v>17</v>
      </c>
      <c r="W38" s="775" t="e">
        <f t="shared" si="12"/>
        <v>#N/A</v>
      </c>
      <c r="X38" s="1811"/>
      <c r="Y38" s="3467"/>
      <c r="Z38" s="1812" t="str">
        <f t="shared" si="13"/>
        <v>宗地面积</v>
      </c>
      <c r="AA38" s="1809" t="e">
        <f t="shared" si="3"/>
        <v>#N/A</v>
      </c>
      <c r="AB38" s="1809" t="e">
        <f t="shared" si="4"/>
        <v>#N/A</v>
      </c>
      <c r="AC38" s="1809" t="e">
        <f t="shared" si="5"/>
        <v>#N/A</v>
      </c>
    </row>
    <row r="39" spans="1:29" ht="15">
      <c r="A39" s="472"/>
      <c r="B39" s="422" t="s">
        <v>2741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9"/>
      <c r="M39" s="1130"/>
      <c r="N39" s="1130"/>
      <c r="O39" s="1138"/>
      <c r="P39" s="3467"/>
      <c r="Q39" s="1808" t="str">
        <f t="shared" ref="Q39:Q45" si="14">B39</f>
        <v>宗地形状</v>
      </c>
      <c r="R39" s="774" t="s">
        <v>17</v>
      </c>
      <c r="S39" s="775">
        <f t="shared" si="10"/>
        <v>100</v>
      </c>
      <c r="T39" s="774" t="s">
        <v>17</v>
      </c>
      <c r="U39" s="775">
        <f t="shared" si="11"/>
        <v>100</v>
      </c>
      <c r="V39" s="774" t="s">
        <v>17</v>
      </c>
      <c r="W39" s="775">
        <f t="shared" si="12"/>
        <v>100</v>
      </c>
      <c r="X39" s="1811"/>
      <c r="Y39" s="3467"/>
      <c r="Z39" s="1812" t="str">
        <f t="shared" si="13"/>
        <v>宗地形状</v>
      </c>
      <c r="AA39" s="1809">
        <f t="shared" si="3"/>
        <v>1</v>
      </c>
      <c r="AB39" s="1809">
        <f t="shared" si="4"/>
        <v>1</v>
      </c>
      <c r="AC39" s="1809">
        <f t="shared" si="5"/>
        <v>1</v>
      </c>
    </row>
    <row r="40" spans="1:29" ht="15">
      <c r="A40" s="472"/>
      <c r="B40" s="422" t="s">
        <v>2742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9"/>
      <c r="M40" s="1130"/>
      <c r="N40" s="1130"/>
      <c r="O40" s="1138"/>
      <c r="P40" s="3467"/>
      <c r="Q40" s="1808" t="str">
        <f t="shared" si="14"/>
        <v>临街宽度及深度</v>
      </c>
      <c r="R40" s="774" t="s">
        <v>17</v>
      </c>
      <c r="S40" s="775">
        <f t="shared" si="10"/>
        <v>100</v>
      </c>
      <c r="T40" s="774" t="s">
        <v>17</v>
      </c>
      <c r="U40" s="775">
        <f t="shared" si="11"/>
        <v>100</v>
      </c>
      <c r="V40" s="774" t="s">
        <v>17</v>
      </c>
      <c r="W40" s="775">
        <f t="shared" si="12"/>
        <v>100</v>
      </c>
      <c r="X40" s="1811"/>
      <c r="Y40" s="3467"/>
      <c r="Z40" s="1812" t="str">
        <f t="shared" si="13"/>
        <v>临街宽度及深度</v>
      </c>
      <c r="AA40" s="1809">
        <f t="shared" si="3"/>
        <v>1</v>
      </c>
      <c r="AB40" s="1809">
        <f t="shared" si="4"/>
        <v>1</v>
      </c>
      <c r="AC40" s="1809">
        <f t="shared" si="5"/>
        <v>1</v>
      </c>
    </row>
    <row r="41" spans="1:29" s="117" customFormat="1" ht="15">
      <c r="A41" s="473"/>
      <c r="B41" s="422" t="s">
        <v>2743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1"/>
      <c r="M41" s="1132"/>
      <c r="N41" s="1132"/>
      <c r="O41" s="1133"/>
      <c r="P41" s="3467"/>
      <c r="Q41" s="1808" t="str">
        <f t="shared" si="14"/>
        <v>宗地开发程度</v>
      </c>
      <c r="R41" s="770" t="s">
        <v>17</v>
      </c>
      <c r="S41" s="771">
        <f t="shared" si="10"/>
        <v>100</v>
      </c>
      <c r="T41" s="770" t="s">
        <v>17</v>
      </c>
      <c r="U41" s="771">
        <f t="shared" si="11"/>
        <v>100</v>
      </c>
      <c r="V41" s="770" t="s">
        <v>17</v>
      </c>
      <c r="W41" s="771">
        <f t="shared" si="12"/>
        <v>100</v>
      </c>
      <c r="X41" s="772"/>
      <c r="Y41" s="3467"/>
      <c r="Z41" s="55" t="str">
        <f t="shared" si="13"/>
        <v>宗地开发程度</v>
      </c>
      <c r="AA41" s="773">
        <f t="shared" si="3"/>
        <v>1</v>
      </c>
      <c r="AB41" s="773">
        <f t="shared" si="4"/>
        <v>1</v>
      </c>
      <c r="AC41" s="773">
        <f t="shared" si="5"/>
        <v>1</v>
      </c>
    </row>
    <row r="42" spans="1:29" ht="15">
      <c r="A42" s="472"/>
      <c r="B42" s="422" t="s">
        <v>2744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9"/>
      <c r="M42" s="1130"/>
      <c r="N42" s="1130"/>
      <c r="O42" s="1138"/>
      <c r="P42" s="3467" t="s">
        <v>2554</v>
      </c>
      <c r="Q42" s="1808" t="str">
        <f t="shared" si="14"/>
        <v>工程地质条件</v>
      </c>
      <c r="R42" s="774" t="s">
        <v>17</v>
      </c>
      <c r="S42" s="775">
        <f t="shared" si="10"/>
        <v>100</v>
      </c>
      <c r="T42" s="774" t="s">
        <v>17</v>
      </c>
      <c r="U42" s="775">
        <f t="shared" si="11"/>
        <v>100</v>
      </c>
      <c r="V42" s="774" t="s">
        <v>17</v>
      </c>
      <c r="W42" s="775">
        <f t="shared" si="12"/>
        <v>100</v>
      </c>
      <c r="X42" s="1811"/>
      <c r="Y42" s="3467"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467"/>
      <c r="Q43" s="1808">
        <f t="shared" si="14"/>
        <v>111</v>
      </c>
      <c r="R43" s="774" t="s">
        <v>17</v>
      </c>
      <c r="S43" s="775">
        <f t="shared" si="10"/>
        <v>100</v>
      </c>
      <c r="T43" s="774" t="s">
        <v>17</v>
      </c>
      <c r="U43" s="775">
        <f t="shared" si="11"/>
        <v>100</v>
      </c>
      <c r="V43" s="774" t="s">
        <v>17</v>
      </c>
      <c r="W43" s="775">
        <f t="shared" si="12"/>
        <v>100</v>
      </c>
      <c r="X43" s="1811"/>
      <c r="Y43" s="3467"/>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467"/>
      <c r="Q44" s="1808">
        <f t="shared" si="14"/>
        <v>111</v>
      </c>
      <c r="R44" s="774" t="s">
        <v>17</v>
      </c>
      <c r="S44" s="775">
        <f t="shared" si="10"/>
        <v>100</v>
      </c>
      <c r="T44" s="774" t="s">
        <v>17</v>
      </c>
      <c r="U44" s="775">
        <f t="shared" si="11"/>
        <v>100</v>
      </c>
      <c r="V44" s="774" t="s">
        <v>17</v>
      </c>
      <c r="W44" s="775">
        <f t="shared" si="12"/>
        <v>100</v>
      </c>
      <c r="X44" s="1811"/>
      <c r="Y44" s="3467"/>
      <c r="Z44" s="1812">
        <f t="shared" si="13"/>
        <v>111</v>
      </c>
      <c r="AA44" s="1809">
        <f t="shared" si="3"/>
        <v>1</v>
      </c>
      <c r="AB44" s="1809">
        <f t="shared" si="4"/>
        <v>1</v>
      </c>
      <c r="AC44" s="1809">
        <f t="shared" si="5"/>
        <v>1</v>
      </c>
    </row>
    <row r="45" spans="1:29" s="471" customFormat="1" ht="15.75" thickBot="1">
      <c r="A45" s="468"/>
      <c r="B45" s="1386">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467"/>
      <c r="Q45" s="1808">
        <f t="shared" si="14"/>
        <v>111</v>
      </c>
      <c r="R45" s="777" t="s">
        <v>17</v>
      </c>
      <c r="S45" s="778">
        <f t="shared" si="10"/>
        <v>100</v>
      </c>
      <c r="T45" s="777" t="s">
        <v>17</v>
      </c>
      <c r="U45" s="778">
        <f t="shared" si="11"/>
        <v>100</v>
      </c>
      <c r="V45" s="777" t="s">
        <v>17</v>
      </c>
      <c r="W45" s="778">
        <f t="shared" si="12"/>
        <v>100</v>
      </c>
      <c r="X45" s="779"/>
      <c r="Y45" s="3467"/>
      <c r="Z45" s="780">
        <f t="shared" si="13"/>
        <v>111</v>
      </c>
      <c r="AA45" s="1809">
        <f t="shared" si="3"/>
        <v>1</v>
      </c>
      <c r="AB45" s="1809">
        <f t="shared" si="4"/>
        <v>1</v>
      </c>
      <c r="AC45" s="1809">
        <f t="shared" si="5"/>
        <v>1</v>
      </c>
    </row>
    <row r="46" spans="1:29" ht="15">
      <c r="A46" s="479" t="s">
        <v>2709</v>
      </c>
      <c r="B46" s="2693" t="s">
        <v>2745</v>
      </c>
      <c r="C46" s="682" t="s">
        <v>1</v>
      </c>
      <c r="D46" s="481"/>
      <c r="E46" s="482"/>
      <c r="F46" s="483"/>
      <c r="G46" s="484"/>
      <c r="H46" s="485"/>
      <c r="I46" s="482"/>
      <c r="J46" s="485"/>
      <c r="K46" s="783"/>
      <c r="L46" s="1142"/>
      <c r="M46" s="1143"/>
      <c r="N46" s="1130"/>
      <c r="O46" s="1143"/>
      <c r="P46" s="3459" t="str">
        <f>A46</f>
        <v>成交单价</v>
      </c>
      <c r="Q46" s="3459"/>
      <c r="R46" s="3487">
        <f>E46</f>
        <v>0</v>
      </c>
      <c r="S46" s="3487"/>
      <c r="T46" s="3487">
        <f>G46</f>
        <v>0</v>
      </c>
      <c r="U46" s="3487"/>
      <c r="V46" s="3487">
        <f>I46</f>
        <v>0</v>
      </c>
      <c r="W46" s="3487"/>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2"/>
      <c r="M47" s="1143"/>
      <c r="N47" s="1143"/>
      <c r="O47" s="1143"/>
      <c r="P47" s="3459" t="str">
        <f>A47</f>
        <v>比较价值（元/平方米）</v>
      </c>
      <c r="Q47" s="3459"/>
      <c r="R47" s="3623" t="e">
        <f>ROUND(PRODUCT(R46,AA7:AA45),0)</f>
        <v>#DIV/0!</v>
      </c>
      <c r="S47" s="3623"/>
      <c r="T47" s="3623" t="e">
        <f>ROUND(PRODUCT(T46,AB7:AB45),0)</f>
        <v>#DIV/0!</v>
      </c>
      <c r="U47" s="3623"/>
      <c r="V47" s="3623" t="e">
        <f>ROUND(PRODUCT(V46,AC7:AC45),0)</f>
        <v>#DIV/0!</v>
      </c>
      <c r="W47" s="3623"/>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2"/>
      <c r="M48" s="1143"/>
      <c r="N48" s="1143"/>
      <c r="O48" s="1143"/>
      <c r="P48" s="3461" t="str">
        <f>A48</f>
        <v>估价对象XX用房的比较价值（楼面单价，元/平方米）</v>
      </c>
      <c r="Q48" s="3462"/>
      <c r="R48" s="3624" t="e">
        <f>ROUND(AVERAGE(R47:V47),0)</f>
        <v>#DIV/0!</v>
      </c>
      <c r="S48" s="3624"/>
      <c r="T48" s="3624"/>
      <c r="U48" s="3624"/>
      <c r="V48" s="3624"/>
      <c r="W48" s="362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4" t="s">
        <v>2749</v>
      </c>
      <c r="D55" s="2695" t="s">
        <v>2750</v>
      </c>
      <c r="E55" s="686" t="s">
        <v>2751</v>
      </c>
      <c r="F55" s="1106" t="s">
        <v>2752</v>
      </c>
      <c r="G55" s="3491" t="s">
        <v>2753</v>
      </c>
      <c r="H55" s="3625"/>
      <c r="I55" s="144" t="s">
        <v>2754</v>
      </c>
      <c r="J55" s="2696">
        <f>项目基本情况!F35</f>
        <v>0</v>
      </c>
      <c r="K55" s="2697" t="s">
        <v>2755</v>
      </c>
      <c r="L55" s="1105"/>
      <c r="M55" s="1143"/>
      <c r="N55" s="1143"/>
      <c r="O55" s="1143"/>
    </row>
    <row r="56" spans="1:15" s="692" customFormat="1">
      <c r="A56" s="688" t="s">
        <v>2756</v>
      </c>
      <c r="B56" s="689" t="e">
        <f>C48</f>
        <v>#DIV/0!</v>
      </c>
      <c r="C56" s="690">
        <v>1</v>
      </c>
      <c r="D56" s="1162">
        <v>1</v>
      </c>
      <c r="E56" s="690">
        <f>'数据-汇总表'!E8+'数据-汇总表'!E9</f>
        <v>20189.89</v>
      </c>
      <c r="F56" s="1102" t="e">
        <f t="shared" ref="F56:F65" si="15">ROUND(B56*E56/10000,0)</f>
        <v>#DIV/0!</v>
      </c>
      <c r="G56" s="3471"/>
      <c r="H56" s="3459"/>
      <c r="I56" s="1107">
        <v>1</v>
      </c>
      <c r="J56" s="1110">
        <v>1</v>
      </c>
      <c r="K56" s="1144"/>
      <c r="L56" s="941"/>
      <c r="M56" s="941"/>
      <c r="N56" s="941"/>
      <c r="O56" s="941"/>
    </row>
    <row r="57" spans="1:15" s="692" customFormat="1">
      <c r="A57" s="693" t="s">
        <v>2757</v>
      </c>
      <c r="B57" s="262" t="e">
        <f>ROUND($C$48*C57*D57,0)</f>
        <v>#DIV/0!</v>
      </c>
      <c r="C57" s="200">
        <f t="shared" ref="C57:C65" si="16">IF($C$55="北京市系数",I57,J57)</f>
        <v>0.8</v>
      </c>
      <c r="D57" s="1163">
        <v>0.25</v>
      </c>
      <c r="E57" s="694"/>
      <c r="F57" s="1102" t="e">
        <f t="shared" si="15"/>
        <v>#DIV/0!</v>
      </c>
      <c r="G57" s="3626" t="s">
        <v>2758</v>
      </c>
      <c r="H57" s="1103" t="str">
        <f>项目基本情况!B37</f>
        <v>二级</v>
      </c>
      <c r="I57" s="1107">
        <f>SUMIF(修正!A45:A56,H57,修正!B45:B56)</f>
        <v>0.8</v>
      </c>
      <c r="J57" s="1111"/>
      <c r="K57" s="1143"/>
      <c r="L57" s="941"/>
      <c r="M57" s="941"/>
      <c r="N57" s="941"/>
      <c r="O57" s="941"/>
    </row>
    <row r="58" spans="1:15" s="692" customFormat="1">
      <c r="A58" s="693" t="s">
        <v>2759</v>
      </c>
      <c r="B58" s="262" t="e">
        <f t="shared" ref="B58:B65" si="17">ROUND($C$48*C58*D58,0)</f>
        <v>#DIV/0!</v>
      </c>
      <c r="C58" s="200">
        <f t="shared" si="16"/>
        <v>0.5</v>
      </c>
      <c r="D58" s="1163">
        <v>0.25</v>
      </c>
      <c r="E58" s="694"/>
      <c r="F58" s="1102" t="e">
        <f t="shared" si="15"/>
        <v>#DIV/0!</v>
      </c>
      <c r="G58" s="3626"/>
      <c r="H58" s="1103" t="str">
        <f>项目基本情况!B37</f>
        <v>二级</v>
      </c>
      <c r="I58" s="1107">
        <f>SUMIF(修正!A45:A56,H58,修正!C45:C56)</f>
        <v>0.5</v>
      </c>
      <c r="J58" s="1111"/>
      <c r="K58" s="1144"/>
      <c r="L58" s="941"/>
      <c r="M58" s="941"/>
      <c r="N58" s="941"/>
      <c r="O58" s="941"/>
    </row>
    <row r="59" spans="1:15" s="692" customFormat="1">
      <c r="A59" s="693" t="s">
        <v>2760</v>
      </c>
      <c r="B59" s="262" t="e">
        <f t="shared" si="17"/>
        <v>#DIV/0!</v>
      </c>
      <c r="C59" s="200">
        <f t="shared" si="16"/>
        <v>0.36</v>
      </c>
      <c r="D59" s="1163">
        <v>0.25</v>
      </c>
      <c r="E59" s="694"/>
      <c r="F59" s="1102" t="e">
        <f t="shared" si="15"/>
        <v>#DIV/0!</v>
      </c>
      <c r="G59" s="3626"/>
      <c r="H59" s="1103" t="str">
        <f>项目基本情况!B37</f>
        <v>二级</v>
      </c>
      <c r="I59" s="1107">
        <f>SUMIF(修正!A45:A56,H59,修正!D45:D56)</f>
        <v>0.36</v>
      </c>
      <c r="J59" s="1111"/>
      <c r="K59" s="1143"/>
      <c r="L59" s="941"/>
      <c r="M59" s="941"/>
      <c r="N59" s="941"/>
      <c r="O59" s="941"/>
    </row>
    <row r="60" spans="1:15" s="692" customFormat="1">
      <c r="A60" s="693" t="s">
        <v>2761</v>
      </c>
      <c r="B60" s="262" t="e">
        <f t="shared" si="17"/>
        <v>#DIV/0!</v>
      </c>
      <c r="C60" s="200">
        <f t="shared" si="16"/>
        <v>0.3</v>
      </c>
      <c r="D60" s="1163">
        <v>0.25</v>
      </c>
      <c r="E60" s="694"/>
      <c r="F60" s="1102" t="e">
        <f t="shared" si="15"/>
        <v>#DIV/0!</v>
      </c>
      <c r="G60" s="3626"/>
      <c r="H60" s="1103" t="str">
        <f>项目基本情况!B37</f>
        <v>二级</v>
      </c>
      <c r="I60" s="1107">
        <f>SUMIF(修正!A45:A56,H60,修正!E45:E56)</f>
        <v>0.3</v>
      </c>
      <c r="J60" s="1111"/>
      <c r="K60" s="1144"/>
      <c r="L60" s="941"/>
      <c r="M60" s="941"/>
      <c r="N60" s="941"/>
      <c r="O60" s="941"/>
    </row>
    <row r="61" spans="1:15" s="692" customFormat="1">
      <c r="A61" s="693" t="s">
        <v>2762</v>
      </c>
      <c r="B61" s="262" t="e">
        <f t="shared" si="17"/>
        <v>#DIV/0!</v>
      </c>
      <c r="C61" s="200">
        <f t="shared" si="16"/>
        <v>0.3</v>
      </c>
      <c r="D61" s="1163">
        <v>0.25</v>
      </c>
      <c r="E61" s="261">
        <f>'数据-汇总表'!E11</f>
        <v>794.62</v>
      </c>
      <c r="F61" s="1102" t="e">
        <f t="shared" si="15"/>
        <v>#DIV/0!</v>
      </c>
      <c r="G61" s="2698" t="s">
        <v>2763</v>
      </c>
      <c r="H61" s="1103" t="str">
        <f>项目基本情况!C37</f>
        <v>二级</v>
      </c>
      <c r="I61" s="1107">
        <f>SUMIF(修正!A45:A56,H61,修正!F45:F56)</f>
        <v>0.3</v>
      </c>
      <c r="J61" s="1111"/>
      <c r="K61" s="1143"/>
      <c r="L61" s="941"/>
      <c r="M61" s="941"/>
      <c r="N61" s="941"/>
      <c r="O61" s="941"/>
    </row>
    <row r="62" spans="1:15" s="692" customFormat="1">
      <c r="A62" s="693" t="s">
        <v>2764</v>
      </c>
      <c r="B62" s="262" t="e">
        <f t="shared" si="17"/>
        <v>#DIV/0!</v>
      </c>
      <c r="C62" s="200">
        <f t="shared" si="16"/>
        <v>0.3</v>
      </c>
      <c r="D62" s="1163">
        <v>0.25</v>
      </c>
      <c r="E62" s="261">
        <f>'数据-汇总表'!E12</f>
        <v>0</v>
      </c>
      <c r="F62" s="1102" t="e">
        <f t="shared" si="15"/>
        <v>#DIV/0!</v>
      </c>
      <c r="G62" s="1108" t="s">
        <v>2765</v>
      </c>
      <c r="H62" s="1103" t="str">
        <f>IF(G62="商业",项目基本情况!B37,IF(G62="办公",项目基本情况!C37,IF(G62="住宅",项目基本情况!D37,项目基本情况!E37)))</f>
        <v>二级</v>
      </c>
      <c r="I62" s="1107">
        <f>SUMIF(修正!A45:A56,H62,修正!G45:G56)</f>
        <v>0.3</v>
      </c>
      <c r="J62" s="1111"/>
      <c r="K62" s="1144"/>
      <c r="L62" s="941"/>
      <c r="M62" s="941"/>
      <c r="N62" s="941"/>
      <c r="O62" s="941"/>
    </row>
    <row r="63" spans="1:15" s="692" customFormat="1">
      <c r="A63" s="693" t="s">
        <v>2766</v>
      </c>
      <c r="B63" s="262" t="e">
        <f t="shared" si="17"/>
        <v>#DIV/0!</v>
      </c>
      <c r="C63" s="200">
        <f t="shared" si="16"/>
        <v>0.25</v>
      </c>
      <c r="D63" s="1163">
        <v>0.25</v>
      </c>
      <c r="E63" s="261">
        <f>'数据-汇总表'!E13</f>
        <v>3382.29</v>
      </c>
      <c r="F63" s="1102" t="e">
        <f t="shared" si="15"/>
        <v>#DIV/0!</v>
      </c>
      <c r="G63" s="1108" t="s">
        <v>2767</v>
      </c>
      <c r="H63" s="1103" t="str">
        <f>IF(G63="商业",项目基本情况!B37,IF(G63="办公",项目基本情况!C37,IF(G63="住宅",项目基本情况!D37,项目基本情况!E37)))</f>
        <v>二级</v>
      </c>
      <c r="I63" s="1107">
        <f>SUMIF(修正!A45:A56,H63,修正!H45:H56)</f>
        <v>0.25</v>
      </c>
      <c r="J63" s="1111"/>
      <c r="K63" s="1143"/>
      <c r="L63" s="941"/>
      <c r="M63" s="941"/>
      <c r="N63" s="941"/>
      <c r="O63" s="941"/>
    </row>
    <row r="64" spans="1:15" s="692" customFormat="1">
      <c r="A64" s="693" t="s">
        <v>2768</v>
      </c>
      <c r="B64" s="262" t="e">
        <f t="shared" si="17"/>
        <v>#DIV/0!</v>
      </c>
      <c r="C64" s="200">
        <f t="shared" si="16"/>
        <v>0.25</v>
      </c>
      <c r="D64" s="1163">
        <v>0.25</v>
      </c>
      <c r="E64" s="261">
        <f>'数据-汇总表'!E14</f>
        <v>0</v>
      </c>
      <c r="F64" s="1102" t="e">
        <f t="shared" si="15"/>
        <v>#DIV/0!</v>
      </c>
      <c r="G64" s="2698" t="s">
        <v>2758</v>
      </c>
      <c r="H64" s="1103" t="str">
        <f>项目基本情况!B37</f>
        <v>二级</v>
      </c>
      <c r="I64" s="1107">
        <f>SUMIF(修正!A45:A56,H64,修正!H45:H56)</f>
        <v>0.25</v>
      </c>
      <c r="J64" s="1111"/>
      <c r="K64" s="1144"/>
      <c r="L64" s="941"/>
      <c r="M64" s="941"/>
      <c r="N64" s="941"/>
      <c r="O64" s="941"/>
    </row>
    <row r="65" spans="1:17" s="692" customFormat="1" ht="15" thickBot="1">
      <c r="A65" s="693" t="s">
        <v>2769</v>
      </c>
      <c r="B65" s="262" t="e">
        <f t="shared" si="17"/>
        <v>#DIV/0!</v>
      </c>
      <c r="C65" s="200">
        <f t="shared" si="16"/>
        <v>0.25</v>
      </c>
      <c r="D65" s="1163">
        <v>0.25</v>
      </c>
      <c r="E65" s="261">
        <f>'数据-汇总表'!E15</f>
        <v>0</v>
      </c>
      <c r="F65" s="1102" t="e">
        <f t="shared" si="15"/>
        <v>#DIV/0!</v>
      </c>
      <c r="G65" s="2699" t="s">
        <v>2763</v>
      </c>
      <c r="H65" s="1113" t="str">
        <f>项目基本情况!C37</f>
        <v>二级</v>
      </c>
      <c r="I65" s="1109">
        <f>SUMIF(修正!A45:A56,H65,修正!H45:H56)</f>
        <v>0.25</v>
      </c>
      <c r="J65" s="1112"/>
      <c r="K65" s="1143"/>
      <c r="L65" s="941"/>
      <c r="M65" s="941"/>
      <c r="N65" s="941"/>
      <c r="O65" s="941"/>
    </row>
    <row r="66" spans="1:17" s="692" customFormat="1" ht="13.5" thickBot="1">
      <c r="A66" s="695" t="s">
        <v>2770</v>
      </c>
      <c r="B66" s="696" t="s">
        <v>28</v>
      </c>
      <c r="C66" s="696" t="s">
        <v>29</v>
      </c>
      <c r="D66" s="696" t="s">
        <v>1026</v>
      </c>
      <c r="E66" s="696">
        <f>IF(B46="楼面地价",SUM(E56:E65),'数据-汇总表'!D3)</f>
        <v>24366.799999999999</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2663</v>
      </c>
      <c r="B69" s="759"/>
      <c r="C69" s="764"/>
      <c r="D69" s="764"/>
      <c r="E69" s="764"/>
      <c r="F69" s="765"/>
      <c r="G69" s="765"/>
      <c r="H69" s="764"/>
      <c r="I69" s="764"/>
      <c r="J69" s="1158"/>
      <c r="K69" s="1159"/>
      <c r="L69" s="1160"/>
      <c r="M69" s="1158"/>
      <c r="N69" s="1158"/>
      <c r="O69" s="1158"/>
      <c r="P69" s="503"/>
      <c r="Q69" s="504"/>
    </row>
    <row r="70" spans="1:17" s="508" customFormat="1" ht="15">
      <c r="A70" s="2700" t="s">
        <v>2771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1" t="s">
        <v>2772</v>
      </c>
      <c r="B71" s="332" t="str">
        <f>"北京市平均增长率"&amp;TEXT(SUMIF('基准地价修正（办公）'!N21:N25,A71,'基准地价修正（办公）'!P21:P25),"0.00%")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61" sqref="D61"/>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794.62</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739</v>
      </c>
      <c r="C2" s="2710" t="s">
        <v>2802</v>
      </c>
      <c r="D2" s="2711" t="s">
        <v>2803</v>
      </c>
      <c r="E2" s="2712" t="s">
        <v>27</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24130</v>
      </c>
      <c r="N2" s="1082">
        <f>SUMPRODUCT((因素修正幅度!B10:B28=I2)*(因素修正幅度!C3:F3=E2)*(因素修正幅度!C10:F28))</f>
        <v>9.7000000000000003E-2</v>
      </c>
      <c r="O2" s="1369"/>
      <c r="P2" s="1369"/>
      <c r="Q2" s="1369"/>
      <c r="R2" s="1600">
        <v>1</v>
      </c>
      <c r="S2" s="1600">
        <f>ROUND(IF(G3&gt;1,IF(R2&lt;7,SUMPRODUCT((B93:B98=R2)*(C92:N92=G2)*(C93:N98)),SUMIF(C92:N92,G2,C100:N100)),IF(R2&lt;7,SUMPRODUCT((B102:B107=R2)*(C92:N92=G2)*(C102:N107)),SUMIF(C92:N92,G2,C109:N109))),4)</f>
        <v>1.9361999999999999</v>
      </c>
      <c r="T2" s="1600">
        <f ca="1">ROUND($C$5*$C$18*$C$19*$C$20*S2*$C$24,0)</f>
        <v>60001</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9300</v>
      </c>
      <c r="C3" s="2710" t="s">
        <v>2808</v>
      </c>
      <c r="D3" s="2711" t="s">
        <v>2809</v>
      </c>
      <c r="E3" s="2716" t="s">
        <v>3103</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43998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25"/>
      <c r="B4" s="3526"/>
      <c r="C4" s="3526"/>
      <c r="D4" s="3527"/>
      <c r="E4" s="3527"/>
      <c r="F4" s="3527"/>
      <c r="G4" s="3527"/>
      <c r="H4" s="3527"/>
      <c r="I4" s="3527"/>
      <c r="J4" s="3528"/>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35929</v>
      </c>
      <c r="U4" s="1601"/>
      <c r="V4" s="1600">
        <f t="shared" ca="1" si="1"/>
        <v>0</v>
      </c>
      <c r="W4" s="1604"/>
      <c r="X4" s="1604"/>
      <c r="Y4" s="1604"/>
      <c r="Z4" s="1604"/>
      <c r="AA4" s="1604"/>
      <c r="AB4" s="1604"/>
      <c r="AC4" s="1605"/>
      <c r="AD4" s="1606"/>
      <c r="AE4" s="1606"/>
      <c r="AF4" s="1606"/>
      <c r="AG4" s="1606"/>
      <c r="AH4" s="1606"/>
      <c r="AI4" s="1606"/>
      <c r="AJ4" s="1607"/>
    </row>
    <row r="5" spans="1:36" s="2727" customFormat="1" ht="15.75" thickBot="1">
      <c r="A5" s="2718" t="s">
        <v>807</v>
      </c>
      <c r="B5" s="2719" t="s">
        <v>2815</v>
      </c>
      <c r="C5" s="917">
        <f>ROUND(IF(E2="商业",C6*C7+C16,(IF(E2="住宅",C6*C12+C16,C6+C16))),0)</f>
        <v>24130</v>
      </c>
      <c r="D5" s="1785">
        <f>ROUND(C6+C16,0)</f>
        <v>24130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29818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24130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26084</v>
      </c>
      <c r="U6" s="1601"/>
      <c r="V6" s="1600">
        <f t="shared" ca="1" si="1"/>
        <v>0</v>
      </c>
      <c r="W6" s="1604"/>
      <c r="X6" s="1604"/>
      <c r="Y6" s="1604"/>
      <c r="Z6" s="1604"/>
      <c r="AA6" s="1604"/>
      <c r="AB6" s="1604"/>
      <c r="AC6" s="2724"/>
      <c r="AD6" s="2725"/>
      <c r="AE6" s="2725"/>
      <c r="AF6" s="2725"/>
      <c r="AG6" s="2725"/>
      <c r="AH6" s="2725"/>
      <c r="AI6" s="2725"/>
      <c r="AJ6" s="2726"/>
    </row>
    <row r="7" spans="1:36" ht="24" hidden="1">
      <c r="A7" s="3516"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23577</v>
      </c>
      <c r="U7" s="1601"/>
      <c r="V7" s="1600">
        <f t="shared" ca="1" si="1"/>
        <v>0</v>
      </c>
      <c r="W7" s="1814" t="s">
        <v>2824</v>
      </c>
      <c r="X7" s="1602" t="str">
        <f>G2</f>
        <v>二级</v>
      </c>
      <c r="Y7" s="1602" t="s">
        <v>2825</v>
      </c>
      <c r="Z7" s="1603">
        <f>G3</f>
        <v>2.13</v>
      </c>
      <c r="AA7" s="1604"/>
      <c r="AB7" s="1604"/>
      <c r="AC7" s="1605"/>
      <c r="AD7" s="1606"/>
      <c r="AE7" s="1606"/>
      <c r="AF7" s="1606"/>
      <c r="AG7" s="1606"/>
      <c r="AH7" s="1606"/>
      <c r="AI7" s="1606"/>
      <c r="AJ7" s="1607"/>
    </row>
    <row r="8" spans="1:36" ht="25.5" hidden="1">
      <c r="A8" s="3529"/>
      <c r="B8" s="198" t="s">
        <v>2826</v>
      </c>
      <c r="C8" s="2739" t="s">
        <v>3104</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30" t="s">
        <v>2829</v>
      </c>
      <c r="X8" s="3531"/>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529"/>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32"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529"/>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3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529"/>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32"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hidden="1" thickBot="1">
      <c r="A12" s="3516" t="s">
        <v>2855</v>
      </c>
      <c r="B12" s="2747" t="s">
        <v>2856</v>
      </c>
      <c r="C12" s="919">
        <f>ROUND(C15*D15*E15*F15*G15*H15*I15*J15,4)</f>
        <v>1</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32"/>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533"/>
      <c r="B13" s="2753" t="s">
        <v>2860</v>
      </c>
      <c r="C13" s="2754" t="s">
        <v>2861</v>
      </c>
      <c r="D13" s="1806" t="s">
        <v>2862</v>
      </c>
      <c r="E13" s="1806"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32"/>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hidden="1">
      <c r="A14" s="3533"/>
      <c r="B14" s="2757"/>
      <c r="C14" s="2758"/>
      <c r="D14" s="2759"/>
      <c r="E14" s="2759"/>
      <c r="F14" s="2760"/>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534"/>
      <c r="B15" s="2765"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16" t="s">
        <v>2872</v>
      </c>
      <c r="B16" s="2734" t="s">
        <v>2873</v>
      </c>
      <c r="C16" s="2921">
        <f>ROUND(IF(F17="与级别开发程度一致",0,(G17-E17)/C17),0)</f>
        <v>0</v>
      </c>
      <c r="D16" s="3518" t="s">
        <v>2877</v>
      </c>
      <c r="E16" s="3519"/>
      <c r="F16" s="3518" t="s">
        <v>2874</v>
      </c>
      <c r="G16" s="3519"/>
      <c r="H16" s="2768" t="s">
        <v>3079</v>
      </c>
      <c r="I16" s="2768" t="s">
        <v>3080</v>
      </c>
      <c r="J16" s="2925" t="s">
        <v>3081</v>
      </c>
      <c r="K16" s="2768" t="s">
        <v>3082</v>
      </c>
      <c r="L16" s="2768" t="s">
        <v>3083</v>
      </c>
      <c r="M16" s="2768" t="s">
        <v>3084</v>
      </c>
      <c r="N16" s="2768" t="s">
        <v>3086</v>
      </c>
      <c r="O16" s="2769" t="s">
        <v>3085</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17"/>
      <c r="B17" s="2932" t="s">
        <v>2876</v>
      </c>
      <c r="C17" s="2933">
        <f>SUMPRODUCT((修正!A2:A5=E2)*(修正!B1:M1=G2)*(修正!B2:M5))</f>
        <v>3.5</v>
      </c>
      <c r="D17" s="229" t="str">
        <f>IF(OR(G2="八级",G2="九级",G2="十级",G2="十一级",G2="十二级"),"五通一平","七通一平")</f>
        <v>七通一平</v>
      </c>
      <c r="E17" s="2922">
        <f>SUMPRODUCT((修正!B1:M1=G2)*(修正!B15:M15))</f>
        <v>375</v>
      </c>
      <c r="F17" s="2923" t="s">
        <v>3105</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1.3566</v>
      </c>
      <c r="D19" s="2778" t="s">
        <v>2881</v>
      </c>
      <c r="E19" s="925">
        <v>41640</v>
      </c>
      <c r="F19" s="2778" t="s">
        <v>2882</v>
      </c>
      <c r="G19" s="926">
        <f>'数据-取费表'!B2</f>
        <v>43670</v>
      </c>
      <c r="H19" s="2779" t="s">
        <v>3106</v>
      </c>
      <c r="I19" s="927" t="str">
        <f>IF(H19="季度增幅（自定义）",SUMIF(N21:N24,E2,O21:O24),"")</f>
        <v/>
      </c>
      <c r="J19" s="2776"/>
      <c r="K19" s="1376"/>
      <c r="L19" s="2780" t="s">
        <v>2883</v>
      </c>
      <c r="M19" s="1732">
        <f>ROUND(SUMIF(地价!B2:F2,E2,地价!B27:F27),0)</f>
        <v>258</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0.89410000000000001</v>
      </c>
      <c r="D20" s="2787" t="s">
        <v>2886</v>
      </c>
      <c r="E20" s="1766">
        <f ca="1">存贷款利率!D4/100</f>
        <v>4.3499999999999997E-2</v>
      </c>
      <c r="F20" s="2787" t="s">
        <v>2878</v>
      </c>
      <c r="G20" s="934">
        <f ca="1">SUMIF(M26:P26,E2,M28:P28)</f>
        <v>5.1999999999999998E-2</v>
      </c>
      <c r="H20" s="2787" t="s">
        <v>2887</v>
      </c>
      <c r="I20" s="935">
        <f>SUMIF('数据-取费表'!C6:C15,E2,'数据-取费表'!F6:F15)/COUNTIF('数据-取费表'!C6:C15,E2)</f>
        <v>34.18</v>
      </c>
      <c r="J20" s="936">
        <f>IF(E2="住宅",70,IF(E2="商业",40,50))</f>
        <v>50</v>
      </c>
      <c r="K20" s="1376"/>
      <c r="L20" s="2788" t="s">
        <v>2888</v>
      </c>
      <c r="M20" s="1733">
        <f>ROUND(SUMPRODUCT((地价!A4:A27=YEAR(G19)&amp;"-"&amp;ROUNDUP(MONTH(G19)/3,0))*(地价!B2:F2=E2)*(地价!B4:F27)),0)</f>
        <v>350</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3107</v>
      </c>
      <c r="C21" s="937">
        <f>IF(B21="容积率修正",IF(G3&lt;=10,D22,J22),C23)</f>
        <v>1.153</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1808" t="s">
        <v>2895</v>
      </c>
      <c r="D22" s="1808">
        <f>IF(E22=G22,F22,IF(G3&lt;=10,ROUND(F22+(H22-F22)*(G3-E22)/(G22-E22),4),"——"))</f>
        <v>1.153</v>
      </c>
      <c r="E22" s="916">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916">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808"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1.0588</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739</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185</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35730</v>
      </c>
      <c r="D29" s="2826"/>
      <c r="E29" s="942">
        <f ca="1">ROUND(C29*D29/10000,0)</f>
        <v>0</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8933</v>
      </c>
      <c r="D30" s="2832"/>
      <c r="E30" s="942">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20" t="s">
        <v>2918</v>
      </c>
      <c r="B33" s="2842" t="s">
        <v>2919</v>
      </c>
      <c r="C33" s="206">
        <f ca="1">ROUND(D5*C19*C20*C24*F33,0)</f>
        <v>24791</v>
      </c>
      <c r="D33" s="2826"/>
      <c r="E33" s="200">
        <f ca="1">ROUND(C33*D33/10000,0)</f>
        <v>0</v>
      </c>
      <c r="F33" s="200">
        <f>SUMIF(修正!A45:A56,G2,修正!B45:B56)</f>
        <v>0.8</v>
      </c>
      <c r="G33" s="200">
        <f t="shared" ref="G33" ca="1" si="6">ROUND(IF(E2="工业",C33*$M$39,C33*$M$38),0)</f>
        <v>6198</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21"/>
      <c r="B34" s="2754" t="s">
        <v>2920</v>
      </c>
      <c r="C34" s="206">
        <f ca="1">ROUND(D5*C19*C20*C24*F34,0)</f>
        <v>15495</v>
      </c>
      <c r="D34" s="2826"/>
      <c r="E34" s="200">
        <f t="shared" ref="E34:E39" ca="1" si="7">ROUND(C34*D34/10000,0)</f>
        <v>0</v>
      </c>
      <c r="F34" s="200">
        <f>SUMIF(修正!A45:A56,G2,修正!C45:C56)</f>
        <v>0.5</v>
      </c>
      <c r="G34" s="200">
        <f ca="1">ROUND(IF(E2="工业",C34*$M$39,C34*$M$38),0)</f>
        <v>3874</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21"/>
      <c r="B35" s="2754" t="s">
        <v>2921</v>
      </c>
      <c r="C35" s="206">
        <f ca="1">ROUND(D5*C19*C20*C24*F35,0)</f>
        <v>11156</v>
      </c>
      <c r="D35" s="2826"/>
      <c r="E35" s="200">
        <f t="shared" ca="1" si="7"/>
        <v>0</v>
      </c>
      <c r="F35" s="200">
        <f>SUMIF(修正!A45:A56,G2,修正!D45:D56)</f>
        <v>0.36</v>
      </c>
      <c r="G35" s="200">
        <f ca="1">ROUND(IF(E2="工业",C35*$M$39,C35*$M$38),0)</f>
        <v>2789</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22"/>
      <c r="B36" s="2754" t="s">
        <v>2922</v>
      </c>
      <c r="C36" s="206">
        <f ca="1">ROUND(D5*C19*C20*C24*F36,0)</f>
        <v>9297</v>
      </c>
      <c r="D36" s="2826"/>
      <c r="E36" s="200">
        <f t="shared" ca="1" si="7"/>
        <v>0</v>
      </c>
      <c r="F36" s="200">
        <f>SUMIF(修正!A45:A56,G2,修正!E45:E56)</f>
        <v>0.3</v>
      </c>
      <c r="G36" s="200">
        <f ca="1">ROUND(IF(E2="工业",C36*$M$39,C36*$M$38),0)</f>
        <v>2324</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9297</v>
      </c>
      <c r="D37" s="2826">
        <f>'数据-汇总表'!G20</f>
        <v>794.62</v>
      </c>
      <c r="E37" s="200">
        <f t="shared" ca="1" si="7"/>
        <v>739</v>
      </c>
      <c r="F37" s="206">
        <f>SUMIF(修正!A45:A56,G2,修正!F45:F56)</f>
        <v>0.3</v>
      </c>
      <c r="G37" s="200">
        <f ca="1">ROUND(IF(E2="工业",C37*$M$39,C37*$M$38),0)</f>
        <v>2324</v>
      </c>
      <c r="H37" s="200">
        <f t="shared" si="8"/>
        <v>794.62</v>
      </c>
      <c r="I37" s="200">
        <f t="shared" ca="1" si="9"/>
        <v>185</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9297</v>
      </c>
      <c r="D38" s="2826"/>
      <c r="E38" s="200">
        <f t="shared" ca="1" si="7"/>
        <v>0</v>
      </c>
      <c r="F38" s="206">
        <f>SUMIF(修正!A45:A56,G2,修正!G45:G56)</f>
        <v>0.3</v>
      </c>
      <c r="G38" s="200">
        <f ca="1">ROUND(IF(E2="工业",C38*$M$39,C38*$M$38),0)</f>
        <v>2324</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7747</v>
      </c>
      <c r="D39" s="2832"/>
      <c r="E39" s="229">
        <f t="shared" ca="1" si="7"/>
        <v>0</v>
      </c>
      <c r="F39" s="932">
        <f>SUMIF(修正!A45:A56,G2,修正!H45:H56)</f>
        <v>0.25</v>
      </c>
      <c r="G39" s="229">
        <f ca="1">ROUND(IF(E2="工业",C39*$M$39,C39*$M$38),0)</f>
        <v>1937</v>
      </c>
      <c r="H39" s="229">
        <f t="shared" si="8"/>
        <v>0</v>
      </c>
      <c r="I39" s="229">
        <f t="shared" ca="1" si="9"/>
        <v>0</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0.89410000000000001</v>
      </c>
      <c r="D41" s="200" t="s">
        <v>2878</v>
      </c>
      <c r="E41" s="2918">
        <f ca="1">G20</f>
        <v>5.1999999999999998E-2</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1807" t="s">
        <v>2931</v>
      </c>
      <c r="C47" s="1807" t="s">
        <v>2932</v>
      </c>
      <c r="D47" s="1807" t="s">
        <v>2933</v>
      </c>
      <c r="E47" s="819" t="s">
        <v>2934</v>
      </c>
      <c r="F47" s="2860" t="s">
        <v>2935</v>
      </c>
      <c r="G47" s="1807" t="s">
        <v>754</v>
      </c>
      <c r="H47" s="2861" t="s">
        <v>2936</v>
      </c>
      <c r="I47" s="1807"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f>1+E59</f>
        <v>1.0588</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1807"/>
      <c r="C58" s="1807" t="s">
        <v>2932</v>
      </c>
      <c r="D58" s="1807" t="s">
        <v>2933</v>
      </c>
      <c r="E58" s="819" t="s">
        <v>2934</v>
      </c>
      <c r="F58" s="2860" t="s">
        <v>2950</v>
      </c>
      <c r="G58" s="1807" t="s">
        <v>754</v>
      </c>
      <c r="H58" s="2861" t="s">
        <v>2936</v>
      </c>
      <c r="I58" s="1807"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3108</v>
      </c>
      <c r="D59" s="1285">
        <f t="shared" ref="D59:D67" si="15">SUMIF($J$58:$N$58,C59,J59:N59)</f>
        <v>1.1599999999999999E-2</v>
      </c>
      <c r="E59" s="821">
        <f>ROUND(SUM(D59:D67),4)</f>
        <v>5.8799999999999998E-2</v>
      </c>
      <c r="F59" s="2490">
        <f>IF(E2="办公",SUMIF(L1:L12,G2,N1:N12),"——")</f>
        <v>9.7000000000000003E-2</v>
      </c>
      <c r="G59" s="1283">
        <f>H59</f>
        <v>1.1599999999999999E-2</v>
      </c>
      <c r="H59" s="1287">
        <f t="shared" ref="H59:H67" si="16">IFERROR(ROUNDDOWN($F$59*I59/2,4),"——")</f>
        <v>1.1599999999999999E-2</v>
      </c>
      <c r="I59" s="820">
        <v>0.24</v>
      </c>
      <c r="J59" s="1284">
        <f t="shared" ref="J59:J67" si="17">K59+$G59</f>
        <v>2.3199999999999998E-2</v>
      </c>
      <c r="K59" s="1284">
        <f t="shared" ref="K59:K67" si="18">$L59+$G59</f>
        <v>1.1599999999999999E-2</v>
      </c>
      <c r="L59" s="1284">
        <v>0</v>
      </c>
      <c r="M59" s="1284">
        <f t="shared" ref="M59:N67" si="19">L59-$G59</f>
        <v>-1.1599999999999999E-2</v>
      </c>
      <c r="N59" s="1284">
        <f t="shared" si="19"/>
        <v>-2.3199999999999998E-2</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3108</v>
      </c>
      <c r="D60" s="1285">
        <f t="shared" si="15"/>
        <v>1.4500000000000001E-2</v>
      </c>
      <c r="E60" s="822"/>
      <c r="F60" s="2490"/>
      <c r="G60" s="1283">
        <f t="shared" ref="G60:G67" si="20">H60</f>
        <v>1.4500000000000001E-2</v>
      </c>
      <c r="H60" s="1287">
        <f t="shared" si="16"/>
        <v>1.4500000000000001E-2</v>
      </c>
      <c r="I60" s="820">
        <v>0.3</v>
      </c>
      <c r="J60" s="1284">
        <f t="shared" si="17"/>
        <v>2.9000000000000001E-2</v>
      </c>
      <c r="K60" s="1284">
        <f t="shared" si="18"/>
        <v>1.4500000000000001E-2</v>
      </c>
      <c r="L60" s="1284">
        <v>0</v>
      </c>
      <c r="M60" s="1284">
        <f t="shared" si="19"/>
        <v>-1.4500000000000001E-2</v>
      </c>
      <c r="N60" s="1284">
        <f t="shared" si="19"/>
        <v>-2.9000000000000001E-2</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3109</v>
      </c>
      <c r="D61" s="1285">
        <f t="shared" si="15"/>
        <v>7.6E-3</v>
      </c>
      <c r="E61" s="822"/>
      <c r="F61" s="2490"/>
      <c r="G61" s="1283">
        <f t="shared" si="20"/>
        <v>3.8E-3</v>
      </c>
      <c r="H61" s="1287">
        <f t="shared" si="16"/>
        <v>3.8E-3</v>
      </c>
      <c r="I61" s="820">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24">
      <c r="A62" s="2859" t="s">
        <v>2941</v>
      </c>
      <c r="B62" s="2989" t="s">
        <v>3120</v>
      </c>
      <c r="C62" s="2759" t="s">
        <v>3108</v>
      </c>
      <c r="D62" s="1285">
        <f t="shared" si="15"/>
        <v>1.9E-3</v>
      </c>
      <c r="E62" s="822"/>
      <c r="F62" s="2490"/>
      <c r="G62" s="1283">
        <f t="shared" si="20"/>
        <v>1.9E-3</v>
      </c>
      <c r="H62" s="1287">
        <f t="shared" si="16"/>
        <v>1.9E-3</v>
      </c>
      <c r="I62" s="820">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3122</v>
      </c>
      <c r="D63" s="1285">
        <f t="shared" si="15"/>
        <v>-2.3999999999999998E-3</v>
      </c>
      <c r="E63" s="822"/>
      <c r="F63" s="2490"/>
      <c r="G63" s="1283">
        <f t="shared" si="20"/>
        <v>2.3999999999999998E-3</v>
      </c>
      <c r="H63" s="1287">
        <f t="shared" si="16"/>
        <v>2.3999999999999998E-3</v>
      </c>
      <c r="I63" s="820">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59" t="s">
        <v>2944</v>
      </c>
      <c r="B64" s="2990" t="s">
        <v>3121</v>
      </c>
      <c r="C64" s="2759" t="s">
        <v>3108</v>
      </c>
      <c r="D64" s="1285">
        <f t="shared" si="15"/>
        <v>2.3999999999999998E-3</v>
      </c>
      <c r="E64" s="822"/>
      <c r="F64" s="2490"/>
      <c r="G64" s="1283">
        <f t="shared" si="20"/>
        <v>2.3999999999999998E-3</v>
      </c>
      <c r="H64" s="1287">
        <f t="shared" si="16"/>
        <v>2.3999999999999998E-3</v>
      </c>
      <c r="I64" s="820">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3109</v>
      </c>
      <c r="D65" s="1285">
        <f t="shared" si="15"/>
        <v>5.7999999999999996E-3</v>
      </c>
      <c r="E65" s="822"/>
      <c r="F65" s="2490"/>
      <c r="G65" s="1283">
        <f t="shared" si="20"/>
        <v>2.8999999999999998E-3</v>
      </c>
      <c r="H65" s="1287">
        <f t="shared" si="16"/>
        <v>2.8999999999999998E-3</v>
      </c>
      <c r="I65" s="820">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3109</v>
      </c>
      <c r="D66" s="1285">
        <f t="shared" si="15"/>
        <v>1.1599999999999999E-2</v>
      </c>
      <c r="E66" s="822"/>
      <c r="F66" s="2490"/>
      <c r="G66" s="1283">
        <f t="shared" si="20"/>
        <v>5.7999999999999996E-3</v>
      </c>
      <c r="H66" s="1287">
        <f t="shared" si="16"/>
        <v>5.7999999999999996E-3</v>
      </c>
      <c r="I66" s="820">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3109</v>
      </c>
      <c r="D67" s="1285">
        <f t="shared" si="15"/>
        <v>5.7999999999999996E-3</v>
      </c>
      <c r="E67" s="825"/>
      <c r="F67" s="2490"/>
      <c r="G67" s="1283">
        <f t="shared" si="20"/>
        <v>2.8999999999999998E-3</v>
      </c>
      <c r="H67" s="1287">
        <f t="shared" si="16"/>
        <v>2.8999999999999998E-3</v>
      </c>
      <c r="I67" s="824">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5" t="s">
        <v>2952</v>
      </c>
      <c r="B68" s="2856">
        <f>1+E70</f>
        <v>1</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1807"/>
      <c r="C69" s="1807" t="s">
        <v>2932</v>
      </c>
      <c r="D69" s="1807" t="s">
        <v>2933</v>
      </c>
      <c r="E69" s="819" t="s">
        <v>2934</v>
      </c>
      <c r="F69" s="2860" t="s">
        <v>2950</v>
      </c>
      <c r="G69" s="1807" t="s">
        <v>754</v>
      </c>
      <c r="H69" s="2861" t="s">
        <v>2936</v>
      </c>
      <c r="I69" s="1807"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c r="D70" s="1285">
        <f t="shared" ref="D70:D78" si="21">SUMIF($J$69:$N$69,C70,J70:N70)</f>
        <v>0</v>
      </c>
      <c r="E70" s="821">
        <f>ROUND(SUM(D70:D78),4)</f>
        <v>0</v>
      </c>
      <c r="F70" s="2490"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c r="D71" s="1285">
        <f t="shared" si="21"/>
        <v>0</v>
      </c>
      <c r="E71" s="826"/>
      <c r="F71" s="2490"/>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c r="D72" s="1285">
        <f t="shared" si="21"/>
        <v>0</v>
      </c>
      <c r="E72" s="826"/>
      <c r="F72" s="2490"/>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c r="D73" s="1285">
        <f t="shared" si="21"/>
        <v>0</v>
      </c>
      <c r="E73" s="826"/>
      <c r="F73" s="2490"/>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c r="D74" s="1285">
        <f t="shared" si="21"/>
        <v>0</v>
      </c>
      <c r="E74" s="826"/>
      <c r="F74" s="2490"/>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c r="D75" s="1285">
        <f t="shared" si="21"/>
        <v>0</v>
      </c>
      <c r="E75" s="826"/>
      <c r="F75" s="2490"/>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8" customFormat="1" ht="24">
      <c r="A76" s="2859" t="s">
        <v>2944</v>
      </c>
      <c r="B76" s="2865" t="s">
        <v>2945</v>
      </c>
      <c r="C76" s="2759"/>
      <c r="D76" s="1285">
        <f t="shared" si="21"/>
        <v>0</v>
      </c>
      <c r="E76" s="826"/>
      <c r="F76" s="2490"/>
      <c r="G76" s="1283"/>
      <c r="H76" s="1287" t="str">
        <f t="shared" si="22"/>
        <v>——</v>
      </c>
      <c r="I76" s="820">
        <v>0.05</v>
      </c>
      <c r="J76" s="1284">
        <f t="shared" si="23"/>
        <v>0</v>
      </c>
      <c r="K76" s="1284">
        <f t="shared" si="24"/>
        <v>0</v>
      </c>
      <c r="L76" s="1284">
        <v>0</v>
      </c>
      <c r="M76" s="1284">
        <f t="shared" si="25"/>
        <v>0</v>
      </c>
      <c r="N76" s="1284">
        <f t="shared" si="25"/>
        <v>0</v>
      </c>
      <c r="AA76" s="2870"/>
      <c r="AB76" s="1370"/>
      <c r="AC76" s="1370"/>
      <c r="AD76" s="1370"/>
      <c r="AE76" s="1370"/>
      <c r="AF76" s="1370"/>
      <c r="AG76" s="1370"/>
      <c r="AH76" s="2870"/>
      <c r="AI76" s="2870"/>
      <c r="AJ76" s="2870"/>
      <c r="AK76" s="2870"/>
    </row>
    <row r="77" spans="1:37" ht="24">
      <c r="A77" s="2859" t="s">
        <v>2948</v>
      </c>
      <c r="B77" s="2862" t="str">
        <f>估价对象房地状况!C20</f>
        <v>好</v>
      </c>
      <c r="C77" s="2759"/>
      <c r="D77" s="1285">
        <f t="shared" si="21"/>
        <v>0</v>
      </c>
      <c r="E77" s="826"/>
      <c r="F77" s="2490"/>
      <c r="G77" s="1283"/>
      <c r="H77" s="1287" t="str">
        <f t="shared" si="22"/>
        <v>——</v>
      </c>
      <c r="I77" s="820">
        <v>0.15</v>
      </c>
      <c r="J77" s="1284">
        <f t="shared" si="23"/>
        <v>0</v>
      </c>
      <c r="K77" s="1284">
        <f t="shared" si="24"/>
        <v>0</v>
      </c>
      <c r="L77" s="1284">
        <v>0</v>
      </c>
      <c r="M77" s="1284">
        <f t="shared" si="25"/>
        <v>0</v>
      </c>
      <c r="N77" s="1284">
        <f t="shared" si="25"/>
        <v>0</v>
      </c>
      <c r="Z77" s="2709"/>
      <c r="AA77" s="2777"/>
      <c r="AG77" s="1371"/>
      <c r="AK77" s="2777"/>
    </row>
    <row r="78" spans="1:37" ht="24.75" thickBot="1">
      <c r="A78" s="2867" t="s">
        <v>2955</v>
      </c>
      <c r="B78" s="2871"/>
      <c r="C78" s="2759"/>
      <c r="D78" s="1285">
        <f t="shared" si="21"/>
        <v>0</v>
      </c>
      <c r="E78" s="827"/>
      <c r="F78" s="2490"/>
      <c r="G78" s="1283"/>
      <c r="H78" s="1287" t="str">
        <f t="shared" si="22"/>
        <v>——</v>
      </c>
      <c r="I78" s="824">
        <v>0.04</v>
      </c>
      <c r="J78" s="1284">
        <f t="shared" si="23"/>
        <v>0</v>
      </c>
      <c r="K78" s="1284">
        <f t="shared" si="24"/>
        <v>0</v>
      </c>
      <c r="L78" s="1284">
        <v>0</v>
      </c>
      <c r="M78" s="1284">
        <f t="shared" si="25"/>
        <v>0</v>
      </c>
      <c r="N78" s="1284">
        <f t="shared" si="25"/>
        <v>0</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1807"/>
      <c r="C80" s="1807" t="s">
        <v>2932</v>
      </c>
      <c r="D80" s="1807" t="s">
        <v>2933</v>
      </c>
      <c r="E80" s="819" t="s">
        <v>2934</v>
      </c>
      <c r="F80" s="2860" t="s">
        <v>2950</v>
      </c>
      <c r="G80" s="1807" t="s">
        <v>754</v>
      </c>
      <c r="H80" s="2861" t="s">
        <v>2936</v>
      </c>
      <c r="I80" s="1807"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6">SUMIF($J$80:$N$80,C81,J81:N81)</f>
        <v>0</v>
      </c>
      <c r="E81" s="821">
        <f>ROUND(SUM(D81:D88),4)</f>
        <v>0</v>
      </c>
      <c r="F81" s="2490"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6"/>
        <v>0</v>
      </c>
      <c r="E82" s="826"/>
      <c r="F82" s="2490"/>
      <c r="G82" s="1283"/>
      <c r="H82" s="1287" t="str">
        <f t="shared" si="27"/>
        <v>——</v>
      </c>
      <c r="I82" s="820">
        <v>0.33</v>
      </c>
      <c r="J82" s="1284">
        <f t="shared" si="28"/>
        <v>0</v>
      </c>
      <c r="K82" s="1284">
        <f t="shared" si="29"/>
        <v>0</v>
      </c>
      <c r="L82" s="1284">
        <v>0</v>
      </c>
      <c r="M82" s="1284">
        <f t="shared" si="30"/>
        <v>0</v>
      </c>
      <c r="N82" s="1284">
        <f t="shared" si="30"/>
        <v>0</v>
      </c>
      <c r="Z82" s="2709"/>
      <c r="AA82" s="2777"/>
      <c r="AG82" s="1371"/>
      <c r="AK82" s="2777"/>
    </row>
    <row r="83" spans="1:37" ht="24">
      <c r="A83" s="2859" t="s">
        <v>2940</v>
      </c>
      <c r="B83" s="2863">
        <f>估价对象房地状况!G17</f>
        <v>0</v>
      </c>
      <c r="C83" s="2759"/>
      <c r="D83" s="1285">
        <f t="shared" si="26"/>
        <v>0</v>
      </c>
      <c r="E83" s="826"/>
      <c r="F83" s="2490"/>
      <c r="G83" s="1283"/>
      <c r="H83" s="1287" t="str">
        <f t="shared" si="27"/>
        <v>——</v>
      </c>
      <c r="I83" s="820">
        <v>0.05</v>
      </c>
      <c r="J83" s="1284">
        <f t="shared" si="28"/>
        <v>0</v>
      </c>
      <c r="K83" s="1284">
        <f t="shared" si="29"/>
        <v>0</v>
      </c>
      <c r="L83" s="1284">
        <v>0</v>
      </c>
      <c r="M83" s="1284">
        <f t="shared" si="30"/>
        <v>0</v>
      </c>
      <c r="N83" s="1284">
        <f t="shared" si="30"/>
        <v>0</v>
      </c>
      <c r="Z83" s="2709"/>
      <c r="AA83" s="2777"/>
      <c r="AG83" s="1371"/>
      <c r="AK83" s="2777"/>
    </row>
    <row r="84" spans="1:37" ht="14.25">
      <c r="A84" s="2859" t="s">
        <v>2954</v>
      </c>
      <c r="B84" s="2863">
        <f>估价对象房地状况!G22</f>
        <v>0</v>
      </c>
      <c r="C84" s="2759"/>
      <c r="D84" s="1285">
        <f t="shared" si="26"/>
        <v>0</v>
      </c>
      <c r="E84" s="826"/>
      <c r="F84" s="2490"/>
      <c r="G84" s="1283"/>
      <c r="H84" s="1287" t="str">
        <f t="shared" si="27"/>
        <v>——</v>
      </c>
      <c r="I84" s="820">
        <v>0.04</v>
      </c>
      <c r="J84" s="1284">
        <f t="shared" si="28"/>
        <v>0</v>
      </c>
      <c r="K84" s="1284">
        <f t="shared" si="29"/>
        <v>0</v>
      </c>
      <c r="L84" s="1284">
        <v>0</v>
      </c>
      <c r="M84" s="1284">
        <f t="shared" si="30"/>
        <v>0</v>
      </c>
      <c r="N84" s="1284">
        <f t="shared" si="30"/>
        <v>0</v>
      </c>
      <c r="Z84" s="2709"/>
      <c r="AA84" s="2777"/>
      <c r="AG84" s="1371"/>
      <c r="AK84" s="2777"/>
    </row>
    <row r="85" spans="1:37" ht="25.5">
      <c r="A85" s="2859" t="s">
        <v>2946</v>
      </c>
      <c r="B85" s="1723" t="str">
        <f>估价对象房地状况!G19</f>
        <v>估价对象所在区域公共配套设施齐备情况</v>
      </c>
      <c r="C85" s="2759"/>
      <c r="D85" s="1285">
        <f t="shared" si="26"/>
        <v>0</v>
      </c>
      <c r="E85" s="826"/>
      <c r="F85" s="2490"/>
      <c r="G85" s="1283"/>
      <c r="H85" s="1287" t="str">
        <f t="shared" si="27"/>
        <v>——</v>
      </c>
      <c r="I85" s="820">
        <v>0.06</v>
      </c>
      <c r="J85" s="1284">
        <f t="shared" si="28"/>
        <v>0</v>
      </c>
      <c r="K85" s="1284">
        <f t="shared" si="29"/>
        <v>0</v>
      </c>
      <c r="L85" s="1284">
        <v>0</v>
      </c>
      <c r="M85" s="1284">
        <f t="shared" si="30"/>
        <v>0</v>
      </c>
      <c r="N85" s="1284">
        <f t="shared" si="30"/>
        <v>0</v>
      </c>
      <c r="Z85" s="2709"/>
      <c r="AA85" s="2777"/>
      <c r="AG85" s="1371"/>
      <c r="AK85" s="2777"/>
    </row>
    <row r="86" spans="1:37" ht="25.5">
      <c r="A86" s="2859" t="s">
        <v>2947</v>
      </c>
      <c r="B86" s="1723" t="str">
        <f>估价对象房地状况!G20</f>
        <v>估价对象所在区域基础设施水平</v>
      </c>
      <c r="C86" s="2759"/>
      <c r="D86" s="1285">
        <f t="shared" si="26"/>
        <v>0</v>
      </c>
      <c r="E86" s="826"/>
      <c r="F86" s="2490"/>
      <c r="G86" s="1283"/>
      <c r="H86" s="1287" t="str">
        <f t="shared" si="27"/>
        <v>——</v>
      </c>
      <c r="I86" s="820">
        <v>0.15</v>
      </c>
      <c r="J86" s="1284">
        <f t="shared" si="28"/>
        <v>0</v>
      </c>
      <c r="K86" s="1284">
        <f t="shared" si="29"/>
        <v>0</v>
      </c>
      <c r="L86" s="1284">
        <v>0</v>
      </c>
      <c r="M86" s="1284">
        <f t="shared" si="30"/>
        <v>0</v>
      </c>
      <c r="N86" s="1284">
        <f t="shared" si="30"/>
        <v>0</v>
      </c>
      <c r="Z86" s="2709"/>
      <c r="AA86" s="2777"/>
      <c r="AG86" s="1371"/>
      <c r="AK86" s="2777"/>
    </row>
    <row r="87" spans="1:37" ht="24">
      <c r="A87" s="2859" t="s">
        <v>2944</v>
      </c>
      <c r="B87" s="2865" t="s">
        <v>2958</v>
      </c>
      <c r="C87" s="2759"/>
      <c r="D87" s="1285">
        <f t="shared" si="26"/>
        <v>0</v>
      </c>
      <c r="E87" s="826"/>
      <c r="F87" s="2490"/>
      <c r="G87" s="1283"/>
      <c r="H87" s="1287" t="str">
        <f t="shared" si="27"/>
        <v>——</v>
      </c>
      <c r="I87" s="820">
        <v>0.05</v>
      </c>
      <c r="J87" s="1284">
        <f t="shared" si="28"/>
        <v>0</v>
      </c>
      <c r="K87" s="1284">
        <f t="shared" si="29"/>
        <v>0</v>
      </c>
      <c r="L87" s="1284">
        <v>0</v>
      </c>
      <c r="M87" s="1284">
        <f t="shared" si="30"/>
        <v>0</v>
      </c>
      <c r="N87" s="1284">
        <f t="shared" si="30"/>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6"/>
        <v>0</v>
      </c>
      <c r="E88" s="827"/>
      <c r="F88" s="2490"/>
      <c r="G88" s="1283"/>
      <c r="H88" s="1287" t="str">
        <f t="shared" si="27"/>
        <v>——</v>
      </c>
      <c r="I88" s="824">
        <v>0.06</v>
      </c>
      <c r="J88" s="1284">
        <f t="shared" si="28"/>
        <v>0</v>
      </c>
      <c r="K88" s="1284">
        <f t="shared" si="29"/>
        <v>0</v>
      </c>
      <c r="L88" s="1284">
        <v>0</v>
      </c>
      <c r="M88" s="1284">
        <f t="shared" si="30"/>
        <v>0</v>
      </c>
      <c r="N88" s="1284">
        <f t="shared" si="30"/>
        <v>0</v>
      </c>
      <c r="Z88" s="2709"/>
      <c r="AA88" s="2777"/>
      <c r="AG88" s="1371"/>
      <c r="AK88" s="2777"/>
    </row>
    <row r="90" spans="1:37">
      <c r="A90" s="3523" t="s">
        <v>2960</v>
      </c>
      <c r="B90" s="3523"/>
      <c r="C90" s="3523"/>
      <c r="D90" s="3523"/>
      <c r="E90" s="3523"/>
      <c r="F90" s="3523"/>
      <c r="G90" s="3523"/>
      <c r="H90" s="3523"/>
      <c r="I90" s="3523"/>
      <c r="J90" s="3523"/>
      <c r="K90" s="2873"/>
      <c r="L90" s="2873"/>
      <c r="M90" s="2873"/>
      <c r="N90" s="2873"/>
    </row>
    <row r="91" spans="1:37">
      <c r="A91" s="3524" t="s">
        <v>2961</v>
      </c>
      <c r="B91" s="3524" t="s">
        <v>2962</v>
      </c>
      <c r="C91" s="2827" t="s">
        <v>2963</v>
      </c>
      <c r="D91" s="2828"/>
      <c r="E91" s="2828"/>
      <c r="F91" s="2828"/>
      <c r="G91" s="2828"/>
      <c r="H91" s="2828"/>
      <c r="I91" s="2828"/>
      <c r="J91" s="2874"/>
      <c r="K91" s="2875"/>
      <c r="L91" s="2875"/>
      <c r="M91" s="2875"/>
      <c r="N91" s="2875"/>
    </row>
    <row r="92" spans="1:37">
      <c r="A92" s="3524"/>
      <c r="B92" s="3524"/>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512"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13"/>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13"/>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13"/>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13"/>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13"/>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13"/>
      <c r="B99" s="2876" t="s">
        <v>2846</v>
      </c>
      <c r="C99" s="2878">
        <f>$I$3</f>
        <v>0</v>
      </c>
      <c r="D99" s="2878">
        <f t="shared" ref="D99:M99" si="31">$I$3</f>
        <v>0</v>
      </c>
      <c r="E99" s="2878">
        <f t="shared" si="31"/>
        <v>0</v>
      </c>
      <c r="F99" s="2878">
        <f t="shared" si="31"/>
        <v>0</v>
      </c>
      <c r="G99" s="2878">
        <f t="shared" si="31"/>
        <v>0</v>
      </c>
      <c r="H99" s="2878">
        <f t="shared" si="31"/>
        <v>0</v>
      </c>
      <c r="I99" s="2878">
        <f t="shared" si="31"/>
        <v>0</v>
      </c>
      <c r="J99" s="2878">
        <f t="shared" si="31"/>
        <v>0</v>
      </c>
      <c r="K99" s="2878">
        <f t="shared" si="31"/>
        <v>0</v>
      </c>
      <c r="L99" s="2878">
        <f t="shared" si="31"/>
        <v>0</v>
      </c>
      <c r="M99" s="2878">
        <f t="shared" si="31"/>
        <v>0</v>
      </c>
      <c r="N99" s="2878">
        <f>$I$3</f>
        <v>0</v>
      </c>
    </row>
    <row r="100" spans="1:14">
      <c r="A100" s="3514"/>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12" t="s">
        <v>2965</v>
      </c>
      <c r="B101" s="2880" t="s">
        <v>2966</v>
      </c>
      <c r="C101" s="2881">
        <f>$G$3</f>
        <v>2.13</v>
      </c>
      <c r="D101" s="2881">
        <f t="shared" ref="D101:N101" si="32">$G$3</f>
        <v>2.13</v>
      </c>
      <c r="E101" s="2881">
        <f t="shared" si="32"/>
        <v>2.13</v>
      </c>
      <c r="F101" s="2881">
        <f t="shared" si="32"/>
        <v>2.13</v>
      </c>
      <c r="G101" s="2881">
        <f t="shared" si="32"/>
        <v>2.13</v>
      </c>
      <c r="H101" s="2881">
        <f t="shared" si="32"/>
        <v>2.13</v>
      </c>
      <c r="I101" s="2881">
        <f t="shared" si="32"/>
        <v>2.13</v>
      </c>
      <c r="J101" s="2881">
        <f t="shared" si="32"/>
        <v>2.13</v>
      </c>
      <c r="K101" s="2881">
        <f t="shared" si="32"/>
        <v>2.13</v>
      </c>
      <c r="L101" s="2881">
        <f t="shared" si="32"/>
        <v>2.13</v>
      </c>
      <c r="M101" s="2881">
        <f t="shared" si="32"/>
        <v>2.13</v>
      </c>
      <c r="N101" s="2881">
        <f t="shared" si="32"/>
        <v>2.13</v>
      </c>
    </row>
    <row r="102" spans="1:14">
      <c r="A102" s="3513"/>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13"/>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13"/>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13"/>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13"/>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13"/>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13"/>
      <c r="B108" s="3432" t="s">
        <v>2967</v>
      </c>
      <c r="C108" s="2878">
        <f>C99</f>
        <v>0</v>
      </c>
      <c r="D108" s="2878">
        <f t="shared" ref="D108:N108" si="33">D99</f>
        <v>0</v>
      </c>
      <c r="E108" s="2878">
        <f t="shared" si="33"/>
        <v>0</v>
      </c>
      <c r="F108" s="2878">
        <f t="shared" si="33"/>
        <v>0</v>
      </c>
      <c r="G108" s="2878">
        <f t="shared" si="33"/>
        <v>0</v>
      </c>
      <c r="H108" s="2878">
        <f t="shared" si="33"/>
        <v>0</v>
      </c>
      <c r="I108" s="2878">
        <f t="shared" si="33"/>
        <v>0</v>
      </c>
      <c r="J108" s="2878">
        <f t="shared" si="33"/>
        <v>0</v>
      </c>
      <c r="K108" s="2878">
        <f t="shared" si="33"/>
        <v>0</v>
      </c>
      <c r="L108" s="2878">
        <f t="shared" si="33"/>
        <v>0</v>
      </c>
      <c r="M108" s="2878">
        <f t="shared" si="33"/>
        <v>0</v>
      </c>
      <c r="N108" s="2878">
        <f t="shared" si="33"/>
        <v>0</v>
      </c>
    </row>
    <row r="109" spans="1:14">
      <c r="A109" s="3514"/>
      <c r="B109" s="3433"/>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15" t="s">
        <v>2968</v>
      </c>
      <c r="B110" s="3515"/>
      <c r="C110" s="3515"/>
      <c r="D110" s="3515"/>
      <c r="E110" s="3515"/>
      <c r="F110" s="3515"/>
      <c r="G110" s="3515"/>
      <c r="H110" s="3515"/>
      <c r="I110" s="3515"/>
      <c r="J110" s="3515"/>
      <c r="K110" s="2882"/>
      <c r="L110" s="2882"/>
      <c r="M110" s="2882"/>
      <c r="N110" s="2882"/>
    </row>
    <row r="112" spans="1:14" ht="13.5" thickBot="1"/>
    <row r="113" spans="1:13" ht="25.5" thickBot="1">
      <c r="A113" s="903" t="s">
        <v>2969</v>
      </c>
      <c r="B113" s="1286">
        <f>G3</f>
        <v>2.13</v>
      </c>
      <c r="C113" s="904" t="s">
        <v>2970</v>
      </c>
      <c r="D113" s="905">
        <f>SUMPRODUCT((A115:A118=F113)*(B114:M114=H113)*B115:M118)</f>
        <v>0.9234</v>
      </c>
      <c r="E113" s="2713" t="s">
        <v>2803</v>
      </c>
      <c r="F113" s="2884" t="str">
        <f>E2</f>
        <v>办公</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4">I115</f>
        <v>0.65600000000000003</v>
      </c>
      <c r="K115" s="910">
        <f t="shared" si="34"/>
        <v>0.65600000000000003</v>
      </c>
      <c r="L115" s="910">
        <f t="shared" si="34"/>
        <v>0.65600000000000003</v>
      </c>
      <c r="M115" s="911">
        <f t="shared" si="34"/>
        <v>0.65600000000000003</v>
      </c>
    </row>
    <row r="116" spans="1:13">
      <c r="A116" s="909" t="s">
        <v>2869</v>
      </c>
      <c r="B116" s="910">
        <f>ROUND(0.949-0.012*B113,4)</f>
        <v>0.9234</v>
      </c>
      <c r="C116" s="910">
        <f>B116</f>
        <v>0.9234</v>
      </c>
      <c r="D116" s="910">
        <f>ROUND(0.8567-0.013*B113,4)</f>
        <v>0.82899999999999996</v>
      </c>
      <c r="E116" s="910">
        <f t="shared" ref="E116:H117" si="35">D116</f>
        <v>0.82899999999999996</v>
      </c>
      <c r="F116" s="910">
        <f t="shared" si="35"/>
        <v>0.82899999999999996</v>
      </c>
      <c r="G116" s="910">
        <f t="shared" si="35"/>
        <v>0.82899999999999996</v>
      </c>
      <c r="H116" s="910">
        <f t="shared" si="35"/>
        <v>0.82899999999999996</v>
      </c>
      <c r="I116" s="910">
        <f>ROUND(0.7694-0.014*B113,4)</f>
        <v>0.73960000000000004</v>
      </c>
      <c r="J116" s="910">
        <f t="shared" si="34"/>
        <v>0.73960000000000004</v>
      </c>
      <c r="K116" s="910">
        <f t="shared" si="34"/>
        <v>0.73960000000000004</v>
      </c>
      <c r="L116" s="910">
        <f t="shared" si="34"/>
        <v>0.73960000000000004</v>
      </c>
      <c r="M116" s="911">
        <f t="shared" si="34"/>
        <v>0.73960000000000004</v>
      </c>
    </row>
    <row r="117" spans="1:13">
      <c r="A117" s="909" t="s">
        <v>2870</v>
      </c>
      <c r="B117" s="910">
        <f>ROUND(0.8808-0.006*B113,4)</f>
        <v>0.86799999999999999</v>
      </c>
      <c r="C117" s="910">
        <f>B117</f>
        <v>0.86799999999999999</v>
      </c>
      <c r="D117" s="910">
        <f>ROUND(0.8748-0.008*B113,4)</f>
        <v>0.85780000000000001</v>
      </c>
      <c r="E117" s="910">
        <f t="shared" si="35"/>
        <v>0.85780000000000001</v>
      </c>
      <c r="F117" s="910">
        <f t="shared" si="35"/>
        <v>0.85780000000000001</v>
      </c>
      <c r="G117" s="910">
        <f t="shared" si="35"/>
        <v>0.85780000000000001</v>
      </c>
      <c r="H117" s="910">
        <f t="shared" si="35"/>
        <v>0.85780000000000001</v>
      </c>
      <c r="I117" s="910">
        <f>ROUND(0.7412-0.0095*B113,4)</f>
        <v>0.72099999999999997</v>
      </c>
      <c r="J117" s="910">
        <f t="shared" si="34"/>
        <v>0.72099999999999997</v>
      </c>
      <c r="K117" s="910">
        <f t="shared" si="34"/>
        <v>0.72099999999999997</v>
      </c>
      <c r="L117" s="910">
        <f t="shared" si="34"/>
        <v>0.72099999999999997</v>
      </c>
      <c r="M117" s="911">
        <f t="shared" si="34"/>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4"/>
        <v>0.53769999999999996</v>
      </c>
      <c r="K118" s="912">
        <f t="shared" si="34"/>
        <v>0.53769999999999996</v>
      </c>
      <c r="L118" s="912">
        <f t="shared" si="34"/>
        <v>0.53769999999999996</v>
      </c>
      <c r="M118" s="913">
        <f t="shared" si="34"/>
        <v>0.53769999999999996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8" priority="5" stopIfTrue="1" operator="notEqual">
      <formula>"——"</formula>
    </cfRule>
  </conditionalFormatting>
  <conditionalFormatting sqref="F59">
    <cfRule type="cellIs" dxfId="37" priority="4" stopIfTrue="1" operator="notEqual">
      <formula>"——"</formula>
    </cfRule>
  </conditionalFormatting>
  <conditionalFormatting sqref="F70">
    <cfRule type="cellIs" dxfId="36" priority="3" stopIfTrue="1" operator="notEqual">
      <formula>"——"</formula>
    </cfRule>
  </conditionalFormatting>
  <conditionalFormatting sqref="F81">
    <cfRule type="cellIs" dxfId="35" priority="2" stopIfTrue="1" operator="notEqual">
      <formula>"——"</formula>
    </cfRule>
  </conditionalFormatting>
  <conditionalFormatting sqref="H48:H56 H59:H67 H70:H78 H81:H88">
    <cfRule type="cellIs" dxfId="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15" sqref="G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3050</v>
      </c>
      <c r="D1" s="1818" t="s">
        <v>70</v>
      </c>
      <c r="E1" s="1819" t="s">
        <v>1382</v>
      </c>
      <c r="F1" s="1282">
        <f ca="1">J53</f>
        <v>34.18</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1095</v>
      </c>
      <c r="C2" s="1843" t="s">
        <v>1511</v>
      </c>
      <c r="D2" s="1843"/>
      <c r="E2" s="1844"/>
      <c r="F2" s="1845"/>
      <c r="G2" s="1846"/>
      <c r="H2" s="1838"/>
      <c r="I2" s="1838"/>
      <c r="J2" s="1838"/>
      <c r="K2" s="1839"/>
      <c r="L2" s="1838"/>
      <c r="M2" s="1838"/>
    </row>
    <row r="3" spans="1:37" ht="18" customHeight="1" thickBot="1">
      <c r="A3" s="1847" t="s">
        <v>1512</v>
      </c>
      <c r="B3" s="1848">
        <f ca="1">IF(ISERROR(B2*10000/F43),0,ROUND(B2*10000/F43,0))</f>
        <v>13780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78</v>
      </c>
      <c r="D5" s="1820" t="s">
        <v>1397</v>
      </c>
      <c r="E5" s="1292"/>
      <c r="F5" s="1293"/>
      <c r="G5" s="1849"/>
      <c r="H5" s="344">
        <v>1</v>
      </c>
      <c r="I5" s="345" t="s">
        <v>1396</v>
      </c>
      <c r="J5" s="1291">
        <f ca="1">J6+J10+J12</f>
        <v>0</v>
      </c>
      <c r="K5" s="1820" t="s">
        <v>1397</v>
      </c>
      <c r="L5" s="1292"/>
      <c r="M5" s="1293"/>
    </row>
    <row r="6" spans="1:37" ht="18" customHeight="1">
      <c r="A6" s="1290" t="s">
        <v>1032</v>
      </c>
      <c r="B6" s="3537" t="s">
        <v>1398</v>
      </c>
      <c r="C6" s="1295">
        <f ca="1">ROUND(F6*F8*F7*(1-F9)/10000,0)</f>
        <v>78</v>
      </c>
      <c r="D6" s="164" t="s">
        <v>3020</v>
      </c>
      <c r="E6" s="347" t="s">
        <v>1400</v>
      </c>
      <c r="F6" s="348">
        <f ca="1">INDIRECT("'数据-取费表'!u"&amp;$G$1)</f>
        <v>3</v>
      </c>
      <c r="G6" s="1849"/>
      <c r="H6" s="1290" t="s">
        <v>1032</v>
      </c>
      <c r="I6" s="3537" t="s">
        <v>1398</v>
      </c>
      <c r="J6" s="346">
        <f ca="1">ROUND(M6*M8*M7*(1-M9)/10000,0)</f>
        <v>0</v>
      </c>
      <c r="K6" s="164" t="s">
        <v>3019</v>
      </c>
      <c r="L6" s="347" t="s">
        <v>1400</v>
      </c>
      <c r="M6" s="348">
        <f ca="1">INDIRECT("'数据-取费表'!z"&amp;$G$1)</f>
        <v>0</v>
      </c>
    </row>
    <row r="7" spans="1:37" ht="18" customHeight="1">
      <c r="A7" s="1294"/>
      <c r="B7" s="3538"/>
      <c r="C7" s="1296"/>
      <c r="D7" s="352"/>
      <c r="E7" s="2959" t="s">
        <v>1401</v>
      </c>
      <c r="F7" s="348">
        <f ca="1">IF(INDIRECT("'数据-取费表'!ah"&amp;$G$1)="",INDIRECT("'数据-取费表'!k"&amp;$G$1),INDIRECT("'数据-取费表'!ah"&amp;$G$1))</f>
        <v>794.62</v>
      </c>
      <c r="G7" s="1849"/>
      <c r="H7" s="349"/>
      <c r="I7" s="3538"/>
      <c r="J7" s="351"/>
      <c r="K7" s="352"/>
      <c r="L7" s="347" t="s">
        <v>1401</v>
      </c>
      <c r="M7" s="348">
        <f ca="1">F7</f>
        <v>794.62</v>
      </c>
    </row>
    <row r="8" spans="1:37" ht="18" customHeight="1">
      <c r="A8" s="349"/>
      <c r="B8" s="3538"/>
      <c r="C8" s="351"/>
      <c r="D8" s="352"/>
      <c r="E8" s="347" t="s">
        <v>1402</v>
      </c>
      <c r="F8" s="348">
        <f ca="1">INDIRECT("'数据-取费表'!ai"&amp;$G$1)</f>
        <v>365</v>
      </c>
      <c r="G8" s="1849"/>
      <c r="H8" s="349"/>
      <c r="I8" s="3538"/>
      <c r="J8" s="351"/>
      <c r="K8" s="352"/>
      <c r="L8" s="347" t="s">
        <v>1402</v>
      </c>
      <c r="M8" s="348">
        <f ca="1">INDIRECT("'数据-取费表'!ai"&amp;$G$1)</f>
        <v>365</v>
      </c>
    </row>
    <row r="9" spans="1:37" ht="18" customHeight="1">
      <c r="A9" s="349"/>
      <c r="B9" s="3539"/>
      <c r="C9" s="351"/>
      <c r="D9" s="352"/>
      <c r="E9" s="347" t="s">
        <v>1403</v>
      </c>
      <c r="F9" s="357">
        <f ca="1">INDIRECT("'数据-取费表'!w"&amp;$G$1)</f>
        <v>0.1</v>
      </c>
      <c r="G9" s="1849"/>
      <c r="H9" s="349"/>
      <c r="I9" s="353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3090</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339</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281</v>
      </c>
      <c r="D14" s="2946" t="s">
        <v>1413</v>
      </c>
      <c r="E14" s="2941"/>
      <c r="F14" s="364"/>
      <c r="G14" s="1849"/>
      <c r="H14" s="1200" t="s">
        <v>1032</v>
      </c>
      <c r="I14" s="347" t="s">
        <v>1414</v>
      </c>
      <c r="J14" s="24">
        <f ca="1">C29</f>
        <v>409</v>
      </c>
      <c r="K14" s="2958"/>
      <c r="L14" s="979"/>
      <c r="M14" s="980"/>
    </row>
    <row r="15" spans="1:37" s="1856" customFormat="1" ht="18" customHeight="1" thickBot="1">
      <c r="A15" s="1200" t="s">
        <v>1033</v>
      </c>
      <c r="B15" s="347" t="s">
        <v>1415</v>
      </c>
      <c r="C15" s="24">
        <f ca="1">ROUND(C14*F15,0)</f>
        <v>8</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10</v>
      </c>
      <c r="K16" s="1336" t="s">
        <v>1420</v>
      </c>
      <c r="L16" s="2948"/>
      <c r="M16" s="1293"/>
    </row>
    <row r="17" spans="1:37" s="1856" customFormat="1" ht="18" customHeight="1">
      <c r="A17" s="1200" t="s">
        <v>1385</v>
      </c>
      <c r="B17" s="347" t="s">
        <v>1421</v>
      </c>
      <c r="C17" s="24">
        <f ca="1">ROUND(F17*(F43+INDIRECT("'数据-取费表'!S"&amp;$G$1))/10000,0)</f>
        <v>16</v>
      </c>
      <c r="D17" s="347" t="s">
        <v>1422</v>
      </c>
      <c r="E17" s="347" t="s">
        <v>1423</v>
      </c>
      <c r="F17" s="26">
        <f>'数据-取费表'!B35</f>
        <v>200</v>
      </c>
      <c r="G17" s="1852"/>
      <c r="H17" s="1200" t="s">
        <v>1032</v>
      </c>
      <c r="I17" s="347" t="s">
        <v>1424</v>
      </c>
      <c r="J17" s="24">
        <f ca="1">ROUND(IF(项目基本情况!B11="自然人",J6*M17/(1+'数据-取费表'!C42),J18+J19+J20),1)</f>
        <v>4.2</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v>
      </c>
      <c r="D18" s="347" t="s">
        <v>1416</v>
      </c>
      <c r="E18" s="347" t="s">
        <v>1417</v>
      </c>
      <c r="F18" s="367">
        <f>'数据-取费表'!B36</f>
        <v>1.4999999999999999E-2</v>
      </c>
      <c r="G18" s="1852"/>
      <c r="H18" s="1200" t="s">
        <v>1031</v>
      </c>
      <c r="I18" s="347" t="s">
        <v>1428</v>
      </c>
      <c r="J18" s="24">
        <f ca="1">ROUND(J6*M18/(1+'数据-取费表'!C42),2)</f>
        <v>0</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309</v>
      </c>
      <c r="D19" s="140" t="s">
        <v>1431</v>
      </c>
      <c r="E19" s="2956"/>
      <c r="F19" s="26"/>
      <c r="G19" s="1849"/>
      <c r="H19" s="1200" t="s">
        <v>1033</v>
      </c>
      <c r="I19" s="347" t="s">
        <v>1432</v>
      </c>
      <c r="J19" s="24">
        <f ca="1">IF(K19="按租金收入计税",ROUND(J6*M19/(1+'数据-取费表'!C42),2),ROUND(C29*M19*0.7,2))</f>
        <v>3.44</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v>
      </c>
      <c r="D20" s="369" t="s">
        <v>1435</v>
      </c>
      <c r="E20" s="347" t="s">
        <v>1417</v>
      </c>
      <c r="F20" s="367">
        <f>'数据-取费表'!B37</f>
        <v>0.02</v>
      </c>
      <c r="G20" s="1852"/>
      <c r="H20" s="1200" t="s">
        <v>1384</v>
      </c>
      <c r="I20" s="164" t="s">
        <v>1436</v>
      </c>
      <c r="J20" s="25">
        <f ca="1">ROUND(M20*M21/10000,2)</f>
        <v>0.74</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308.63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f ca="1">ROUND(J14*M22,1)</f>
        <v>6.1</v>
      </c>
      <c r="K22" s="2944"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2944"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f ca="1">J5-J16</f>
        <v>-10</v>
      </c>
      <c r="K25" s="1344" t="s">
        <v>1459</v>
      </c>
      <c r="L25" s="1345"/>
      <c r="M25" s="1346"/>
    </row>
    <row r="26" spans="1:37">
      <c r="A26" s="1200" t="s">
        <v>1031</v>
      </c>
      <c r="B26" s="347" t="s">
        <v>1460</v>
      </c>
      <c r="C26" s="24">
        <f ca="1">ROUND((C19+C20)*F26,0)</f>
        <v>47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409</v>
      </c>
      <c r="D29" s="1341"/>
      <c r="E29" s="1339"/>
      <c r="F29" s="1342"/>
      <c r="G29" s="1852"/>
      <c r="H29" s="380" t="s">
        <v>1030</v>
      </c>
      <c r="I29" s="381" t="s">
        <v>1474</v>
      </c>
      <c r="J29" s="382">
        <f ca="1">ROUND(J26/(1+F40)^F41,0)</f>
        <v>0</v>
      </c>
      <c r="K29" s="383" t="s">
        <v>1475</v>
      </c>
      <c r="L29" s="384"/>
      <c r="M29" s="385">
        <f ca="1">INDIRECT("'数据-取费表'!k"&amp;$G$1)</f>
        <v>794.62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22</v>
      </c>
      <c r="D30" s="1336" t="s">
        <v>1420</v>
      </c>
      <c r="E30" s="2948"/>
      <c r="F30" s="1293"/>
      <c r="G30" s="1849"/>
      <c r="H30" s="745"/>
      <c r="I30" s="746"/>
      <c r="J30" s="747"/>
      <c r="K30" s="748"/>
      <c r="L30" s="749"/>
      <c r="M30" s="750"/>
    </row>
    <row r="31" spans="1:37" ht="18" customHeight="1">
      <c r="A31" s="1200" t="s">
        <v>1032</v>
      </c>
      <c r="B31" s="347" t="s">
        <v>1424</v>
      </c>
      <c r="C31" s="24">
        <f ca="1">ROUND(IF(项目基本情况!B11="自然人",C6*F31/(1+'数据-取费表'!C42),C32+C33+C34),1)</f>
        <v>13.8</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4.16</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8.91</v>
      </c>
      <c r="D33" s="1826" t="s">
        <v>3102</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0.74</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308.63</v>
      </c>
      <c r="G35" s="1849"/>
      <c r="H35" s="745"/>
      <c r="I35" s="1858"/>
      <c r="J35" s="1859"/>
      <c r="K35" s="1860"/>
      <c r="L35" s="1857"/>
      <c r="M35" s="1857"/>
    </row>
    <row r="36" spans="1:18" ht="18" customHeight="1">
      <c r="A36" s="1351" t="s">
        <v>1036</v>
      </c>
      <c r="B36" s="347" t="s">
        <v>1444</v>
      </c>
      <c r="C36" s="24">
        <f ca="1">ROUND(C29*F36,1)</f>
        <v>6.1</v>
      </c>
      <c r="D36" s="2944"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0.5</v>
      </c>
      <c r="D37" s="2944"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1.6</v>
      </c>
      <c r="D38" s="1341" t="s">
        <v>1454</v>
      </c>
      <c r="E38" s="1339" t="s">
        <v>1450</v>
      </c>
      <c r="F38" s="1335">
        <f ca="1">INDIRECT("'数据-取费表'!Am"&amp;$G$1)</f>
        <v>0.02</v>
      </c>
      <c r="G38" s="1849"/>
      <c r="H38" s="1857"/>
      <c r="I38" s="1858"/>
      <c r="J38" s="1859"/>
      <c r="K38" s="1863"/>
      <c r="L38" s="1857"/>
      <c r="M38" s="1857"/>
    </row>
    <row r="39" spans="1:18" ht="24.6" customHeight="1" thickTop="1">
      <c r="A39" s="1328" t="s">
        <v>1028</v>
      </c>
      <c r="B39" s="1343" t="s">
        <v>1478</v>
      </c>
      <c r="C39" s="355">
        <f ca="1">C5-C30</f>
        <v>56</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1095</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34.18</v>
      </c>
      <c r="G41" s="1849"/>
      <c r="H41" s="732"/>
      <c r="I41" s="1858"/>
      <c r="J41" s="1859"/>
      <c r="K41" s="751"/>
      <c r="L41" s="732"/>
      <c r="M41" s="732"/>
    </row>
    <row r="42" spans="1:18" ht="18" customHeight="1">
      <c r="A42" s="353"/>
      <c r="B42" s="354"/>
      <c r="C42" s="355"/>
      <c r="D42" s="373"/>
      <c r="E42" s="347" t="s">
        <v>1472</v>
      </c>
      <c r="F42" s="357">
        <f ca="1">INDIRECT("'数据-取费表'!v"&amp;$G$1)</f>
        <v>0.02</v>
      </c>
      <c r="G42" s="1849"/>
      <c r="H42" s="732"/>
      <c r="I42" s="1858"/>
      <c r="J42" s="1859"/>
      <c r="K42" s="751"/>
      <c r="L42" s="732"/>
      <c r="M42" s="732"/>
    </row>
    <row r="43" spans="1:18" ht="18" customHeight="1" thickBot="1">
      <c r="A43" s="380" t="s">
        <v>1030</v>
      </c>
      <c r="B43" s="381" t="s">
        <v>1482</v>
      </c>
      <c r="C43" s="382">
        <f ca="1">ROUND(C40*10000/F43,0)</f>
        <v>13780</v>
      </c>
      <c r="D43" s="383" t="s">
        <v>1483</v>
      </c>
      <c r="E43" s="384" t="s">
        <v>1484</v>
      </c>
      <c r="F43" s="385">
        <f ca="1">INDIRECT("'数据-取费表'!k"&amp;$G$1)</f>
        <v>794.62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-1736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1095</v>
      </c>
      <c r="R47" s="1884" t="s">
        <v>1524</v>
      </c>
    </row>
    <row r="48" spans="1:18" s="1840" customFormat="1" ht="28.5" thickBot="1">
      <c r="A48" s="1359" t="s">
        <v>1132</v>
      </c>
      <c r="B48" s="345" t="s">
        <v>1396</v>
      </c>
      <c r="C48" s="2955">
        <f ca="1">C49+C53+C55</f>
        <v>0</v>
      </c>
      <c r="D48" s="1361"/>
      <c r="E48" s="1362"/>
      <c r="F48" s="1180"/>
      <c r="G48" s="792"/>
      <c r="H48" s="793"/>
      <c r="I48" s="1885" t="s">
        <v>1525</v>
      </c>
      <c r="J48" s="1886" t="s">
        <v>3089</v>
      </c>
      <c r="K48" s="1887" t="s">
        <v>1526</v>
      </c>
      <c r="L48" s="1888">
        <f ca="1">INDIRECT("'数据-取费表'!f"&amp;$G$1)</f>
        <v>34.18</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3019</v>
      </c>
      <c r="E49" s="1828" t="s">
        <v>1486</v>
      </c>
      <c r="F49" s="1280"/>
      <c r="G49" s="1889"/>
      <c r="H49" s="793"/>
      <c r="I49" s="1885" t="s">
        <v>1529</v>
      </c>
      <c r="J49" s="1890">
        <v>2004</v>
      </c>
      <c r="K49" s="1887" t="s">
        <v>1530</v>
      </c>
      <c r="L49" s="1891"/>
      <c r="O49" s="1892" t="s">
        <v>1039</v>
      </c>
      <c r="P49" s="1883" t="s">
        <v>1531</v>
      </c>
      <c r="Q49" s="1884">
        <f ca="1">C29</f>
        <v>409</v>
      </c>
      <c r="R49" s="1884" t="s">
        <v>1524</v>
      </c>
    </row>
    <row r="50" spans="1:18" s="1840" customFormat="1" ht="13.5" thickBot="1">
      <c r="A50" s="1194"/>
      <c r="B50" s="1197"/>
      <c r="C50" s="1367"/>
      <c r="D50" s="1171"/>
      <c r="E50" s="1276" t="s">
        <v>1401</v>
      </c>
      <c r="F50" s="1277">
        <f ca="1">F7</f>
        <v>794.62</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45</v>
      </c>
      <c r="K51" s="1898" t="s">
        <v>1536</v>
      </c>
      <c r="L51" s="1899">
        <f ca="1">ROUND(-PV(INDIRECT("'数据-取费表'!h"&amp;$G$1),L48,(C39-C13*C76),0),0)</f>
        <v>430</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34.18</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34.18</v>
      </c>
      <c r="K53" s="3535" t="s">
        <v>1543</v>
      </c>
      <c r="L53" s="3536"/>
      <c r="O53" s="1882" t="s">
        <v>1043</v>
      </c>
      <c r="P53" s="1883" t="s">
        <v>1544</v>
      </c>
      <c r="Q53" s="1884">
        <f ca="1">Q47+Q48</f>
        <v>1095</v>
      </c>
      <c r="R53" s="1884" t="s">
        <v>1044</v>
      </c>
    </row>
    <row r="54" spans="1:18" s="1840" customFormat="1" ht="13.5" thickBot="1">
      <c r="A54" s="1405"/>
      <c r="B54" s="1823" t="s">
        <v>1383</v>
      </c>
      <c r="C54" s="1177"/>
      <c r="D54" s="1822"/>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339</v>
      </c>
      <c r="D56" s="1911"/>
      <c r="E56" s="1912"/>
      <c r="F56" s="1904"/>
      <c r="I56" s="1913" t="s">
        <v>1549</v>
      </c>
      <c r="J56" s="1914" t="s">
        <v>3047</v>
      </c>
      <c r="K56" s="1885" t="s">
        <v>1550</v>
      </c>
      <c r="L56" s="1888" t="str">
        <f ca="1">IF(L48&lt;J51,"——",L48-J53)</f>
        <v>——</v>
      </c>
      <c r="O56" s="1882" t="s">
        <v>1037</v>
      </c>
      <c r="P56" s="1883" t="s">
        <v>1523</v>
      </c>
      <c r="Q56" s="1884">
        <f ca="1">C40+J29</f>
        <v>1095</v>
      </c>
      <c r="R56" s="1884" t="s">
        <v>1524</v>
      </c>
    </row>
    <row r="57" spans="1:18" s="1840" customFormat="1" ht="24.75" thickBot="1">
      <c r="A57" s="1915"/>
      <c r="B57" s="1168" t="s">
        <v>1473</v>
      </c>
      <c r="C57" s="282">
        <f ca="1">C29</f>
        <v>409</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42</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35.1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34.36</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0.74</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1095</v>
      </c>
      <c r="R62" s="1884" t="s">
        <v>1044</v>
      </c>
    </row>
    <row r="63" spans="1:18" s="1840" customFormat="1" ht="13.5" thickBot="1">
      <c r="A63" s="372"/>
      <c r="B63" s="1174"/>
      <c r="C63" s="29"/>
      <c r="D63" s="1184"/>
      <c r="E63" s="1168" t="s">
        <v>1494</v>
      </c>
      <c r="F63" s="348">
        <f t="shared" ca="1" si="0"/>
        <v>308.63</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6.1</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0.5</v>
      </c>
      <c r="D65" s="1182" t="s">
        <v>1449</v>
      </c>
      <c r="E65" s="1168" t="s">
        <v>1450</v>
      </c>
      <c r="F65" s="376">
        <f t="shared" ca="1" si="0"/>
        <v>1.5E-3</v>
      </c>
      <c r="I65" s="1926" t="s">
        <v>1574</v>
      </c>
      <c r="J65" s="1927">
        <v>40</v>
      </c>
      <c r="K65" s="1927">
        <v>30</v>
      </c>
      <c r="L65" s="1927">
        <v>50</v>
      </c>
      <c r="M65" s="1929">
        <v>0.02</v>
      </c>
      <c r="O65" s="1882" t="s">
        <v>1037</v>
      </c>
      <c r="P65" s="1883" t="s">
        <v>1575</v>
      </c>
      <c r="Q65" s="1884">
        <f ca="1">C40+J29</f>
        <v>1095</v>
      </c>
      <c r="R65" s="1884" t="s">
        <v>1524</v>
      </c>
    </row>
    <row r="66" spans="1:18" s="1840" customFormat="1" ht="16.5" thickBot="1">
      <c r="A66" s="1200" t="s">
        <v>1499</v>
      </c>
      <c r="B66" s="1168" t="s">
        <v>1434</v>
      </c>
      <c r="C66" s="24">
        <f ca="1">ROUND(C48*F66,1)</f>
        <v>0</v>
      </c>
      <c r="D66" s="1182" t="s">
        <v>1500</v>
      </c>
      <c r="E66" s="1168" t="s">
        <v>1417</v>
      </c>
      <c r="F66" s="357">
        <f t="shared" ca="1" si="0"/>
        <v>0.02</v>
      </c>
      <c r="O66" s="1882" t="s">
        <v>1038</v>
      </c>
      <c r="P66" s="1883" t="s">
        <v>1553</v>
      </c>
      <c r="Q66" s="1884">
        <f ca="1">L60</f>
        <v>0</v>
      </c>
      <c r="R66" s="1884" t="s">
        <v>1576</v>
      </c>
    </row>
    <row r="67" spans="1:18" s="1840" customFormat="1" ht="16.5" thickBot="1">
      <c r="A67" s="1175" t="s">
        <v>1028</v>
      </c>
      <c r="B67" s="1185" t="s">
        <v>1458</v>
      </c>
      <c r="C67" s="361">
        <f ca="1">C48-C58</f>
        <v>-42</v>
      </c>
      <c r="D67" s="1181" t="s">
        <v>1459</v>
      </c>
      <c r="E67" s="1186"/>
      <c r="F67" s="1187"/>
      <c r="O67" s="1892" t="s">
        <v>1039</v>
      </c>
      <c r="P67" s="1883" t="s">
        <v>1557</v>
      </c>
      <c r="Q67" s="1930">
        <f ca="1">L51</f>
        <v>430</v>
      </c>
      <c r="R67" s="1884" t="s">
        <v>1577</v>
      </c>
    </row>
    <row r="68" spans="1:18" s="1840" customFormat="1" ht="16.5" thickBot="1">
      <c r="A68" s="1165" t="s">
        <v>1029</v>
      </c>
      <c r="B68" s="1166" t="s">
        <v>1480</v>
      </c>
      <c r="C68" s="346">
        <f ca="1">ROUND(C67*(1-((1+F70)/(1+F68))^F69)/(F68-F70),0)</f>
        <v>-641</v>
      </c>
      <c r="D68" s="1183" t="s">
        <v>1464</v>
      </c>
      <c r="E68" s="1168" t="s">
        <v>1465</v>
      </c>
      <c r="F68" s="357">
        <f ca="1">F40</f>
        <v>5.5E-2</v>
      </c>
      <c r="O68" s="1892" t="s">
        <v>1040</v>
      </c>
      <c r="P68" s="1931" t="s">
        <v>1578</v>
      </c>
      <c r="Q68" s="1884">
        <f ca="1">ROUND(Q69-Q70*Q71,0)</f>
        <v>27</v>
      </c>
      <c r="R68" s="1884" t="s">
        <v>1048</v>
      </c>
    </row>
    <row r="69" spans="1:18" s="1840" customFormat="1" ht="13.5" thickBot="1">
      <c r="A69" s="1169"/>
      <c r="B69" s="1170"/>
      <c r="C69" s="351"/>
      <c r="D69" s="1188" t="s">
        <v>1468</v>
      </c>
      <c r="E69" s="1168" t="s">
        <v>1469</v>
      </c>
      <c r="F69" s="379">
        <f ca="1">F41</f>
        <v>34.18</v>
      </c>
      <c r="O69" s="1892" t="s">
        <v>1045</v>
      </c>
      <c r="P69" s="1931" t="s">
        <v>1579</v>
      </c>
      <c r="Q69" s="1884">
        <f ca="1">C39</f>
        <v>56</v>
      </c>
      <c r="R69" s="1884" t="s">
        <v>1524</v>
      </c>
    </row>
    <row r="70" spans="1:18" s="1840" customFormat="1" ht="13.5" thickBot="1">
      <c r="A70" s="1172"/>
      <c r="B70" s="1173"/>
      <c r="C70" s="355"/>
      <c r="D70" s="1184"/>
      <c r="E70" s="1168" t="s">
        <v>1472</v>
      </c>
      <c r="F70" s="1274"/>
      <c r="O70" s="1892" t="s">
        <v>1046</v>
      </c>
      <c r="P70" s="1931" t="s">
        <v>1580</v>
      </c>
      <c r="Q70" s="1884">
        <f ca="1">C13</f>
        <v>339</v>
      </c>
      <c r="R70" s="1884" t="s">
        <v>1524</v>
      </c>
    </row>
    <row r="71" spans="1:18" s="1840" customFormat="1" ht="13.5" thickBot="1">
      <c r="A71" s="1189" t="s">
        <v>1030</v>
      </c>
      <c r="B71" s="1190" t="s">
        <v>1482</v>
      </c>
      <c r="C71" s="382">
        <f ca="1">ROUND(C68*10000/F71,0)</f>
        <v>-8067</v>
      </c>
      <c r="D71" s="1191" t="s">
        <v>1483</v>
      </c>
      <c r="E71" s="1192" t="s">
        <v>1484</v>
      </c>
      <c r="F71" s="385">
        <f ca="1">F43</f>
        <v>794.62</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29</v>
      </c>
      <c r="D75" s="1840"/>
      <c r="E75" s="1840"/>
      <c r="F75" s="1840"/>
      <c r="K75" s="1866"/>
      <c r="L75" s="1840"/>
      <c r="O75" s="1882" t="s">
        <v>1043</v>
      </c>
      <c r="P75" s="1883" t="s">
        <v>1544</v>
      </c>
      <c r="Q75" s="1884">
        <f ca="1">Q65+Q66</f>
        <v>1095</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0.48199999999999998</v>
      </c>
    </row>
    <row r="80" spans="1:18">
      <c r="B80" s="386" t="s">
        <v>1506</v>
      </c>
      <c r="C80" s="318">
        <f ca="1">ROUND(C75/C39,3)</f>
        <v>0.51800000000000002</v>
      </c>
    </row>
    <row r="81" spans="2:3">
      <c r="B81" s="314" t="s">
        <v>1507</v>
      </c>
      <c r="C81" s="282"/>
    </row>
    <row r="82" spans="2:3">
      <c r="B82" s="317" t="s">
        <v>1508</v>
      </c>
      <c r="C82" s="319">
        <f ca="1">1-C83</f>
        <v>0.69</v>
      </c>
    </row>
    <row r="83" spans="2:3">
      <c r="B83" s="317" t="s">
        <v>1509</v>
      </c>
      <c r="C83" s="318">
        <f ca="1">ROUND(C13/C40,3)</f>
        <v>0.31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E35" sqref="E35"/>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3052</v>
      </c>
      <c r="D1" s="2405"/>
      <c r="E1" s="2405"/>
      <c r="F1" s="2407" t="s">
        <v>2107</v>
      </c>
      <c r="G1" s="2064" t="s">
        <v>3078</v>
      </c>
      <c r="H1" s="2408" t="str">
        <f>IF(G1="现房","——","估价对象范围")</f>
        <v>——</v>
      </c>
      <c r="I1" s="2409" t="s">
        <v>3100</v>
      </c>
    </row>
    <row r="2" spans="1:12" ht="21.75" customHeight="1" thickBot="1">
      <c r="A2" s="3399" t="str">
        <f>项目基本情况!S2</f>
        <v>北京市朝阳区朝阳公园西里北区5号房地产</v>
      </c>
      <c r="B2" s="3400"/>
      <c r="C2" s="3400"/>
      <c r="D2" s="3400"/>
      <c r="E2" s="3400"/>
      <c r="F2" s="3400"/>
      <c r="G2" s="3400"/>
      <c r="H2" s="3400"/>
      <c r="I2" s="3401"/>
    </row>
    <row r="3" spans="1:12" ht="12.75">
      <c r="A3" s="3403" t="s">
        <v>2108</v>
      </c>
      <c r="B3" s="3404"/>
      <c r="C3" s="3404"/>
      <c r="D3" s="3404"/>
      <c r="E3" s="3404"/>
      <c r="F3" s="3404"/>
      <c r="G3" s="3404"/>
      <c r="H3" s="3404"/>
      <c r="I3" s="3404"/>
    </row>
    <row r="4" spans="1:12" ht="14.25">
      <c r="A4" s="2412" t="s">
        <v>2109</v>
      </c>
      <c r="B4" s="2413" t="s">
        <v>2110</v>
      </c>
      <c r="C4" s="2414" t="s">
        <v>3098</v>
      </c>
      <c r="D4" s="2414" t="s">
        <v>3094</v>
      </c>
      <c r="E4" s="3396" t="s">
        <v>2111</v>
      </c>
      <c r="F4" s="3397"/>
      <c r="G4" s="3397"/>
      <c r="H4" s="3397"/>
      <c r="I4" s="3405"/>
      <c r="K4" s="2415" t="str">
        <f>IF(ISNUMBER(FIND("比较法",'结果表 (车库)'!C4)),"比较法",IF(ISNUMBER(FIND("成本法",'结果表 (车库)'!C4)),"成本法",IF(ISNUMBER(FIND("假设开发法",'结果表 (车库)'!C4)),"假设开发法",IF(ISNUMBER(FIND("收益法",'结果表 (车库)'!C4)),"收益法","基准地价系数修正法"))))</f>
        <v>成本法</v>
      </c>
      <c r="L4" s="2415" t="str">
        <f>IF(ISNUMBER(FIND("比较法",'结果表 (车库)'!D4)),"比较法",IF(ISNUMBER(FIND("成本法",'结果表 (车库)'!D4)),"成本法",IF(ISNUMBER(FIND("假设开发法",'结果表 (车库)'!D4)),"假设开发法",IF(ISNUMBER(FIND("收益法",'结果表 (车库)'!D4)),"收益法","基准地价系数修正法"))))</f>
        <v>收益法</v>
      </c>
    </row>
    <row r="5" spans="1:12" ht="12.75">
      <c r="A5" s="3379" t="s">
        <v>2112</v>
      </c>
      <c r="B5" s="3317">
        <v>25</v>
      </c>
      <c r="C5" s="3382"/>
      <c r="D5" s="3402"/>
      <c r="E5" s="140" t="s">
        <v>2113</v>
      </c>
      <c r="F5" s="2416"/>
      <c r="G5" s="2416"/>
      <c r="H5" s="2416"/>
      <c r="I5" s="1829"/>
    </row>
    <row r="6" spans="1:12" ht="12.75">
      <c r="A6" s="3379"/>
      <c r="B6" s="3317"/>
      <c r="C6" s="3383"/>
      <c r="D6" s="3402"/>
      <c r="E6" s="140" t="s">
        <v>2114</v>
      </c>
      <c r="F6" s="2416"/>
      <c r="G6" s="2416"/>
      <c r="H6" s="2416"/>
      <c r="I6" s="1829"/>
    </row>
    <row r="7" spans="1:12" ht="12.75">
      <c r="A7" s="3379"/>
      <c r="B7" s="3317"/>
      <c r="C7" s="3384"/>
      <c r="D7" s="3402"/>
      <c r="E7" s="140" t="s">
        <v>2115</v>
      </c>
      <c r="F7" s="2416"/>
      <c r="G7" s="2416"/>
      <c r="H7" s="2416"/>
      <c r="I7" s="1829"/>
    </row>
    <row r="8" spans="1:12" ht="12.75">
      <c r="A8" s="3379" t="s">
        <v>2116</v>
      </c>
      <c r="B8" s="3317">
        <v>15</v>
      </c>
      <c r="C8" s="3382"/>
      <c r="D8" s="3402"/>
      <c r="E8" s="140" t="s">
        <v>2117</v>
      </c>
      <c r="F8" s="2416"/>
      <c r="G8" s="2416"/>
      <c r="H8" s="2416"/>
      <c r="I8" s="1829"/>
    </row>
    <row r="9" spans="1:12" ht="12.75">
      <c r="A9" s="3379"/>
      <c r="B9" s="3317"/>
      <c r="C9" s="3384"/>
      <c r="D9" s="3402"/>
      <c r="E9" s="140" t="s">
        <v>2118</v>
      </c>
      <c r="F9" s="2416"/>
      <c r="G9" s="2416"/>
      <c r="H9" s="2416"/>
      <c r="I9" s="1829"/>
    </row>
    <row r="10" spans="1:12" ht="12.75">
      <c r="A10" s="3379" t="s">
        <v>2119</v>
      </c>
      <c r="B10" s="3317">
        <v>15</v>
      </c>
      <c r="C10" s="3382"/>
      <c r="D10" s="3402"/>
      <c r="E10" s="140" t="s">
        <v>2120</v>
      </c>
      <c r="F10" s="2416"/>
      <c r="G10" s="2416"/>
      <c r="H10" s="2416"/>
      <c r="I10" s="1829"/>
    </row>
    <row r="11" spans="1:12" ht="12.75">
      <c r="A11" s="3379"/>
      <c r="B11" s="3317"/>
      <c r="C11" s="3384"/>
      <c r="D11" s="3402"/>
      <c r="E11" s="140" t="s">
        <v>2121</v>
      </c>
      <c r="F11" s="2416"/>
      <c r="G11" s="2416"/>
      <c r="H11" s="2416"/>
      <c r="I11" s="1829"/>
    </row>
    <row r="12" spans="1:12" ht="12.75">
      <c r="A12" s="3379" t="s">
        <v>2122</v>
      </c>
      <c r="B12" s="3317">
        <v>15</v>
      </c>
      <c r="C12" s="3382"/>
      <c r="D12" s="3402"/>
      <c r="E12" s="140" t="s">
        <v>2123</v>
      </c>
      <c r="F12" s="2416"/>
      <c r="G12" s="2416"/>
      <c r="H12" s="2416"/>
      <c r="I12" s="1829"/>
    </row>
    <row r="13" spans="1:12" ht="12.75">
      <c r="A13" s="3379"/>
      <c r="B13" s="3317"/>
      <c r="C13" s="3384"/>
      <c r="D13" s="3402"/>
      <c r="E13" s="140" t="s">
        <v>2124</v>
      </c>
      <c r="F13" s="2416"/>
      <c r="G13" s="2416"/>
      <c r="H13" s="2416"/>
      <c r="I13" s="1829"/>
    </row>
    <row r="14" spans="1:12" ht="12.75">
      <c r="A14" s="3379" t="s">
        <v>2125</v>
      </c>
      <c r="B14" s="3317">
        <v>30</v>
      </c>
      <c r="C14" s="3382">
        <v>6</v>
      </c>
      <c r="D14" s="3402">
        <v>4</v>
      </c>
      <c r="E14" s="140" t="s">
        <v>2126</v>
      </c>
      <c r="F14" s="2416"/>
      <c r="G14" s="2416"/>
      <c r="H14" s="2416"/>
      <c r="I14" s="1829"/>
    </row>
    <row r="15" spans="1:12" ht="12.75">
      <c r="A15" s="3379"/>
      <c r="B15" s="3317"/>
      <c r="C15" s="3383"/>
      <c r="D15" s="3402"/>
      <c r="E15" s="140" t="s">
        <v>2127</v>
      </c>
      <c r="F15" s="2416"/>
      <c r="G15" s="2416"/>
      <c r="H15" s="2416"/>
      <c r="I15" s="1829"/>
    </row>
    <row r="16" spans="1:12" ht="12.75">
      <c r="A16" s="3379"/>
      <c r="B16" s="3317"/>
      <c r="C16" s="3384"/>
      <c r="D16" s="3402"/>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3435.19</v>
      </c>
      <c r="M18" s="2415">
        <f>IF(C1="",'数据-汇总表'!E3,SUMIF(项目类型,C1,'数据-汇总表'!E17:E26))</f>
        <v>3382.29</v>
      </c>
    </row>
    <row r="19" spans="1:35" ht="15">
      <c r="A19" s="2421" t="s">
        <v>2134</v>
      </c>
      <c r="B19" s="2422" t="s">
        <v>2135</v>
      </c>
      <c r="C19" s="143">
        <f ca="1">SUMIF(INDIRECT("'"&amp;C4&amp;"'"&amp;"!A:A"),'结果表 (车库)'!B19,INDIRECT("'"&amp;C4&amp;"'"&amp;"!B:B"))</f>
        <v>4997</v>
      </c>
      <c r="D19" s="144">
        <f ca="1">SUMIF(INDIRECT("'"&amp;D4&amp;"'"&amp;"!A:A"),'结果表 (车库)'!B19,INDIRECT("'"&amp;D4&amp;"'"&amp;"!B:B"))</f>
        <v>1554</v>
      </c>
      <c r="E19" s="2421" t="s">
        <v>2136</v>
      </c>
      <c r="F19" s="2422" t="s">
        <v>2135</v>
      </c>
      <c r="G19" s="145">
        <f ca="1">ROUND(C19*$C$18+D19*$D$18,0)</f>
        <v>3620</v>
      </c>
      <c r="H19" s="2423" t="s">
        <v>2137</v>
      </c>
      <c r="I19" s="138"/>
      <c r="K19" s="2415" t="s">
        <v>2138</v>
      </c>
      <c r="L19" s="2415">
        <f>IF(C1="",'数据-汇总表'!D3,SUMIF(项目类型,C1,'数据-汇总表'!D17:D26)+SUMIF(项目类型,C1,'数据-汇总表'!H17:H27))</f>
        <v>1313.68</v>
      </c>
      <c r="M19" s="2415">
        <f>IF(C1="",'数据-汇总表'!D3,SUMIF(项目类型,C1,'数据-汇总表'!D17:D26))</f>
        <v>1293.45</v>
      </c>
    </row>
    <row r="20" spans="1:35" ht="15">
      <c r="A20" s="2424"/>
      <c r="B20" s="1246" t="s">
        <v>2139</v>
      </c>
      <c r="C20" s="146">
        <f ca="1">SUMIF(INDIRECT("'"&amp;C4&amp;"'"&amp;"!A:A"),'结果表 (车库)'!B20,INDIRECT("'"&amp;C4&amp;"'"&amp;"!B:B"))</f>
        <v>14774</v>
      </c>
      <c r="D20" s="147">
        <f ca="1">SUMIF(INDIRECT("'"&amp;D4&amp;"'"&amp;"!A:A"),'结果表 (车库)'!B20,INDIRECT("'"&amp;D4&amp;"'"&amp;"!B:B"))</f>
        <v>4595</v>
      </c>
      <c r="E20" s="2424"/>
      <c r="F20" s="1246" t="s">
        <v>2139</v>
      </c>
      <c r="G20" s="148">
        <f ca="1">ROUND(C20*$C$18+D20*$D$18,0)</f>
        <v>10702</v>
      </c>
      <c r="H20" s="980" t="s">
        <v>2140</v>
      </c>
      <c r="I20" s="138"/>
    </row>
    <row r="21" spans="1:35" ht="15" customHeight="1" thickBot="1">
      <c r="A21" s="1000"/>
      <c r="B21" s="2425" t="s">
        <v>2141</v>
      </c>
      <c r="C21" s="789">
        <f ca="1">ROUND(C19*10000/L19,0)</f>
        <v>38038</v>
      </c>
      <c r="D21" s="790">
        <f ca="1">ROUND(D19*10000/L19,0)</f>
        <v>11829</v>
      </c>
      <c r="E21" s="1000"/>
      <c r="F21" s="2425" t="s">
        <v>2141</v>
      </c>
      <c r="G21" s="149">
        <f ca="1">ROUND(G19*10000/L19,0)</f>
        <v>27556</v>
      </c>
      <c r="H21" s="2426" t="s">
        <v>2140</v>
      </c>
      <c r="I21" s="138"/>
    </row>
    <row r="22" spans="1:35" ht="15" thickBot="1">
      <c r="A22" s="2270" t="s">
        <v>2142</v>
      </c>
      <c r="B22" s="2427"/>
      <c r="C22" s="2428"/>
      <c r="D22" s="791">
        <f ca="1">IF(C19&lt;D19,D19/C19-1,C19/D19-1)</f>
        <v>2.2155727155727156</v>
      </c>
      <c r="E22" s="138"/>
      <c r="F22" s="138"/>
      <c r="G22" s="138"/>
      <c r="H22" s="138"/>
      <c r="I22" s="138"/>
    </row>
    <row r="23" spans="1:35" ht="13.5" thickBot="1">
      <c r="A23" s="2405"/>
      <c r="B23" s="2405"/>
      <c r="C23" s="2405"/>
      <c r="D23" s="2405"/>
      <c r="E23" s="138"/>
      <c r="F23" s="138"/>
      <c r="G23" s="138"/>
      <c r="H23" s="138"/>
      <c r="I23" s="138"/>
    </row>
    <row r="24" spans="1:35" ht="14.25">
      <c r="A24" s="3373" t="s">
        <v>2143</v>
      </c>
      <c r="B24" s="2422" t="s">
        <v>2135</v>
      </c>
      <c r="C24" s="145">
        <f>IF(B30=0,0,D30)</f>
        <v>0</v>
      </c>
      <c r="D24" s="2429"/>
      <c r="E24" s="138"/>
      <c r="F24" s="138"/>
      <c r="G24" s="138"/>
      <c r="H24" s="138"/>
      <c r="I24" s="138"/>
    </row>
    <row r="25" spans="1:35" ht="14.25">
      <c r="A25" s="3374"/>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3620</v>
      </c>
      <c r="D32" s="2436" t="s">
        <v>2150</v>
      </c>
      <c r="E32" s="138"/>
      <c r="F32" s="138"/>
      <c r="G32" s="138"/>
      <c r="H32" s="138"/>
      <c r="I32" s="138"/>
    </row>
    <row r="33" spans="1:15" ht="15">
      <c r="A33" s="957" t="s">
        <v>2151</v>
      </c>
      <c r="B33" s="2437"/>
      <c r="C33" s="2438" t="s">
        <v>3680</v>
      </c>
      <c r="D33" s="2439" t="s">
        <v>3098</v>
      </c>
      <c r="E33" s="2440" t="s">
        <v>2152</v>
      </c>
      <c r="F33" s="2940" t="str">
        <f>IF(D32="楼面单价","取值（单价）","取值（总价）")</f>
        <v>取值（总价）</v>
      </c>
      <c r="G33" s="138"/>
      <c r="H33" s="138"/>
      <c r="I33" s="138"/>
    </row>
    <row r="34" spans="1:15" ht="15">
      <c r="A34" s="2442"/>
      <c r="B34" s="2443" t="s">
        <v>2153</v>
      </c>
      <c r="C34" s="157">
        <f ca="1">IF(C33="自定义",F34,C32-C35)</f>
        <v>2918</v>
      </c>
      <c r="D34" s="1054">
        <f ca="1">IF(C33="自定义",ROUND(C34/C32,3),IF(C33="收益比率",SUMIF(INDIRECT("'"&amp;D33&amp;"'"&amp;"!b:b"),"土地收益比率",INDIRECT("'"&amp;D33&amp;"'"&amp;"!c:c")),SUMIF(INDIRECT("'"&amp;D33&amp;"'"&amp;"!b:b"),"土地成本比率",INDIRECT("'"&amp;D33&amp;"'"&amp;"!c:c"))))</f>
        <v>0.80600000000000005</v>
      </c>
      <c r="E34" s="2444" t="s">
        <v>2154</v>
      </c>
      <c r="F34" s="1734"/>
      <c r="G34" s="138"/>
      <c r="H34" s="138"/>
      <c r="I34" s="138"/>
    </row>
    <row r="35" spans="1:15" ht="15.75" thickBot="1">
      <c r="A35" s="2445"/>
      <c r="B35" s="2446" t="s">
        <v>2155</v>
      </c>
      <c r="C35" s="1440">
        <f ca="1">IF(C33="自定义",F35,ROUND(C32*D35,0))</f>
        <v>702</v>
      </c>
      <c r="D35" s="1441">
        <f ca="1">IF(C33="自定义",ROUND(C35/C32,3),IF(C33="收益比率",SUMIF(INDIRECT("'"&amp;D33&amp;"'"&amp;"!b:b"),"建筑物收益比率",INDIRECT("'"&amp;D33&amp;"'"&amp;"!c:c")),SUMIF(INDIRECT("'"&amp;D33&amp;"'"&amp;"!b:b"),"建筑物成本比率",INDIRECT("'"&amp;D33&amp;"'"&amp;"!c:c"))))</f>
        <v>0.19400000000000001</v>
      </c>
      <c r="E35" s="2447" t="s">
        <v>2156</v>
      </c>
      <c r="F35" s="163"/>
      <c r="G35" s="138"/>
      <c r="H35" s="138"/>
      <c r="I35" s="138"/>
    </row>
    <row r="36" spans="1:15" ht="15.75" thickBot="1">
      <c r="A36" s="3391" t="s">
        <v>2157</v>
      </c>
      <c r="B36" s="2448" t="s">
        <v>2158</v>
      </c>
      <c r="C36" s="154"/>
      <c r="D36" s="2449"/>
      <c r="E36" s="2450"/>
      <c r="F36" s="2451"/>
      <c r="G36" s="138"/>
      <c r="H36" s="138"/>
      <c r="I36" s="138"/>
    </row>
    <row r="37" spans="1:15" ht="15.75" thickBot="1">
      <c r="A37" s="3392"/>
      <c r="B37" s="2256" t="s">
        <v>2159</v>
      </c>
      <c r="C37" s="156"/>
      <c r="D37" s="1391"/>
      <c r="E37" s="1391"/>
      <c r="F37" s="2451"/>
      <c r="G37" s="138"/>
      <c r="H37" s="138"/>
      <c r="I37" s="138"/>
    </row>
    <row r="38" spans="1:15" ht="15.75" thickBot="1">
      <c r="A38" s="3393"/>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70" t="s">
        <v>2171</v>
      </c>
      <c r="B45" s="3371"/>
      <c r="C45" s="3372"/>
      <c r="D45" s="164">
        <f ca="1">ROUND(H101*F45,0)</f>
        <v>3620</v>
      </c>
      <c r="E45" s="165" t="s">
        <v>2172</v>
      </c>
      <c r="F45" s="166">
        <v>1</v>
      </c>
      <c r="G45" s="167" t="s">
        <v>2173</v>
      </c>
      <c r="H45" s="138"/>
      <c r="I45" s="138"/>
      <c r="J45" s="3430" t="s">
        <v>2174</v>
      </c>
      <c r="K45" s="3430"/>
      <c r="L45" s="3430"/>
      <c r="M45" s="3430"/>
      <c r="N45" s="3430"/>
      <c r="O45" s="3430"/>
    </row>
    <row r="46" spans="1:15" ht="14.25" customHeight="1">
      <c r="A46" s="3367" t="s">
        <v>2175</v>
      </c>
      <c r="B46" s="3368"/>
      <c r="C46" s="3368"/>
      <c r="D46" s="3368"/>
      <c r="E46" s="3368"/>
      <c r="F46" s="3368"/>
      <c r="G46" s="3369"/>
      <c r="H46" s="2467"/>
      <c r="I46" s="168"/>
      <c r="J46" s="2952">
        <v>1</v>
      </c>
      <c r="K46" s="3430" t="s">
        <v>2176</v>
      </c>
      <c r="L46" s="3430"/>
      <c r="M46" s="3450"/>
      <c r="N46" s="3450"/>
      <c r="O46" s="3450"/>
    </row>
    <row r="47" spans="1:15" ht="12" customHeight="1">
      <c r="A47" s="169" t="s">
        <v>2177</v>
      </c>
      <c r="B47" s="170"/>
      <c r="C47" s="171"/>
      <c r="D47" s="172" t="s">
        <v>2178</v>
      </c>
      <c r="E47" s="24" t="s">
        <v>2179</v>
      </c>
      <c r="F47" s="173" t="s">
        <v>2180</v>
      </c>
      <c r="G47" s="174" t="s">
        <v>2181</v>
      </c>
      <c r="H47" s="2467"/>
      <c r="I47" s="168"/>
      <c r="J47" s="2952">
        <v>2</v>
      </c>
      <c r="K47" s="3430" t="s">
        <v>2182</v>
      </c>
      <c r="L47" s="3430"/>
      <c r="M47" s="3451">
        <f>'数据-取费表'!B2</f>
        <v>43670</v>
      </c>
      <c r="N47" s="3451"/>
      <c r="O47" s="3451"/>
    </row>
    <row r="48" spans="1:15" ht="25.5">
      <c r="A48" s="3398" t="s">
        <v>2183</v>
      </c>
      <c r="B48" s="3381"/>
      <c r="C48" s="3381"/>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430" t="s">
        <v>2186</v>
      </c>
      <c r="L48" s="3430"/>
      <c r="M48" s="3452">
        <f ca="1">H101</f>
        <v>3620</v>
      </c>
      <c r="N48" s="3452"/>
      <c r="O48" s="3452"/>
    </row>
    <row r="49" spans="1:35" ht="25.5" customHeight="1">
      <c r="A49" s="176" t="s">
        <v>2187</v>
      </c>
      <c r="B49" s="3366" t="s">
        <v>2188</v>
      </c>
      <c r="C49" s="3366"/>
      <c r="D49" s="177">
        <v>0</v>
      </c>
      <c r="E49" s="23" t="s">
        <v>2189</v>
      </c>
      <c r="F49" s="28" t="s">
        <v>34</v>
      </c>
      <c r="G49" s="3436"/>
      <c r="H49" s="138"/>
      <c r="I49" s="2470"/>
      <c r="J49" s="2952">
        <v>4</v>
      </c>
      <c r="K49" s="3430" t="str">
        <f>IF(项目基本情况!E8="房地产抵押价值","房地产抵押价值","抵押担保权已注销时的房地产抵押价值")</f>
        <v>房地产抵押价值</v>
      </c>
      <c r="L49" s="3430"/>
      <c r="M49" s="3452">
        <f ca="1">IF(项目基本情况!E8="房地产抵押价值",H107,H109)</f>
        <v>3620</v>
      </c>
      <c r="N49" s="3452"/>
      <c r="O49" s="3452"/>
    </row>
    <row r="50" spans="1:35" ht="25.5" customHeight="1">
      <c r="A50" s="178"/>
      <c r="B50" s="3366" t="s">
        <v>2190</v>
      </c>
      <c r="C50" s="3366"/>
      <c r="D50" s="179"/>
      <c r="E50" s="31"/>
      <c r="F50" s="180"/>
      <c r="G50" s="3437"/>
      <c r="H50" s="138"/>
      <c r="I50" s="2470"/>
      <c r="J50" s="3430" t="s">
        <v>2191</v>
      </c>
      <c r="K50" s="3430"/>
      <c r="L50" s="3430"/>
      <c r="M50" s="3430"/>
      <c r="N50" s="3430"/>
      <c r="O50" s="3430"/>
    </row>
    <row r="51" spans="1:35" ht="12" customHeight="1">
      <c r="A51" s="181"/>
      <c r="B51" s="3366" t="s">
        <v>2192</v>
      </c>
      <c r="C51" s="3366"/>
      <c r="D51" s="182"/>
      <c r="E51" s="30"/>
      <c r="F51" s="180"/>
      <c r="G51" s="3438"/>
      <c r="H51" s="138"/>
      <c r="I51" s="2470"/>
      <c r="J51" s="2951" t="s">
        <v>2193</v>
      </c>
      <c r="K51" s="3430" t="s">
        <v>2194</v>
      </c>
      <c r="L51" s="3430"/>
      <c r="M51" s="2951" t="s">
        <v>2195</v>
      </c>
      <c r="N51" s="2951" t="s">
        <v>2196</v>
      </c>
      <c r="O51" s="2951" t="s">
        <v>2197</v>
      </c>
    </row>
    <row r="52" spans="1:35" ht="24" customHeight="1">
      <c r="A52" s="183" t="s">
        <v>2198</v>
      </c>
      <c r="B52" s="3366" t="s">
        <v>2199</v>
      </c>
      <c r="C52" s="3366"/>
      <c r="D52" s="182">
        <f ca="1">ROUND(D45*'数据-取费表'!B41/(1+'数据-取费表'!C42),0)</f>
        <v>193</v>
      </c>
      <c r="E52" s="11" t="s">
        <v>2200</v>
      </c>
      <c r="F52" s="184">
        <f>'数据-取费表'!B41</f>
        <v>5.6000000000000001E-2</v>
      </c>
      <c r="G52" s="2472"/>
      <c r="H52" s="138"/>
      <c r="I52" s="2470"/>
      <c r="J52" s="2952">
        <v>1</v>
      </c>
      <c r="K52" s="3431" t="s">
        <v>2201</v>
      </c>
      <c r="L52" s="3431"/>
      <c r="M52" s="1749">
        <f>D48</f>
        <v>0</v>
      </c>
      <c r="N52" s="2952" t="str">
        <f>E48</f>
        <v>销售额×税（费）率</v>
      </c>
      <c r="O52" s="1750" t="str">
        <f>F48</f>
        <v>免征</v>
      </c>
    </row>
    <row r="53" spans="1:35" ht="12" customHeight="1">
      <c r="A53" s="183" t="s">
        <v>2202</v>
      </c>
      <c r="B53" s="3389" t="s">
        <v>2203</v>
      </c>
      <c r="C53" s="3390"/>
      <c r="D53" s="182">
        <f ca="1">ROUND(D45*'数据-取费表'!B41/(1+'数据-取费表'!C42),0)</f>
        <v>193</v>
      </c>
      <c r="E53" s="11" t="s">
        <v>2200</v>
      </c>
      <c r="F53" s="184">
        <f>'数据-取费表'!B41</f>
        <v>5.6000000000000001E-2</v>
      </c>
      <c r="G53" s="2472"/>
      <c r="H53" s="138"/>
      <c r="I53" s="2470"/>
      <c r="J53" s="2952">
        <v>2</v>
      </c>
      <c r="K53" s="3431" t="s">
        <v>2204</v>
      </c>
      <c r="L53" s="3431"/>
      <c r="M53" s="1749">
        <f t="shared" ref="M53:O54" ca="1" si="0">D55</f>
        <v>2</v>
      </c>
      <c r="N53" s="2952" t="str">
        <f t="shared" si="0"/>
        <v>销售额×税（费）率</v>
      </c>
      <c r="O53" s="1750">
        <f t="shared" si="0"/>
        <v>5.0000000000000001E-4</v>
      </c>
    </row>
    <row r="54" spans="1:35" ht="12" customHeight="1">
      <c r="A54" s="183" t="s">
        <v>2205</v>
      </c>
      <c r="B54" s="3389" t="s">
        <v>2206</v>
      </c>
      <c r="C54" s="3390"/>
      <c r="D54" s="182">
        <f ca="1">C68</f>
        <v>193</v>
      </c>
      <c r="E54" s="30" t="s">
        <v>2207</v>
      </c>
      <c r="F54" s="184">
        <f>'数据-取费表'!B41</f>
        <v>5.6000000000000001E-2</v>
      </c>
      <c r="G54" s="2472"/>
      <c r="H54" s="2473"/>
      <c r="I54" s="2470"/>
      <c r="J54" s="2952">
        <v>3</v>
      </c>
      <c r="K54" s="3431" t="s">
        <v>2208</v>
      </c>
      <c r="L54" s="3431"/>
      <c r="M54" s="1749">
        <f t="shared" ca="1" si="0"/>
        <v>2049</v>
      </c>
      <c r="N54" s="2952" t="str">
        <f t="shared" si="0"/>
        <v>增值额×税（费）率</v>
      </c>
      <c r="O54" s="1751" t="str">
        <f t="shared" si="0"/>
        <v>——</v>
      </c>
    </row>
    <row r="55" spans="1:35" ht="24" customHeight="1">
      <c r="A55" s="3380" t="s">
        <v>2209</v>
      </c>
      <c r="B55" s="3381"/>
      <c r="C55" s="3381"/>
      <c r="D55" s="185">
        <f ca="1">IF(H55="个人住宅",0,ROUND(D45*I55,0))</f>
        <v>2</v>
      </c>
      <c r="E55" s="11" t="s">
        <v>2210</v>
      </c>
      <c r="F55" s="184">
        <f>IF(H55="正常",I55,"免征")</f>
        <v>5.0000000000000001E-4</v>
      </c>
      <c r="G55" s="2472"/>
      <c r="H55" s="2469" t="s">
        <v>2211</v>
      </c>
      <c r="I55" s="186">
        <f>'数据-取费表'!B49</f>
        <v>5.0000000000000001E-4</v>
      </c>
      <c r="J55" s="2952" t="str">
        <f>IF(H59="非个人房产","",4)</f>
        <v/>
      </c>
      <c r="K55" s="3431" t="str">
        <f>IF(H59="非个人房产","——","个人所得税")</f>
        <v>——</v>
      </c>
      <c r="L55" s="3431"/>
      <c r="M55" s="1752" t="str">
        <f>D59</f>
        <v>——</v>
      </c>
      <c r="N55" s="2953" t="str">
        <f>E59</f>
        <v>——</v>
      </c>
      <c r="O55" s="1753" t="str">
        <f>F59</f>
        <v>——</v>
      </c>
    </row>
    <row r="56" spans="1:35" ht="24.75">
      <c r="A56" s="3380" t="s">
        <v>2212</v>
      </c>
      <c r="B56" s="3381"/>
      <c r="C56" s="3381"/>
      <c r="D56" s="185">
        <f ca="1">IF(H56="个人住宅",D57,D58)</f>
        <v>2049</v>
      </c>
      <c r="E56" s="11" t="s">
        <v>2213</v>
      </c>
      <c r="F56" s="184" t="str">
        <f>IF(H56="正常",F58,"免征")</f>
        <v>——</v>
      </c>
      <c r="G56" s="2474" t="s">
        <v>2214</v>
      </c>
      <c r="H56" s="2475" t="s">
        <v>2211</v>
      </c>
      <c r="I56" s="2476"/>
      <c r="J56" s="2952" t="str">
        <f>IF(项目基本情况!K6="上海银行",IF(J55="",4,J55+1),"")</f>
        <v/>
      </c>
      <c r="K56" s="3454" t="str">
        <f>IF(项目基本情况!K6="上海银行","其他处置费用","")</f>
        <v/>
      </c>
      <c r="L56" s="3455"/>
      <c r="M56" s="1749" t="str">
        <f>IF(项目基本情况!K6="上海银行",M69,"")</f>
        <v/>
      </c>
      <c r="N56" s="3457" t="str">
        <f>IF(项目基本情况!K6="上海银行","包含处置中涉及的律师、诉讼、拍卖、评估等费用","")</f>
        <v/>
      </c>
      <c r="O56" s="3458"/>
    </row>
    <row r="57" spans="1:35" ht="12.75">
      <c r="A57" s="183" t="s">
        <v>2187</v>
      </c>
      <c r="B57" s="3396" t="s">
        <v>2215</v>
      </c>
      <c r="C57" s="3405"/>
      <c r="D57" s="187">
        <v>0</v>
      </c>
      <c r="E57" s="23" t="s">
        <v>2189</v>
      </c>
      <c r="F57" s="155"/>
      <c r="G57" s="2472"/>
      <c r="H57" s="2476"/>
      <c r="I57" s="2476"/>
      <c r="J57" s="3431">
        <f>IF(AND(J55="",J56=""),4,IF(项目基本情况!K6="上海银行",'结果表 (车库)'!J56+1,'结果表 (车库)'!J55+1))</f>
        <v>4</v>
      </c>
      <c r="K57" s="3431" t="s">
        <v>2216</v>
      </c>
      <c r="L57" s="2477" t="s">
        <v>2217</v>
      </c>
      <c r="M57" s="1754"/>
      <c r="N57" s="1755">
        <f ca="1">SUMIF(M52:M56,"&lt;9e307")</f>
        <v>2051</v>
      </c>
      <c r="O57" s="2478"/>
      <c r="P57" s="1748">
        <f ca="1">N57/M49</f>
        <v>0.56657458563535912</v>
      </c>
    </row>
    <row r="58" spans="1:35" ht="24.75">
      <c r="A58" s="183" t="s">
        <v>2198</v>
      </c>
      <c r="B58" s="3396" t="s">
        <v>2218</v>
      </c>
      <c r="C58" s="3397"/>
      <c r="D58" s="185">
        <f ca="1">IF(H58="转让取得",C81,C97)</f>
        <v>2049</v>
      </c>
      <c r="E58" s="11" t="s">
        <v>2213</v>
      </c>
      <c r="F58" s="24" t="s">
        <v>34</v>
      </c>
      <c r="G58" s="2472"/>
      <c r="H58" s="2475" t="s">
        <v>2219</v>
      </c>
      <c r="I58" s="2476"/>
      <c r="J58" s="3431"/>
      <c r="K58" s="3431"/>
      <c r="L58" s="2477" t="s">
        <v>2220</v>
      </c>
      <c r="M58" s="1756"/>
      <c r="N58" s="2479" t="str">
        <f ca="1">NUMBERSTRING(INT(N57*10000),2)&amp;"元整"</f>
        <v>贰仟零伍拾壹万元整</v>
      </c>
      <c r="O58" s="2480"/>
    </row>
    <row r="59" spans="1:35" ht="24.75" thickBot="1">
      <c r="A59" s="3434" t="s">
        <v>2221</v>
      </c>
      <c r="B59" s="3435"/>
      <c r="C59" s="3435"/>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32">
        <f>J57+1</f>
        <v>5</v>
      </c>
      <c r="K59" s="3431" t="s">
        <v>2223</v>
      </c>
      <c r="L59" s="2952" t="s">
        <v>2217</v>
      </c>
      <c r="M59" s="1757"/>
      <c r="N59" s="1758">
        <f ca="1">M49-N57</f>
        <v>1569</v>
      </c>
      <c r="O59" s="2482"/>
    </row>
    <row r="60" spans="1:35" ht="12" customHeight="1">
      <c r="A60" s="2483"/>
      <c r="B60" s="2405"/>
      <c r="C60" s="2405"/>
      <c r="D60" s="2405"/>
      <c r="E60" s="2156"/>
      <c r="F60" s="2476"/>
      <c r="G60" s="2476"/>
      <c r="H60" s="2484"/>
      <c r="I60" s="138"/>
      <c r="J60" s="3433"/>
      <c r="K60" s="3431"/>
      <c r="L60" s="2477" t="s">
        <v>2220</v>
      </c>
      <c r="M60" s="1756"/>
      <c r="N60" s="2479" t="str">
        <f ca="1">NUMBERSTRING(INT(N59*10000),2)&amp;"元整"</f>
        <v>壹仟伍佰陆拾玖万元整</v>
      </c>
      <c r="O60" s="2480"/>
    </row>
    <row r="61" spans="1:35" ht="13.5" thickBot="1">
      <c r="A61" s="3378" t="s">
        <v>2224</v>
      </c>
      <c r="B61" s="3378"/>
      <c r="C61" s="3378"/>
      <c r="D61" s="3378"/>
      <c r="E61" s="3378"/>
      <c r="F61" s="2476"/>
      <c r="G61" s="2476"/>
      <c r="H61" s="2484"/>
      <c r="I61" s="138"/>
      <c r="J61" s="2952">
        <f>J59+1</f>
        <v>6</v>
      </c>
      <c r="K61" s="3431" t="s">
        <v>2225</v>
      </c>
      <c r="L61" s="3431"/>
      <c r="M61" s="1759"/>
      <c r="N61" s="1760">
        <f ca="1">ROUND(N59*10000/'数据-汇总表'!E3,0)</f>
        <v>634</v>
      </c>
      <c r="O61" s="2485"/>
    </row>
    <row r="62" spans="1:35" ht="12.75">
      <c r="A62" s="3394" t="s">
        <v>2226</v>
      </c>
      <c r="B62" s="3395"/>
      <c r="C62" s="2947"/>
      <c r="D62" s="2947" t="s">
        <v>2227</v>
      </c>
      <c r="E62" s="192" t="s">
        <v>2228</v>
      </c>
      <c r="F62" s="2476"/>
      <c r="G62" s="2476"/>
      <c r="H62" s="2484"/>
      <c r="I62" s="138"/>
    </row>
    <row r="63" spans="1:35" ht="12.75">
      <c r="A63" s="203" t="s">
        <v>775</v>
      </c>
      <c r="B63" s="193" t="s">
        <v>2229</v>
      </c>
      <c r="C63" s="194">
        <f ca="1">ROUND((C64+C65)/(1+'数据-取费表'!C42),0)</f>
        <v>3448</v>
      </c>
      <c r="D63" s="195"/>
      <c r="E63" s="196"/>
      <c r="F63" s="2476"/>
      <c r="G63" s="2476"/>
      <c r="H63" s="2484"/>
      <c r="I63" s="138"/>
      <c r="J63" s="3456" t="s">
        <v>2230</v>
      </c>
      <c r="K63" s="2957" t="s">
        <v>2231</v>
      </c>
      <c r="L63" s="1747">
        <f ca="1">IF(M49&gt;10000,M49*0.5%,IF(AND(M49&gt;1000,M49&lt;=10000),M49*1%,IF(AND(M49&gt;100,M49&lt;=1000),M49*3%,IF(AND(M49&gt;10,M49&lt;=100),M49*5%,M49*8%))))</f>
        <v>36.200000000000003</v>
      </c>
      <c r="M63" s="24">
        <f ca="1">ROUND(L63,1)</f>
        <v>36.200000000000003</v>
      </c>
      <c r="Z63" s="2410"/>
      <c r="AI63" s="2411"/>
    </row>
    <row r="64" spans="1:35" ht="14.25" customHeight="1">
      <c r="A64" s="197" t="s">
        <v>770</v>
      </c>
      <c r="B64" s="198" t="s">
        <v>2232</v>
      </c>
      <c r="C64" s="199">
        <f ca="1">D45</f>
        <v>3620</v>
      </c>
      <c r="D64" s="200" t="s">
        <v>32</v>
      </c>
      <c r="E64" s="201"/>
      <c r="F64" s="2476"/>
      <c r="G64" s="2476"/>
      <c r="H64" s="2484"/>
      <c r="I64" s="138"/>
      <c r="J64" s="3456"/>
      <c r="K64" s="2957" t="s">
        <v>2233</v>
      </c>
      <c r="L64" s="1747">
        <f ca="1">IF(M49&gt;2000,M49*0.5%,IF(AND(M49&gt;1000,M49&lt;=2000),M49*0.6%,IF(AND(M49&gt;500,M49&lt;=1000),M49*0.7%,IF(AND(M49&gt;200,M49&lt;=500),M49*0.8%,IF(AND(M49&gt;100,M49&lt;=200),M49*0.9%,IF(AND(M49&gt;50,M49&lt;=100),M49*1%,IF(AND(M49&gt;20,M49&lt;=50),M49*1.5%,IF(AND(M49&gt;10,M49&lt;=20),M49*2%,IF(AND(M49&gt;1,M49&lt;=10),M49*2.5%)))))))))</f>
        <v>18.100000000000001</v>
      </c>
      <c r="M64" s="24">
        <f t="shared" ref="M64:M65" ca="1" si="1">ROUND(L64,1)</f>
        <v>18.100000000000001</v>
      </c>
      <c r="N64" s="138" t="s">
        <v>2234</v>
      </c>
      <c r="Z64" s="2410"/>
      <c r="AI64" s="2411"/>
    </row>
    <row r="65" spans="1:35" ht="14.25" customHeight="1">
      <c r="A65" s="197" t="s">
        <v>771</v>
      </c>
      <c r="B65" s="198" t="s">
        <v>2235</v>
      </c>
      <c r="C65" s="202"/>
      <c r="D65" s="200"/>
      <c r="E65" s="201"/>
      <c r="F65" s="2476"/>
      <c r="G65" s="2476"/>
      <c r="H65" s="2484"/>
      <c r="I65" s="138"/>
      <c r="J65" s="3456"/>
      <c r="K65" s="2957" t="s">
        <v>2236</v>
      </c>
      <c r="L65" s="1747">
        <f ca="1">IF(M49&gt;1000,M49*0.1%,IF(AND(M49&gt;500,M49&lt;=1000),M49*0.5%,IF(AND(M49&gt;50,M49&lt;=500),M49*1%,IF(AND(M49&gt;1,M49&lt;=50),M49*1.5%))))</f>
        <v>3.62</v>
      </c>
      <c r="M65" s="24">
        <f t="shared" ca="1" si="1"/>
        <v>3.6</v>
      </c>
      <c r="N65" s="138" t="s">
        <v>2234</v>
      </c>
      <c r="Z65" s="2410"/>
      <c r="AI65" s="2411"/>
    </row>
    <row r="66" spans="1:35" ht="14.25" customHeight="1">
      <c r="A66" s="203" t="s">
        <v>772</v>
      </c>
      <c r="B66" s="204" t="s">
        <v>2237</v>
      </c>
      <c r="C66" s="205"/>
      <c r="D66" s="206" t="s">
        <v>32</v>
      </c>
      <c r="E66" s="1771" t="s">
        <v>1367</v>
      </c>
      <c r="F66" s="2476"/>
      <c r="G66" s="2476"/>
      <c r="H66" s="2484"/>
      <c r="I66" s="138"/>
      <c r="J66" s="3456"/>
      <c r="K66" s="2957" t="s">
        <v>2238</v>
      </c>
      <c r="L66" s="1747">
        <f ca="1">M49*0.5%</f>
        <v>18.100000000000001</v>
      </c>
      <c r="M66" s="24">
        <f ca="1">IF(L66&gt;0.5,0.5,ROUND(L66,0))</f>
        <v>0.5</v>
      </c>
      <c r="N66" s="138" t="s">
        <v>2239</v>
      </c>
      <c r="Z66" s="2410"/>
      <c r="AI66" s="2411"/>
    </row>
    <row r="67" spans="1:35" ht="14.25" customHeight="1">
      <c r="A67" s="203" t="s">
        <v>773</v>
      </c>
      <c r="B67" s="204" t="s">
        <v>2240</v>
      </c>
      <c r="C67" s="207">
        <f ca="1">C63-C66</f>
        <v>3448</v>
      </c>
      <c r="D67" s="200" t="s">
        <v>32</v>
      </c>
      <c r="E67" s="201"/>
      <c r="F67" s="2476"/>
      <c r="G67" s="2476"/>
      <c r="H67" s="2484"/>
      <c r="I67" s="138"/>
      <c r="J67" s="3456"/>
      <c r="K67" s="2957"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0"/>
      <c r="AI67" s="2411"/>
    </row>
    <row r="68" spans="1:35" ht="14.25" customHeight="1" thickBot="1">
      <c r="A68" s="208" t="s">
        <v>774</v>
      </c>
      <c r="B68" s="209" t="s">
        <v>2242</v>
      </c>
      <c r="C68" s="210">
        <f ca="1">IF(C67&lt;=0,0,ROUND(C67*D68,0))</f>
        <v>193</v>
      </c>
      <c r="D68" s="211">
        <f>'数据-取费表'!B41</f>
        <v>5.6000000000000001E-2</v>
      </c>
      <c r="E68" s="212"/>
      <c r="F68" s="2476"/>
      <c r="G68" s="2476"/>
      <c r="H68" s="2484"/>
      <c r="I68" s="138"/>
      <c r="J68" s="3456"/>
      <c r="K68" s="2957" t="s">
        <v>2243</v>
      </c>
      <c r="L68" s="1747">
        <f ca="1">IF(M49&gt;10000,M49*0.5%,IF(AND(M49&gt;5000,M49&lt;=10000),M49*1%,IF(AND(M49&gt;1000,M49&lt;=5000),M49*2%,IF(AND(M49&gt;200,M49&lt;=1000),M49*3%,M49*5%))))</f>
        <v>72.400000000000006</v>
      </c>
      <c r="M68" s="24">
        <f ca="1">ROUND(L68,1)</f>
        <v>72.400000000000006</v>
      </c>
      <c r="Z68" s="2410"/>
      <c r="AI68" s="2411"/>
    </row>
    <row r="69" spans="1:35" s="2433" customFormat="1" ht="16.5" customHeight="1">
      <c r="A69" s="2487"/>
      <c r="B69" s="2488"/>
      <c r="C69" s="2489"/>
      <c r="D69" s="2490"/>
      <c r="E69" s="2491"/>
      <c r="F69" s="2156"/>
      <c r="G69" s="2156"/>
      <c r="H69" s="2155"/>
      <c r="I69" s="2405"/>
      <c r="J69" s="3456"/>
      <c r="K69" s="2957" t="s">
        <v>2244</v>
      </c>
      <c r="L69" s="2492"/>
      <c r="M69" s="24">
        <f ca="1">ROUND(SUM(M63:M68),0)</f>
        <v>133</v>
      </c>
      <c r="N69" s="1748">
        <f ca="1">M69/M49</f>
        <v>3.6740331491712706E-2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415" t="s">
        <v>2245</v>
      </c>
      <c r="B70" s="3416"/>
      <c r="C70" s="3416"/>
      <c r="D70" s="3416"/>
      <c r="E70" s="3416"/>
      <c r="F70" s="3416"/>
      <c r="G70" s="3416"/>
      <c r="H70" s="3416"/>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394" t="s">
        <v>2226</v>
      </c>
      <c r="B71" s="3395"/>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f ca="1">ROUND(D45/(1+'数据-取费表'!C42),0)</f>
        <v>3448</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f ca="1">C74+C78</f>
        <v>21</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389" t="s">
        <v>2254</v>
      </c>
      <c r="F76" s="3366"/>
      <c r="G76" s="3366"/>
      <c r="H76" s="3414"/>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f ca="1">ROUND(D45*D78/(1+'数据-取费表'!C42),0)</f>
        <v>21</v>
      </c>
      <c r="D78" s="226">
        <f>'数据-取费表'!B43</f>
        <v>6.000000000000001E-3</v>
      </c>
      <c r="E78" s="3375" t="s">
        <v>2259</v>
      </c>
      <c r="F78" s="3376"/>
      <c r="G78" s="3376"/>
      <c r="H78" s="3385"/>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f ca="1">C72-C73</f>
        <v>3427</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f ca="1">IF(C79&lt;=0,0,C79/C73)</f>
        <v>163.1904761904762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f ca="1">ROUND(IF(C79&lt;=0,0,IF(C80&gt;=200%,C79*60%-C73*35%,IF(C80&gt;=100%,C79*50%-C73*15%,IF(C80&gt;=50%,C79*40%-C73*5%,IF(C80&lt;50%,C79*30%,0))))),0)</f>
        <v>2049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415" t="s">
        <v>2263</v>
      </c>
      <c r="B83" s="3416"/>
      <c r="C83" s="3416"/>
      <c r="D83" s="3416"/>
      <c r="E83" s="3416"/>
      <c r="F83" s="3416"/>
      <c r="G83" s="3416"/>
      <c r="H83" s="3416"/>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394" t="s">
        <v>2226</v>
      </c>
      <c r="B84" s="3395"/>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f ca="1">ROUND(D45/(1+'数据-取费表'!C42),0)</f>
        <v>3448</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f ca="1">IF(H88="仅含出让金",C87+C90+C91+C92+C93+C94,C87+C91+C92+C93+C94)</f>
        <v>21</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75" t="s">
        <v>2272</v>
      </c>
      <c r="F91" s="3376"/>
      <c r="G91" s="3376"/>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75" t="s">
        <v>2276</v>
      </c>
      <c r="F92" s="3376"/>
      <c r="G92" s="3376"/>
      <c r="H92" s="3385"/>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f ca="1">ROUND(D45*D93/(1+'数据-取费表'!C42),0)</f>
        <v>21</v>
      </c>
      <c r="D93" s="226">
        <f>'数据-取费表'!B43</f>
        <v>6.000000000000001E-3</v>
      </c>
      <c r="E93" s="3375" t="s">
        <v>2259</v>
      </c>
      <c r="F93" s="3376"/>
      <c r="G93" s="3376"/>
      <c r="H93" s="3385"/>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386" t="s">
        <v>2280</v>
      </c>
      <c r="F94" s="3387"/>
      <c r="G94" s="3387"/>
      <c r="H94" s="3388"/>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f ca="1">ROUND(C85-C86,0)</f>
        <v>3427</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f ca="1">IF(C95&lt;=0,0,C95/C86)</f>
        <v>163.1904761904762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f ca="1">ROUND(IF(C95&lt;=0,0,IF(C96&gt;=200%,C95*60%-C86*35%,IF(C96&gt;=100%,C95*50%-C86*15%,IF(C96&gt;=50%,C95*40%-C86*5%,IF(C96&lt;50%,C95*30%,0))))),0)</f>
        <v>2049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60" t="s">
        <v>2282</v>
      </c>
      <c r="B100" s="3361"/>
      <c r="C100" s="3361"/>
      <c r="D100" s="3377"/>
      <c r="E100" s="3361" t="s">
        <v>2283</v>
      </c>
      <c r="F100" s="3361"/>
      <c r="G100" s="3361"/>
      <c r="H100" s="3377"/>
      <c r="I100" s="138"/>
    </row>
    <row r="101" spans="1:35" ht="18.75" customHeight="1">
      <c r="A101" s="3439" t="s">
        <v>2284</v>
      </c>
      <c r="B101" s="3440"/>
      <c r="C101" s="736" t="str">
        <f>C4</f>
        <v>成本法（车库）</v>
      </c>
      <c r="D101" s="737" t="str">
        <f>D4</f>
        <v>收益法 (车库)</v>
      </c>
      <c r="E101" s="3453" t="s">
        <v>2285</v>
      </c>
      <c r="F101" s="3407"/>
      <c r="G101" s="2507" t="s">
        <v>2286</v>
      </c>
      <c r="H101" s="1045">
        <f ca="1">H118</f>
        <v>3620</v>
      </c>
      <c r="I101" s="138"/>
    </row>
    <row r="102" spans="1:35" ht="18.75" customHeight="1">
      <c r="A102" s="3409" t="s">
        <v>2287</v>
      </c>
      <c r="B102" s="2507" t="s">
        <v>2286</v>
      </c>
      <c r="C102" s="736">
        <f ca="1">C19</f>
        <v>4997</v>
      </c>
      <c r="D102" s="737">
        <f ca="1">D19</f>
        <v>1554</v>
      </c>
      <c r="E102" s="3453"/>
      <c r="F102" s="3407"/>
      <c r="G102" s="2507" t="s">
        <v>2288</v>
      </c>
      <c r="H102" s="371">
        <f ca="1">I118</f>
        <v>10703</v>
      </c>
      <c r="I102" s="138"/>
    </row>
    <row r="103" spans="1:35" ht="42.75" customHeight="1">
      <c r="A103" s="3409"/>
      <c r="B103" s="2507" t="s">
        <v>2288</v>
      </c>
      <c r="C103" s="738">
        <f ca="1">C20</f>
        <v>14774</v>
      </c>
      <c r="D103" s="739">
        <f ca="1">D20</f>
        <v>4595</v>
      </c>
      <c r="E103" s="3448" t="s">
        <v>2289</v>
      </c>
      <c r="F103" s="3449"/>
      <c r="G103" s="2508" t="s">
        <v>2290</v>
      </c>
      <c r="H103" s="1045">
        <f>IF(D36="正常操作",H104+H105+H106,H105+H106)</f>
        <v>0</v>
      </c>
      <c r="I103" s="138"/>
    </row>
    <row r="104" spans="1:35" ht="18.75" customHeight="1">
      <c r="A104" s="3409" t="s">
        <v>2291</v>
      </c>
      <c r="B104" s="2509" t="s">
        <v>2286</v>
      </c>
      <c r="C104" s="740">
        <f ca="1">H118</f>
        <v>3620</v>
      </c>
      <c r="D104" s="741"/>
      <c r="E104" s="2256" t="s">
        <v>2292</v>
      </c>
      <c r="F104" s="2248"/>
      <c r="G104" s="2508" t="s">
        <v>2290</v>
      </c>
      <c r="H104" s="1046">
        <f>IF(D36="同一抵押权人同一抵押物续贷",C36&amp;"（未扣减，详见特别提示）",C36)</f>
        <v>0</v>
      </c>
      <c r="I104" s="138"/>
    </row>
    <row r="105" spans="1:35" ht="18.75" customHeight="1" thickBot="1">
      <c r="A105" s="3410"/>
      <c r="B105" s="2510" t="s">
        <v>2288</v>
      </c>
      <c r="C105" s="742">
        <f ca="1">I118</f>
        <v>10703</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06" t="str">
        <f>IF(项目基本情况!E8="已注销","——","3.房地产抵押价值")</f>
        <v>3.房地产抵押价值</v>
      </c>
      <c r="F107" s="3407"/>
      <c r="G107" s="2507" t="s">
        <v>2286</v>
      </c>
      <c r="H107" s="1045">
        <f ca="1">IF(E107="——","——",H101-H103)</f>
        <v>3620</v>
      </c>
      <c r="I107" s="138"/>
    </row>
    <row r="108" spans="1:35" ht="18.75" customHeight="1">
      <c r="A108" s="138"/>
      <c r="B108" s="138"/>
      <c r="C108" s="138"/>
      <c r="D108" s="138"/>
      <c r="E108" s="3406"/>
      <c r="F108" s="3407"/>
      <c r="G108" s="2507" t="s">
        <v>2288</v>
      </c>
      <c r="H108" s="371">
        <f ca="1">ROUND(H107*10000/'数据-汇总表'!E3,0)</f>
        <v>1463</v>
      </c>
      <c r="I108" s="138"/>
    </row>
    <row r="109" spans="1:35" ht="18.75" customHeight="1">
      <c r="A109" s="138"/>
      <c r="B109" s="138"/>
      <c r="C109" s="138"/>
      <c r="D109" s="138"/>
      <c r="E109" s="3406" t="str">
        <f>IF(项目基本情况!E8="已注销及未注销","4.抵押担保权已注销时的房地产抵押价值",IF(项目基本情况!E8="已注销","3.抵押担保权已注销时的房地产抵押价值","——"))</f>
        <v>——</v>
      </c>
      <c r="F109" s="3407"/>
      <c r="G109" s="2507" t="s">
        <v>2286</v>
      </c>
      <c r="H109" s="348" t="str">
        <f>IF(E109="——","——",H101-H105-H106)</f>
        <v>——</v>
      </c>
      <c r="I109" s="138"/>
    </row>
    <row r="110" spans="1:35" ht="18.75" customHeight="1">
      <c r="A110" s="138"/>
      <c r="B110" s="138"/>
      <c r="C110" s="138"/>
      <c r="D110" s="138"/>
      <c r="E110" s="3406"/>
      <c r="F110" s="3407"/>
      <c r="G110" s="2507" t="s">
        <v>2288</v>
      </c>
      <c r="H110" s="371" t="str">
        <f>IF(H109="——","——",ROUND(H109*10000/'数据-汇总表'!E3,0))</f>
        <v>——</v>
      </c>
      <c r="I110" s="138"/>
    </row>
    <row r="111" spans="1:35" ht="18.75" customHeight="1">
      <c r="A111" s="138"/>
      <c r="B111" s="138"/>
      <c r="C111" s="138"/>
      <c r="D111" s="138"/>
      <c r="E111" s="3441" t="str">
        <f>IF(项目基本情况!E9="抵押净值",IF(OR(项目基本情况!E8="已注销",项目基本情况!E8="房地产抵押价值"),"4.抵押净值","5.抵押净值"),"——")</f>
        <v>——</v>
      </c>
      <c r="F111" s="3442"/>
      <c r="G111" s="2507" t="s">
        <v>2286</v>
      </c>
      <c r="H111" s="1045" t="str">
        <f>IF(E111="——","——",N59)</f>
        <v>——</v>
      </c>
      <c r="I111" s="138"/>
    </row>
    <row r="112" spans="1:35" ht="18.75" customHeight="1" thickBot="1">
      <c r="A112" s="138"/>
      <c r="B112" s="138"/>
      <c r="C112" s="138"/>
      <c r="D112" s="138"/>
      <c r="E112" s="3443"/>
      <c r="F112" s="3444"/>
      <c r="G112" s="2512" t="s">
        <v>2288</v>
      </c>
      <c r="H112" s="790" t="str">
        <f>IF(E111="——","——",N61)</f>
        <v>——</v>
      </c>
      <c r="I112" s="138"/>
    </row>
    <row r="113" spans="1:11" ht="18.75" customHeight="1">
      <c r="A113" s="138"/>
      <c r="B113" s="138"/>
      <c r="C113" s="138"/>
      <c r="D113" s="138"/>
      <c r="E113" s="3411" t="s">
        <v>2294</v>
      </c>
      <c r="F113" s="3411"/>
      <c r="G113" s="3411"/>
      <c r="H113" s="3411"/>
      <c r="I113" s="138"/>
    </row>
    <row r="114" spans="1:11" ht="3.75" customHeight="1">
      <c r="A114" s="2405"/>
      <c r="B114" s="2405"/>
      <c r="C114" s="2405"/>
      <c r="D114" s="2405"/>
      <c r="E114" s="2483"/>
      <c r="F114" s="2483"/>
      <c r="G114" s="2483"/>
      <c r="H114" s="2483"/>
      <c r="I114" s="2405"/>
    </row>
    <row r="115" spans="1:11" ht="18.75" customHeight="1">
      <c r="A115" s="3424" t="s">
        <v>2296</v>
      </c>
      <c r="B115" s="3425"/>
      <c r="C115" s="3425"/>
      <c r="D115" s="3425"/>
      <c r="E115" s="3425"/>
      <c r="F115" s="3425"/>
      <c r="G115" s="3425"/>
      <c r="H115" s="3425"/>
      <c r="I115" s="3426"/>
    </row>
    <row r="116" spans="1:11" ht="27" customHeight="1">
      <c r="A116" s="3317" t="s">
        <v>2297</v>
      </c>
      <c r="B116" s="3412" t="s">
        <v>2298</v>
      </c>
      <c r="C116" s="3412" t="s">
        <v>2299</v>
      </c>
      <c r="D116" s="3428" t="s">
        <v>2300</v>
      </c>
      <c r="E116" s="3429"/>
      <c r="F116" s="3420" t="s">
        <v>2301</v>
      </c>
      <c r="G116" s="3420"/>
      <c r="H116" s="3317" t="s">
        <v>2302</v>
      </c>
      <c r="I116" s="3317"/>
    </row>
    <row r="117" spans="1:11" ht="18.75" customHeight="1">
      <c r="A117" s="3317"/>
      <c r="B117" s="3413"/>
      <c r="C117" s="3413"/>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3382.29</v>
      </c>
      <c r="C118" s="2939">
        <f>M19</f>
        <v>1293.45</v>
      </c>
      <c r="D118" s="2939">
        <f ca="1">ROUND(IF(D32="总价",C34,E118*B118/10000),0)</f>
        <v>2918</v>
      </c>
      <c r="E118" s="2939">
        <f ca="1">ROUND(IF(C33="自定义",IF(D32="楼面单价",C34,D118*10000/B118),I118-G118),0)</f>
        <v>8627</v>
      </c>
      <c r="F118" s="2939">
        <f ca="1">ROUND(IF(D32="总价",C35,G118*B118/10000),0)</f>
        <v>702</v>
      </c>
      <c r="G118" s="2939">
        <f ca="1">ROUND(IF(D32="楼面单价",C35,F118*10000/B118),0)</f>
        <v>2076</v>
      </c>
      <c r="H118" s="2939">
        <f ca="1">ROUND(IF(D32="总价",C32,I118*B118/10000),0)</f>
        <v>3620</v>
      </c>
      <c r="I118" s="2939">
        <f ca="1">ROUND(IF(D32="楼面单价",C32,H118*10000/B118),0)</f>
        <v>10703</v>
      </c>
    </row>
    <row r="119" spans="1:11" ht="18.75" customHeight="1">
      <c r="A119" s="3317" t="s">
        <v>2306</v>
      </c>
      <c r="B119" s="3317"/>
      <c r="C119" s="3317"/>
      <c r="D119" s="3417" t="str">
        <f ca="1">NUMBERSTRING(INT(D118*10000),2)&amp;"元整"</f>
        <v>贰仟玖佰壹拾捌万元整</v>
      </c>
      <c r="E119" s="3419"/>
      <c r="F119" s="3417" t="str">
        <f ca="1">NUMBERSTRING(INT(F118*10000),2)&amp;"元整"</f>
        <v>柒佰零贰万元整</v>
      </c>
      <c r="G119" s="3419"/>
      <c r="H119" s="3417" t="str">
        <f ca="1">NUMBERSTRING(INT(H118*10000),2)&amp;"元整"</f>
        <v>叁仟陆佰贰拾万元整</v>
      </c>
      <c r="I119" s="3419"/>
    </row>
    <row r="120" spans="1:11" ht="18.75" customHeight="1">
      <c r="A120" s="3445" t="str">
        <f>IF(项目基本情况!B9="房地产市场价值","",MID(E103,3,LEN(E103)-2))</f>
        <v>估价师知悉的法定优先受偿款</v>
      </c>
      <c r="B120" s="3446"/>
      <c r="C120" s="3447"/>
      <c r="D120" s="3445">
        <f>H103</f>
        <v>0</v>
      </c>
      <c r="E120" s="3446"/>
      <c r="F120" s="3446"/>
      <c r="G120" s="3446"/>
      <c r="H120" s="3446"/>
      <c r="I120" s="3447"/>
      <c r="K120" s="2410" t="str">
        <f>IF(D120=0,"故，本次评估不存在"&amp;A120,"故，本次评估"&amp;A120&amp;"为人民币"&amp;D120&amp;"万元整。")</f>
        <v>故，本次评估不存在估价师知悉的法定优先受偿款</v>
      </c>
    </row>
    <row r="121" spans="1:11" ht="18.75" customHeight="1">
      <c r="A121" s="3421" t="s">
        <v>2306</v>
      </c>
      <c r="B121" s="3422"/>
      <c r="C121" s="3423"/>
      <c r="D121" s="3417" t="str">
        <f>IF(D120=0,"零元整",NUMBERSTRING(INT(D120*10000),2)&amp;"元整")</f>
        <v>零元整</v>
      </c>
      <c r="E121" s="3418"/>
      <c r="F121" s="3418"/>
      <c r="G121" s="3418"/>
      <c r="H121" s="3418"/>
      <c r="I121" s="3419"/>
    </row>
    <row r="122" spans="1:11" ht="18.75" customHeight="1">
      <c r="A122" s="3408" t="str">
        <f>IF(项目基本情况!B9="房地产市场价值","",MID(E107,3,LEN(E107)-2))</f>
        <v>房地产抵押价值</v>
      </c>
      <c r="B122" s="3408"/>
      <c r="C122" s="3408"/>
      <c r="D122" s="3445">
        <f ca="1">H107</f>
        <v>3620</v>
      </c>
      <c r="E122" s="3446"/>
      <c r="F122" s="3446"/>
      <c r="G122" s="3446"/>
      <c r="H122" s="3446"/>
      <c r="I122" s="3447"/>
    </row>
    <row r="123" spans="1:11" ht="18.75" customHeight="1">
      <c r="A123" s="3317" t="s">
        <v>2306</v>
      </c>
      <c r="B123" s="3317"/>
      <c r="C123" s="3317"/>
      <c r="D123" s="3417" t="str">
        <f ca="1">NUMBERSTRING(INT(D122*10000),2)&amp;"元整"</f>
        <v>叁仟陆佰贰拾万元整</v>
      </c>
      <c r="E123" s="3418"/>
      <c r="F123" s="3418"/>
      <c r="G123" s="3418"/>
      <c r="H123" s="3418"/>
      <c r="I123" s="3419"/>
    </row>
    <row r="124" spans="1:11" ht="18.75" customHeight="1">
      <c r="A124" s="3408" t="str">
        <f>IF(项目基本情况!B9="房地产市场价值","",MID(E109,3,LEN(E109)-2))</f>
        <v/>
      </c>
      <c r="B124" s="3408"/>
      <c r="C124" s="3408"/>
      <c r="D124" s="3445" t="str">
        <f>H109</f>
        <v>——</v>
      </c>
      <c r="E124" s="3446"/>
      <c r="F124" s="3446"/>
      <c r="G124" s="3446"/>
      <c r="H124" s="3446"/>
      <c r="I124" s="3447"/>
    </row>
    <row r="125" spans="1:11" ht="18.75" customHeight="1">
      <c r="A125" s="3317" t="s">
        <v>2306</v>
      </c>
      <c r="B125" s="3317"/>
      <c r="C125" s="3317"/>
      <c r="D125" s="3417" t="e">
        <f>NUMBERSTRING(INT(D124*10000),2)&amp;"元整"</f>
        <v>#VALUE!</v>
      </c>
      <c r="E125" s="3418"/>
      <c r="F125" s="3418"/>
      <c r="G125" s="3418"/>
      <c r="H125" s="3418"/>
      <c r="I125" s="3419"/>
    </row>
    <row r="126" spans="1:11" ht="18.75" customHeight="1">
      <c r="A126" s="3408" t="str">
        <f>IF(项目基本情况!B9="房地产市场价值","",MID(E111,3,LEN(E111)-2))</f>
        <v/>
      </c>
      <c r="B126" s="3408"/>
      <c r="C126" s="3408"/>
      <c r="D126" s="3445" t="str">
        <f>H111</f>
        <v>——</v>
      </c>
      <c r="E126" s="3446"/>
      <c r="F126" s="3446"/>
      <c r="G126" s="3446"/>
      <c r="H126" s="3446"/>
      <c r="I126" s="3447"/>
    </row>
    <row r="127" spans="1:11" ht="18.75" customHeight="1">
      <c r="A127" s="3317" t="s">
        <v>2306</v>
      </c>
      <c r="B127" s="3317"/>
      <c r="C127" s="3317"/>
      <c r="D127" s="3417" t="e">
        <f>NUMBERSTRING(INT(D126*10000),2)&amp;"元整"</f>
        <v>#VALUE!</v>
      </c>
      <c r="E127" s="3418"/>
      <c r="F127" s="3418"/>
      <c r="G127" s="3418"/>
      <c r="H127" s="3418"/>
      <c r="I127" s="3419"/>
    </row>
    <row r="128" spans="1:11" ht="21.75" customHeight="1">
      <c r="A128" s="3427" t="s">
        <v>2307</v>
      </c>
      <c r="B128" s="3427"/>
      <c r="C128" s="3427"/>
      <c r="D128" s="3427"/>
      <c r="E128" s="3427"/>
      <c r="F128" s="3427"/>
      <c r="G128" s="3427"/>
      <c r="H128" s="3427"/>
      <c r="I128" s="3427"/>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3052</v>
      </c>
      <c r="C1" s="242"/>
      <c r="D1" s="242"/>
      <c r="E1" s="242"/>
      <c r="F1" s="242"/>
      <c r="G1" s="1378">
        <f>MATCH(B1,'数据-取费表'!A6:A16,0)+5</f>
        <v>8</v>
      </c>
    </row>
    <row r="2" spans="1:9" s="244" customFormat="1" ht="18" customHeight="1">
      <c r="A2" s="245" t="s">
        <v>2316</v>
      </c>
      <c r="B2" s="246">
        <f ca="1">IF(D2="——",C52,C52-E2)</f>
        <v>4997</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14774</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3184</v>
      </c>
      <c r="D5" s="255" t="s">
        <v>2323</v>
      </c>
      <c r="E5" s="256" t="s">
        <v>2324</v>
      </c>
      <c r="F5" s="256" t="s">
        <v>2325</v>
      </c>
      <c r="G5" s="257"/>
    </row>
    <row r="6" spans="1:9" s="258" customFormat="1" ht="13.5" customHeight="1">
      <c r="A6" s="949" t="s">
        <v>2326</v>
      </c>
      <c r="B6" s="259" t="s">
        <v>2327</v>
      </c>
      <c r="C6" s="260">
        <f ca="1">'基准地价修正（住宅）'!E39</f>
        <v>3023</v>
      </c>
      <c r="D6" s="261"/>
      <c r="E6" s="262"/>
      <c r="F6" s="262"/>
      <c r="G6" s="263"/>
    </row>
    <row r="7" spans="1:9" s="258" customFormat="1" ht="13.5" customHeight="1">
      <c r="A7" s="949" t="s">
        <v>2328</v>
      </c>
      <c r="B7" s="259" t="s">
        <v>2329</v>
      </c>
      <c r="C7" s="264">
        <f ca="1">ROUND(C6*F7,0)</f>
        <v>92</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69</v>
      </c>
      <c r="D8" s="266"/>
      <c r="E8" s="264"/>
      <c r="F8" s="265"/>
      <c r="G8" s="2539" t="s">
        <v>3110</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160</v>
      </c>
      <c r="F9" s="265"/>
      <c r="G9" s="2540" t="s">
        <v>3111</v>
      </c>
      <c r="H9" s="1389"/>
      <c r="I9" s="2541" t="s">
        <v>2333</v>
      </c>
    </row>
    <row r="10" spans="1:9" s="258" customFormat="1" ht="13.5" customHeight="1">
      <c r="A10" s="950" t="s">
        <v>801</v>
      </c>
      <c r="B10" s="268" t="s">
        <v>2334</v>
      </c>
      <c r="C10" s="269">
        <f ca="1">ROUND(D10*E10/10000,0)</f>
        <v>69</v>
      </c>
      <c r="D10" s="1032">
        <f ca="1">IF(B1="",'数据-汇总表'!E6,IF(INDIRECT("'数据-取费表'!c"&amp;$G$1)="住宅",INDIRECT("'数据-取费表'!s"&amp;$G$1),INDIRECT("'数据-取费表'!k"&amp;$G$1)+INDIRECT("'数据-取费表'!s"&amp;$G$1)))</f>
        <v>3435.19</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3435.19</v>
      </c>
      <c r="E19" s="255">
        <f>'数据-取费表'!B31</f>
        <v>200</v>
      </c>
      <c r="F19" s="275"/>
      <c r="G19" s="2539" t="s">
        <v>3112</v>
      </c>
    </row>
    <row r="20" spans="1:7" s="258" customFormat="1" ht="13.5" customHeight="1">
      <c r="A20" s="299" t="s">
        <v>2347</v>
      </c>
      <c r="B20" s="254" t="s">
        <v>2348</v>
      </c>
      <c r="C20" s="276">
        <f ca="1">ROUND((C5+C19)*F20,0)</f>
        <v>64</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313</v>
      </c>
      <c r="D22" s="279">
        <f ca="1">C26</f>
        <v>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310</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3</v>
      </c>
      <c r="D25" s="282"/>
      <c r="E25" s="285"/>
      <c r="F25" s="283"/>
      <c r="G25" s="286" t="s">
        <v>2364</v>
      </c>
    </row>
    <row r="26" spans="1:7" s="258" customFormat="1">
      <c r="A26" s="951"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162</v>
      </c>
      <c r="D27" s="279">
        <f ca="1">C29</f>
        <v>1E-3</v>
      </c>
      <c r="E27" s="280" t="s">
        <v>2352</v>
      </c>
      <c r="F27" s="290">
        <f ca="1">IF(B1="",'数据-取费表'!Q16,INDIRECT("'数据-取费表'!q"&amp;$G$1))</f>
        <v>0.05</v>
      </c>
      <c r="G27" s="291" t="s">
        <v>2369</v>
      </c>
    </row>
    <row r="28" spans="1:7" s="258" customFormat="1" ht="13.5" customHeight="1">
      <c r="A28" s="951" t="s">
        <v>791</v>
      </c>
      <c r="B28" s="292" t="s">
        <v>2370</v>
      </c>
      <c r="C28" s="293">
        <f ca="1">ROUND((C5+C19+C20)*F27*'数据-取费表'!B21/'数据-取费表'!B20,0)</f>
        <v>162</v>
      </c>
      <c r="D28" s="279"/>
      <c r="E28" s="280"/>
      <c r="F28" s="290"/>
      <c r="G28" s="291"/>
    </row>
    <row r="29" spans="1:7" s="258" customFormat="1" ht="13.5" customHeight="1">
      <c r="A29" s="951" t="s">
        <v>792</v>
      </c>
      <c r="B29" s="292" t="s">
        <v>2371</v>
      </c>
      <c r="C29" s="282">
        <f ca="1">ROUND(C21*F27*'数据-取费表'!B21/'数据-取费表'!B20,4)</f>
        <v>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4026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967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859</v>
      </c>
      <c r="D34" s="261"/>
      <c r="E34" s="264"/>
      <c r="F34" s="301">
        <f ca="1">IF('数据-取费表'!B24=0,1,IF(B1="",'数据-取费表'!N16,INDIRECT("'数据-取费表'!n"&amp;$G$1)))</f>
        <v>1</v>
      </c>
      <c r="G34" s="263" t="s">
        <v>2380</v>
      </c>
    </row>
    <row r="35" spans="1:7" ht="13.5" customHeight="1">
      <c r="A35" s="951" t="s">
        <v>796</v>
      </c>
      <c r="B35" s="259" t="s">
        <v>2381</v>
      </c>
      <c r="C35" s="264">
        <f ca="1">ROUND(C34*F35,0)</f>
        <v>26</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1" t="s">
        <v>798</v>
      </c>
      <c r="B37" s="259" t="s">
        <v>2385</v>
      </c>
      <c r="C37" s="293">
        <f ca="1">ROUND(E37*D37*F34/10000,0)</f>
        <v>69</v>
      </c>
      <c r="D37" s="261">
        <f ca="1">D19</f>
        <v>3435.19</v>
      </c>
      <c r="E37" s="293">
        <f>'数据-取费表'!B35</f>
        <v>200</v>
      </c>
      <c r="F37" s="303"/>
      <c r="G37" s="305" t="s">
        <v>2386</v>
      </c>
    </row>
    <row r="38" spans="1:7" ht="13.5" customHeight="1">
      <c r="A38" s="951" t="s">
        <v>799</v>
      </c>
      <c r="B38" s="259" t="s">
        <v>2387</v>
      </c>
      <c r="C38" s="264">
        <f ca="1">ROUND(C34*F38,0)</f>
        <v>13</v>
      </c>
      <c r="D38" s="264"/>
      <c r="E38" s="264"/>
      <c r="F38" s="303">
        <f>'数据-取费表'!B36</f>
        <v>1.4999999999999999E-2</v>
      </c>
      <c r="G38" s="263" t="s">
        <v>2382</v>
      </c>
    </row>
    <row r="39" spans="1:7" s="258" customFormat="1" ht="13.5" customHeight="1">
      <c r="A39" s="299" t="s">
        <v>2345</v>
      </c>
      <c r="B39" s="254" t="s">
        <v>2348</v>
      </c>
      <c r="C39" s="276">
        <f ca="1">ROUND(C33*F20,0)</f>
        <v>19</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47</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46</v>
      </c>
      <c r="D42" s="282"/>
      <c r="E42" s="282"/>
      <c r="F42" s="283"/>
      <c r="G42" s="3509" t="s">
        <v>2398</v>
      </c>
    </row>
    <row r="43" spans="1:7" ht="13.5" customHeight="1">
      <c r="A43" s="951" t="s">
        <v>792</v>
      </c>
      <c r="B43" s="259" t="s">
        <v>2399</v>
      </c>
      <c r="C43" s="282">
        <f ca="1">ROUND(IF('数据-取费表'!B22&lt;=1,C39*F22*'数据-取费表'!B21/2,C39*(POWER((1+F22),'数据-取费表'!B21/2)-1)),0)</f>
        <v>1</v>
      </c>
      <c r="D43" s="282"/>
      <c r="E43" s="282"/>
      <c r="F43" s="283"/>
      <c r="G43" s="3510"/>
    </row>
    <row r="44" spans="1:7" ht="13.5" customHeight="1">
      <c r="A44" s="951" t="s">
        <v>793</v>
      </c>
      <c r="B44" s="259" t="s">
        <v>2363</v>
      </c>
      <c r="C44" s="282">
        <f ca="1">ROUND(IF('数据-取费表'!B22&lt;=1,C40*F22*'数据-取费表'!B21/2,C40*(POWER((1+F22),'数据-取费表'!B21/2)-1)),4)</f>
        <v>1E-3</v>
      </c>
      <c r="D44" s="282"/>
      <c r="E44" s="282"/>
      <c r="F44" s="283"/>
      <c r="G44" s="3511"/>
    </row>
    <row r="45" spans="1:7" s="258" customFormat="1" ht="13.5" customHeight="1">
      <c r="A45" s="299" t="s">
        <v>2401</v>
      </c>
      <c r="B45" s="288" t="s">
        <v>2367</v>
      </c>
      <c r="C45" s="289">
        <f ca="1">C46</f>
        <v>49</v>
      </c>
      <c r="D45" s="279">
        <f ca="1">C47</f>
        <v>1E-3</v>
      </c>
      <c r="E45" s="280" t="s">
        <v>2393</v>
      </c>
      <c r="F45" s="290"/>
      <c r="G45" s="291" t="s">
        <v>2402</v>
      </c>
    </row>
    <row r="46" spans="1:7" s="258" customFormat="1" ht="13.5" customHeight="1">
      <c r="A46" s="951" t="s">
        <v>791</v>
      </c>
      <c r="B46" s="292" t="s">
        <v>2403</v>
      </c>
      <c r="C46" s="293">
        <f ca="1">ROUND((C33+C39)*F27,0)</f>
        <v>49</v>
      </c>
      <c r="D46" s="307"/>
      <c r="E46" s="280"/>
      <c r="F46" s="290"/>
      <c r="G46" s="291"/>
    </row>
    <row r="47" spans="1:7" s="258" customFormat="1" ht="13.5" customHeight="1">
      <c r="A47" s="951" t="s">
        <v>792</v>
      </c>
      <c r="B47" s="292" t="s">
        <v>2404</v>
      </c>
      <c r="C47" s="282">
        <f ca="1">ROUND(C40*F27,4)</f>
        <v>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1170</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971</v>
      </c>
      <c r="D51" s="276"/>
      <c r="E51" s="276"/>
      <c r="F51" s="308"/>
      <c r="G51" s="278" t="s">
        <v>2414</v>
      </c>
    </row>
    <row r="52" spans="1:7" s="252" customFormat="1" ht="16.5" thickBot="1">
      <c r="A52" s="309" t="s">
        <v>2415</v>
      </c>
      <c r="B52" s="310"/>
      <c r="C52" s="311">
        <f ca="1">C31+C51</f>
        <v>4997</v>
      </c>
      <c r="D52" s="310"/>
      <c r="E52" s="310"/>
      <c r="F52" s="310"/>
      <c r="G52" s="312"/>
    </row>
    <row r="55" spans="1:7" ht="15">
      <c r="B55" s="314" t="s">
        <v>2416</v>
      </c>
      <c r="C55" s="315"/>
    </row>
    <row r="56" spans="1:7">
      <c r="B56" s="317" t="s">
        <v>1508</v>
      </c>
      <c r="C56" s="319">
        <f ca="1">1-C57</f>
        <v>0.80600000000000005</v>
      </c>
    </row>
    <row r="57" spans="1:7">
      <c r="B57" s="317" t="s">
        <v>1509</v>
      </c>
      <c r="C57" s="318">
        <f ca="1">ROUND(C51/C52,3)</f>
        <v>0.19400000000000001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3052</v>
      </c>
      <c r="D1" s="1818" t="s">
        <v>70</v>
      </c>
      <c r="E1" s="1819" t="s">
        <v>1382</v>
      </c>
      <c r="F1" s="1282">
        <f ca="1">J53</f>
        <v>34.18</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1554</v>
      </c>
      <c r="C2" s="1843" t="s">
        <v>1511</v>
      </c>
      <c r="D2" s="1843"/>
      <c r="E2" s="1844"/>
      <c r="F2" s="1845"/>
      <c r="G2" s="1846"/>
      <c r="H2" s="1838"/>
      <c r="I2" s="1838"/>
      <c r="J2" s="1838"/>
      <c r="K2" s="1839"/>
      <c r="L2" s="1838"/>
      <c r="M2" s="1838"/>
    </row>
    <row r="3" spans="1:37" ht="18" customHeight="1" thickBot="1">
      <c r="A3" s="1847" t="s">
        <v>1512</v>
      </c>
      <c r="B3" s="1848">
        <f ca="1">IF(ISERROR(B2*10000/F43),0,ROUND(B2*10000/F43,0))</f>
        <v>4595</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111</v>
      </c>
      <c r="D5" s="1820" t="s">
        <v>1397</v>
      </c>
      <c r="E5" s="1292"/>
      <c r="F5" s="1293"/>
      <c r="G5" s="1849"/>
      <c r="H5" s="344">
        <v>1</v>
      </c>
      <c r="I5" s="345" t="s">
        <v>1396</v>
      </c>
      <c r="J5" s="1291">
        <f ca="1">J6+J10+J12</f>
        <v>0</v>
      </c>
      <c r="K5" s="1820" t="s">
        <v>1397</v>
      </c>
      <c r="L5" s="1292"/>
      <c r="M5" s="1293"/>
    </row>
    <row r="6" spans="1:37" ht="18" customHeight="1">
      <c r="A6" s="1290" t="s">
        <v>1032</v>
      </c>
      <c r="B6" s="3537" t="s">
        <v>1398</v>
      </c>
      <c r="C6" s="1295">
        <f ca="1">ROUND(F6*F8*F7*(1-F9)/10000,0)</f>
        <v>111</v>
      </c>
      <c r="D6" s="164" t="s">
        <v>3020</v>
      </c>
      <c r="E6" s="347" t="s">
        <v>1400</v>
      </c>
      <c r="F6" s="348">
        <f ca="1">INDIRECT("'数据-取费表'!u"&amp;$G$1)</f>
        <v>1</v>
      </c>
      <c r="G6" s="1849"/>
      <c r="H6" s="1290" t="s">
        <v>1032</v>
      </c>
      <c r="I6" s="3537" t="s">
        <v>1398</v>
      </c>
      <c r="J6" s="346">
        <f ca="1">ROUND(M6*M8*M7*(1-M9)/10000,0)</f>
        <v>0</v>
      </c>
      <c r="K6" s="164" t="s">
        <v>3019</v>
      </c>
      <c r="L6" s="347" t="s">
        <v>1400</v>
      </c>
      <c r="M6" s="348">
        <f ca="1">INDIRECT("'数据-取费表'!z"&amp;$G$1)</f>
        <v>0</v>
      </c>
    </row>
    <row r="7" spans="1:37" ht="18" customHeight="1">
      <c r="A7" s="1294"/>
      <c r="B7" s="3538"/>
      <c r="C7" s="1296"/>
      <c r="D7" s="352"/>
      <c r="E7" s="2959" t="s">
        <v>1401</v>
      </c>
      <c r="F7" s="348">
        <f ca="1">IF(INDIRECT("'数据-取费表'!ah"&amp;$G$1)="",INDIRECT("'数据-取费表'!k"&amp;$G$1),INDIRECT("'数据-取费表'!ah"&amp;$G$1))</f>
        <v>3382.29</v>
      </c>
      <c r="G7" s="1849"/>
      <c r="H7" s="349"/>
      <c r="I7" s="3538"/>
      <c r="J7" s="351"/>
      <c r="K7" s="352"/>
      <c r="L7" s="347" t="s">
        <v>1401</v>
      </c>
      <c r="M7" s="348">
        <f ca="1">F7</f>
        <v>3382.29</v>
      </c>
    </row>
    <row r="8" spans="1:37" ht="18" customHeight="1">
      <c r="A8" s="349"/>
      <c r="B8" s="3538"/>
      <c r="C8" s="351"/>
      <c r="D8" s="352"/>
      <c r="E8" s="347" t="s">
        <v>1402</v>
      </c>
      <c r="F8" s="348">
        <f ca="1">INDIRECT("'数据-取费表'!ai"&amp;$G$1)</f>
        <v>365</v>
      </c>
      <c r="G8" s="1849"/>
      <c r="H8" s="349"/>
      <c r="I8" s="3538"/>
      <c r="J8" s="351"/>
      <c r="K8" s="352"/>
      <c r="L8" s="347" t="s">
        <v>1402</v>
      </c>
      <c r="M8" s="348">
        <f ca="1">INDIRECT("'数据-取费表'!ai"&amp;$G$1)</f>
        <v>365</v>
      </c>
    </row>
    <row r="9" spans="1:37" ht="18" customHeight="1">
      <c r="A9" s="349"/>
      <c r="B9" s="3539"/>
      <c r="C9" s="351"/>
      <c r="D9" s="352"/>
      <c r="E9" s="347" t="s">
        <v>1403</v>
      </c>
      <c r="F9" s="357">
        <f ca="1">INDIRECT("'数据-取费表'!w"&amp;$G$1)</f>
        <v>0.1</v>
      </c>
      <c r="G9" s="1849"/>
      <c r="H9" s="349"/>
      <c r="I9" s="353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3130</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971</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859</v>
      </c>
      <c r="D14" s="2946" t="s">
        <v>1413</v>
      </c>
      <c r="E14" s="2941"/>
      <c r="F14" s="364"/>
      <c r="G14" s="1849"/>
      <c r="H14" s="1200" t="s">
        <v>1032</v>
      </c>
      <c r="I14" s="347" t="s">
        <v>1414</v>
      </c>
      <c r="J14" s="24">
        <f ca="1">C29</f>
        <v>1170</v>
      </c>
      <c r="K14" s="2958"/>
      <c r="L14" s="979"/>
      <c r="M14" s="980"/>
    </row>
    <row r="15" spans="1:37" s="1856" customFormat="1" ht="18" customHeight="1" thickBot="1">
      <c r="A15" s="1200" t="s">
        <v>1033</v>
      </c>
      <c r="B15" s="347" t="s">
        <v>1415</v>
      </c>
      <c r="C15" s="24">
        <f ca="1">ROUND(C14*F15,0)</f>
        <v>26</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31</v>
      </c>
      <c r="K16" s="1336" t="s">
        <v>1420</v>
      </c>
      <c r="L16" s="2948"/>
      <c r="M16" s="1293"/>
    </row>
    <row r="17" spans="1:37" s="1856" customFormat="1" ht="18" customHeight="1">
      <c r="A17" s="1200" t="s">
        <v>1385</v>
      </c>
      <c r="B17" s="347" t="s">
        <v>1421</v>
      </c>
      <c r="C17" s="24">
        <f ca="1">ROUND(F17*(F43+INDIRECT("'数据-取费表'!S"&amp;$G$1))/10000,0)</f>
        <v>69</v>
      </c>
      <c r="D17" s="347" t="s">
        <v>1422</v>
      </c>
      <c r="E17" s="347" t="s">
        <v>1423</v>
      </c>
      <c r="F17" s="26">
        <f>'数据-取费表'!B35</f>
        <v>200</v>
      </c>
      <c r="G17" s="1852"/>
      <c r="H17" s="1200" t="s">
        <v>1032</v>
      </c>
      <c r="I17" s="347" t="s">
        <v>1424</v>
      </c>
      <c r="J17" s="24">
        <f ca="1">ROUND(IF(项目基本情况!B11="自然人",J6*M17/(1+'数据-取费表'!C42),J18+J19+J20),1)</f>
        <v>13</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13</v>
      </c>
      <c r="D18" s="347" t="s">
        <v>1416</v>
      </c>
      <c r="E18" s="347" t="s">
        <v>1417</v>
      </c>
      <c r="F18" s="367">
        <f>'数据-取费表'!B36</f>
        <v>1.4999999999999999E-2</v>
      </c>
      <c r="G18" s="1852"/>
      <c r="H18" s="1200" t="s">
        <v>1031</v>
      </c>
      <c r="I18" s="347" t="s">
        <v>1428</v>
      </c>
      <c r="J18" s="24">
        <f ca="1">ROUND(J6*M18/(1+'数据-取费表'!C42),2)</f>
        <v>0</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967</v>
      </c>
      <c r="D19" s="140" t="s">
        <v>1431</v>
      </c>
      <c r="E19" s="2956"/>
      <c r="F19" s="26"/>
      <c r="G19" s="1849"/>
      <c r="H19" s="1200" t="s">
        <v>1033</v>
      </c>
      <c r="I19" s="347" t="s">
        <v>1432</v>
      </c>
      <c r="J19" s="24">
        <f ca="1">IF(K19="按租金收入计税",ROUND(J6*M19/(1+'数据-取费表'!C42),2),ROUND(C29*M19*0.7,2))</f>
        <v>9.83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19</v>
      </c>
      <c r="D20" s="369" t="s">
        <v>1435</v>
      </c>
      <c r="E20" s="347" t="s">
        <v>1417</v>
      </c>
      <c r="F20" s="367">
        <f>'数据-取费表'!B37</f>
        <v>0.02</v>
      </c>
      <c r="G20" s="1852"/>
      <c r="H20" s="1200" t="s">
        <v>1384</v>
      </c>
      <c r="I20" s="164" t="s">
        <v>1436</v>
      </c>
      <c r="J20" s="25">
        <f ca="1">ROUND(M20*M21/10000,2)</f>
        <v>3.15</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1313.68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f ca="1">ROUND(J14*M22,1)</f>
        <v>17.600000000000001</v>
      </c>
      <c r="K22" s="2944"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47</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2944"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f ca="1">J5-J16</f>
        <v>-31</v>
      </c>
      <c r="K25" s="1344" t="s">
        <v>1459</v>
      </c>
      <c r="L25" s="1345"/>
      <c r="M25" s="1346"/>
    </row>
    <row r="26" spans="1:37">
      <c r="A26" s="1200" t="s">
        <v>1031</v>
      </c>
      <c r="B26" s="347" t="s">
        <v>1460</v>
      </c>
      <c r="C26" s="24">
        <f ca="1">ROUND((C19+C20)*F26,0)</f>
        <v>49</v>
      </c>
      <c r="D26" s="369" t="s">
        <v>1461</v>
      </c>
      <c r="E26" s="358" t="s">
        <v>1462</v>
      </c>
      <c r="F26" s="357">
        <f ca="1">INDIRECT("'数据-取费表'!q"&amp;$G$1)</f>
        <v>0.05</v>
      </c>
      <c r="G26" s="1849"/>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0" t="s">
        <v>1033</v>
      </c>
      <c r="B27" s="347" t="s">
        <v>1466</v>
      </c>
      <c r="C27" s="24">
        <f ca="1">ROUND(F21*F26,4)</f>
        <v>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1170</v>
      </c>
      <c r="D29" s="1341"/>
      <c r="E29" s="1339"/>
      <c r="F29" s="1342"/>
      <c r="G29" s="1852"/>
      <c r="H29" s="380" t="s">
        <v>1030</v>
      </c>
      <c r="I29" s="381" t="s">
        <v>1474</v>
      </c>
      <c r="J29" s="382">
        <f ca="1">ROUND(J26/(1+F40)^F41,0)</f>
        <v>0</v>
      </c>
      <c r="K29" s="383" t="s">
        <v>1475</v>
      </c>
      <c r="L29" s="384"/>
      <c r="M29" s="385">
        <f ca="1">INDIRECT("'数据-取费表'!k"&amp;$G$1)</f>
        <v>3382.29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42</v>
      </c>
      <c r="D30" s="1336" t="s">
        <v>1420</v>
      </c>
      <c r="E30" s="2948"/>
      <c r="F30" s="1293"/>
      <c r="G30" s="1849"/>
      <c r="H30" s="745"/>
      <c r="I30" s="746"/>
      <c r="J30" s="747"/>
      <c r="K30" s="748"/>
      <c r="L30" s="749"/>
      <c r="M30" s="750"/>
    </row>
    <row r="31" spans="1:37" ht="18" customHeight="1">
      <c r="A31" s="1200" t="s">
        <v>1032</v>
      </c>
      <c r="B31" s="347" t="s">
        <v>1424</v>
      </c>
      <c r="C31" s="24">
        <f ca="1">ROUND(IF(项目基本情况!B11="自然人",C6*F31/(1+'数据-取费表'!C42),C32+C33+C34),1)</f>
        <v>21.8</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5.92</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12.69</v>
      </c>
      <c r="D33" s="1826" t="s">
        <v>3102</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3.15</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1313.68</v>
      </c>
      <c r="G35" s="1849"/>
      <c r="H35" s="745"/>
      <c r="I35" s="1858"/>
      <c r="J35" s="1859"/>
      <c r="K35" s="1860"/>
      <c r="L35" s="1857"/>
      <c r="M35" s="1857"/>
    </row>
    <row r="36" spans="1:18" ht="18" customHeight="1">
      <c r="A36" s="1351" t="s">
        <v>1036</v>
      </c>
      <c r="B36" s="347" t="s">
        <v>1444</v>
      </c>
      <c r="C36" s="24">
        <f ca="1">ROUND(C29*F36,1)</f>
        <v>17.600000000000001</v>
      </c>
      <c r="D36" s="2944"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1.5</v>
      </c>
      <c r="D37" s="2944"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1.1000000000000001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69</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1554</v>
      </c>
      <c r="D40" s="370" t="s">
        <v>1464</v>
      </c>
      <c r="E40" s="347" t="s">
        <v>1465</v>
      </c>
      <c r="F40" s="357">
        <f ca="1">INDIRECT("'数据-取费表'!I"&amp;$G$1)</f>
        <v>4.4999999999999998E-2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34.18</v>
      </c>
      <c r="G41" s="1849"/>
      <c r="H41" s="732"/>
      <c r="I41" s="1858"/>
      <c r="J41" s="1859"/>
      <c r="K41" s="751"/>
      <c r="L41" s="732"/>
      <c r="M41" s="732"/>
    </row>
    <row r="42" spans="1:18" ht="18" customHeight="1">
      <c r="A42" s="353"/>
      <c r="B42" s="354"/>
      <c r="C42" s="355"/>
      <c r="D42" s="373"/>
      <c r="E42" s="347" t="s">
        <v>1472</v>
      </c>
      <c r="F42" s="357">
        <f ca="1">INDIRECT("'数据-取费表'!v"&amp;$G$1)</f>
        <v>0.02</v>
      </c>
      <c r="G42" s="1849"/>
      <c r="H42" s="732"/>
      <c r="I42" s="1858"/>
      <c r="J42" s="1859"/>
      <c r="K42" s="751"/>
      <c r="L42" s="732"/>
      <c r="M42" s="732"/>
    </row>
    <row r="43" spans="1:18" ht="18" customHeight="1" thickBot="1">
      <c r="A43" s="380" t="s">
        <v>1030</v>
      </c>
      <c r="B43" s="381" t="s">
        <v>1482</v>
      </c>
      <c r="C43" s="382">
        <f ca="1">ROUND(C40*10000/F43,0)</f>
        <v>4595</v>
      </c>
      <c r="D43" s="383" t="s">
        <v>1483</v>
      </c>
      <c r="E43" s="384" t="s">
        <v>1484</v>
      </c>
      <c r="F43" s="385">
        <f ca="1">INDIRECT("'数据-取费表'!k"&amp;$G$1)</f>
        <v>3382.29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-3646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1554</v>
      </c>
      <c r="R47" s="1884" t="s">
        <v>1524</v>
      </c>
    </row>
    <row r="48" spans="1:18" s="1840" customFormat="1" ht="28.5" thickBot="1">
      <c r="A48" s="1359" t="s">
        <v>1132</v>
      </c>
      <c r="B48" s="345" t="s">
        <v>1396</v>
      </c>
      <c r="C48" s="2955">
        <f ca="1">C49+C53+C55</f>
        <v>0</v>
      </c>
      <c r="D48" s="1361"/>
      <c r="E48" s="1362"/>
      <c r="F48" s="1180"/>
      <c r="G48" s="792"/>
      <c r="H48" s="793"/>
      <c r="I48" s="1885" t="s">
        <v>1525</v>
      </c>
      <c r="J48" s="1886" t="s">
        <v>3089</v>
      </c>
      <c r="K48" s="1887" t="s">
        <v>1526</v>
      </c>
      <c r="L48" s="1888">
        <f ca="1">INDIRECT("'数据-取费表'!f"&amp;$G$1)</f>
        <v>34.18</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3019</v>
      </c>
      <c r="E49" s="1828" t="s">
        <v>1486</v>
      </c>
      <c r="F49" s="1280"/>
      <c r="G49" s="1889"/>
      <c r="H49" s="793"/>
      <c r="I49" s="1885" t="s">
        <v>1529</v>
      </c>
      <c r="J49" s="1890">
        <v>2004</v>
      </c>
      <c r="K49" s="1887" t="s">
        <v>1530</v>
      </c>
      <c r="L49" s="1891"/>
      <c r="O49" s="1892" t="s">
        <v>1039</v>
      </c>
      <c r="P49" s="1883" t="s">
        <v>1531</v>
      </c>
      <c r="Q49" s="1884">
        <f ca="1">C29</f>
        <v>1170</v>
      </c>
      <c r="R49" s="1884" t="s">
        <v>1524</v>
      </c>
    </row>
    <row r="50" spans="1:18" s="1840" customFormat="1" ht="13.5" thickBot="1">
      <c r="A50" s="1194"/>
      <c r="B50" s="1197"/>
      <c r="C50" s="1367"/>
      <c r="D50" s="1171"/>
      <c r="E50" s="1276" t="s">
        <v>1401</v>
      </c>
      <c r="F50" s="1277">
        <f ca="1">F7</f>
        <v>3382.29</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45</v>
      </c>
      <c r="K51" s="1898" t="s">
        <v>1536</v>
      </c>
      <c r="L51" s="1899">
        <f ca="1">ROUND(-PV(INDIRECT("'数据-取费表'!h"&amp;$G$1),L48,(C39-C13*C76),0),0)</f>
        <v>-250</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34.18</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34.18</v>
      </c>
      <c r="K53" s="3535" t="s">
        <v>1543</v>
      </c>
      <c r="L53" s="3536"/>
      <c r="O53" s="1882" t="s">
        <v>1043</v>
      </c>
      <c r="P53" s="1883" t="s">
        <v>1544</v>
      </c>
      <c r="Q53" s="1884">
        <f ca="1">Q47+Q48</f>
        <v>1554</v>
      </c>
      <c r="R53" s="1884" t="s">
        <v>1044</v>
      </c>
    </row>
    <row r="54" spans="1:18" s="1840" customFormat="1" ht="13.5" thickBot="1">
      <c r="A54" s="1405"/>
      <c r="B54" s="1823" t="s">
        <v>1383</v>
      </c>
      <c r="C54" s="1177"/>
      <c r="D54" s="1822"/>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971</v>
      </c>
      <c r="D56" s="1911"/>
      <c r="E56" s="1912"/>
      <c r="F56" s="1904"/>
      <c r="I56" s="1913" t="s">
        <v>1549</v>
      </c>
      <c r="J56" s="1914" t="s">
        <v>3047</v>
      </c>
      <c r="K56" s="1885" t="s">
        <v>1550</v>
      </c>
      <c r="L56" s="1888" t="str">
        <f ca="1">IF(L48&lt;J51,"——",L48-J53)</f>
        <v>——</v>
      </c>
      <c r="O56" s="1882" t="s">
        <v>1037</v>
      </c>
      <c r="P56" s="1883" t="s">
        <v>1523</v>
      </c>
      <c r="Q56" s="1884">
        <f ca="1">C40+J29</f>
        <v>1554</v>
      </c>
      <c r="R56" s="1884" t="s">
        <v>1524</v>
      </c>
    </row>
    <row r="57" spans="1:18" s="1840" customFormat="1" ht="24.75" thickBot="1">
      <c r="A57" s="1915"/>
      <c r="B57" s="1168" t="s">
        <v>1473</v>
      </c>
      <c r="C57" s="282">
        <f ca="1">C29</f>
        <v>1170</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121</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101.4</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98.28</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3.15</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1554</v>
      </c>
      <c r="R62" s="1884" t="s">
        <v>1044</v>
      </c>
    </row>
    <row r="63" spans="1:18" s="1840" customFormat="1" ht="13.5" thickBot="1">
      <c r="A63" s="372"/>
      <c r="B63" s="1174"/>
      <c r="C63" s="29"/>
      <c r="D63" s="1184"/>
      <c r="E63" s="1168" t="s">
        <v>1494</v>
      </c>
      <c r="F63" s="348">
        <f t="shared" ca="1" si="0"/>
        <v>1313.68</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17.600000000000001</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1.5</v>
      </c>
      <c r="D65" s="1182" t="s">
        <v>1449</v>
      </c>
      <c r="E65" s="1168" t="s">
        <v>1450</v>
      </c>
      <c r="F65" s="376">
        <f t="shared" ca="1" si="0"/>
        <v>1.5E-3</v>
      </c>
      <c r="I65" s="1926" t="s">
        <v>1574</v>
      </c>
      <c r="J65" s="1927">
        <v>40</v>
      </c>
      <c r="K65" s="1927">
        <v>30</v>
      </c>
      <c r="L65" s="1927">
        <v>50</v>
      </c>
      <c r="M65" s="1929">
        <v>0.02</v>
      </c>
      <c r="O65" s="1882" t="s">
        <v>1037</v>
      </c>
      <c r="P65" s="1883" t="s">
        <v>1575</v>
      </c>
      <c r="Q65" s="1884">
        <f ca="1">C40+J29</f>
        <v>1554</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-121</v>
      </c>
      <c r="D67" s="1181" t="s">
        <v>1459</v>
      </c>
      <c r="E67" s="1186"/>
      <c r="F67" s="1187"/>
      <c r="O67" s="1892" t="s">
        <v>1039</v>
      </c>
      <c r="P67" s="1883" t="s">
        <v>1557</v>
      </c>
      <c r="Q67" s="1930">
        <f ca="1">L51</f>
        <v>-250</v>
      </c>
      <c r="R67" s="1884" t="s">
        <v>1577</v>
      </c>
    </row>
    <row r="68" spans="1:18" s="1840" customFormat="1" ht="16.5" thickBot="1">
      <c r="A68" s="1165" t="s">
        <v>1029</v>
      </c>
      <c r="B68" s="1166" t="s">
        <v>1480</v>
      </c>
      <c r="C68" s="346">
        <f ca="1">ROUND(C67*(1-((1+F70)/(1+F68))^F69)/(F68-F70),0)</f>
        <v>-2092</v>
      </c>
      <c r="D68" s="1183" t="s">
        <v>1464</v>
      </c>
      <c r="E68" s="1168" t="s">
        <v>1465</v>
      </c>
      <c r="F68" s="357">
        <f ca="1">F40</f>
        <v>4.4999999999999998E-2</v>
      </c>
      <c r="O68" s="1892" t="s">
        <v>1040</v>
      </c>
      <c r="P68" s="1931" t="s">
        <v>1578</v>
      </c>
      <c r="Q68" s="1884">
        <f ca="1">ROUND(Q69-Q70*Q71,0)</f>
        <v>-14</v>
      </c>
      <c r="R68" s="1884" t="s">
        <v>1048</v>
      </c>
    </row>
    <row r="69" spans="1:18" s="1840" customFormat="1" ht="13.5" thickBot="1">
      <c r="A69" s="1169"/>
      <c r="B69" s="1170"/>
      <c r="C69" s="351"/>
      <c r="D69" s="1188" t="s">
        <v>1468</v>
      </c>
      <c r="E69" s="1168" t="s">
        <v>1469</v>
      </c>
      <c r="F69" s="379">
        <f ca="1">F41</f>
        <v>34.18</v>
      </c>
      <c r="O69" s="1892" t="s">
        <v>1045</v>
      </c>
      <c r="P69" s="1931" t="s">
        <v>1579</v>
      </c>
      <c r="Q69" s="1884">
        <f ca="1">C39</f>
        <v>69</v>
      </c>
      <c r="R69" s="1884" t="s">
        <v>1524</v>
      </c>
    </row>
    <row r="70" spans="1:18" s="1840" customFormat="1" ht="13.5" thickBot="1">
      <c r="A70" s="1172"/>
      <c r="B70" s="1173"/>
      <c r="C70" s="355"/>
      <c r="D70" s="1184"/>
      <c r="E70" s="1168" t="s">
        <v>1472</v>
      </c>
      <c r="F70" s="1274"/>
      <c r="O70" s="1892" t="s">
        <v>1046</v>
      </c>
      <c r="P70" s="1931" t="s">
        <v>1580</v>
      </c>
      <c r="Q70" s="1884">
        <f ca="1">C13</f>
        <v>971</v>
      </c>
      <c r="R70" s="1884" t="s">
        <v>1524</v>
      </c>
    </row>
    <row r="71" spans="1:18" s="1840" customFormat="1" ht="13.5" thickBot="1">
      <c r="A71" s="1189" t="s">
        <v>1030</v>
      </c>
      <c r="B71" s="1190" t="s">
        <v>1482</v>
      </c>
      <c r="C71" s="382">
        <f ca="1">ROUND(C68*10000/F71,0)</f>
        <v>-6185</v>
      </c>
      <c r="D71" s="1191" t="s">
        <v>1483</v>
      </c>
      <c r="E71" s="1192" t="s">
        <v>1484</v>
      </c>
      <c r="F71" s="385">
        <f ca="1">F43</f>
        <v>3382.29</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83</v>
      </c>
      <c r="D75" s="1840"/>
      <c r="E75" s="1840"/>
      <c r="F75" s="1840"/>
      <c r="K75" s="1866"/>
      <c r="L75" s="1840"/>
      <c r="O75" s="1882" t="s">
        <v>1043</v>
      </c>
      <c r="P75" s="1883" t="s">
        <v>1544</v>
      </c>
      <c r="Q75" s="1884">
        <f ca="1">Q65+Q66</f>
        <v>1554</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-0.20300000000000007</v>
      </c>
    </row>
    <row r="80" spans="1:18">
      <c r="B80" s="386" t="s">
        <v>1506</v>
      </c>
      <c r="C80" s="318">
        <f ca="1">ROUND(C75/C39,3)</f>
        <v>1.2030000000000001</v>
      </c>
    </row>
    <row r="81" spans="2:3">
      <c r="B81" s="314" t="s">
        <v>1507</v>
      </c>
      <c r="C81" s="282"/>
    </row>
    <row r="82" spans="2:3">
      <c r="B82" s="317" t="s">
        <v>1508</v>
      </c>
      <c r="C82" s="319">
        <f ca="1">1-C83</f>
        <v>0.375</v>
      </c>
    </row>
    <row r="83" spans="2:3">
      <c r="B83" s="317" t="s">
        <v>1509</v>
      </c>
      <c r="C83" s="318">
        <f ca="1">ROUND(C13/C40,3)</f>
        <v>0.625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91" t="s">
        <v>2635</v>
      </c>
      <c r="D4" s="3492"/>
      <c r="E4" s="3493" t="s">
        <v>2636</v>
      </c>
      <c r="F4" s="3494"/>
      <c r="G4" s="3491" t="s">
        <v>2637</v>
      </c>
      <c r="H4" s="3492"/>
      <c r="I4" s="3491" t="s">
        <v>2638</v>
      </c>
      <c r="J4" s="3492"/>
      <c r="K4" s="610" t="s">
        <v>2639</v>
      </c>
      <c r="L4" s="1129"/>
      <c r="M4" s="1130"/>
      <c r="N4" s="1130"/>
      <c r="O4" s="1130"/>
      <c r="P4" s="3495" t="s">
        <v>2640</v>
      </c>
      <c r="Q4" s="3496"/>
      <c r="R4" s="3481" t="s">
        <v>2636</v>
      </c>
      <c r="S4" s="3482"/>
      <c r="T4" s="3481" t="s">
        <v>2637</v>
      </c>
      <c r="U4" s="3482"/>
      <c r="V4" s="3487" t="s">
        <v>2638</v>
      </c>
      <c r="W4" s="3487"/>
      <c r="X4" s="1811"/>
      <c r="Y4" s="3481" t="s">
        <v>2640</v>
      </c>
      <c r="Z4" s="3482"/>
      <c r="AA4" s="3488" t="s">
        <v>2636</v>
      </c>
      <c r="AB4" s="3489" t="s">
        <v>2637</v>
      </c>
      <c r="AC4" s="3488" t="s">
        <v>2638</v>
      </c>
    </row>
    <row r="5" spans="1:29" ht="15">
      <c r="A5" s="404"/>
      <c r="B5" s="405"/>
      <c r="C5" s="3505" t="s">
        <v>2531</v>
      </c>
      <c r="D5" s="3502"/>
      <c r="E5" s="3606" t="s">
        <v>2532</v>
      </c>
      <c r="F5" s="3504"/>
      <c r="G5" s="3505" t="s">
        <v>2533</v>
      </c>
      <c r="H5" s="3502"/>
      <c r="I5" s="3505" t="s">
        <v>2534</v>
      </c>
      <c r="J5" s="3502"/>
      <c r="K5" s="610"/>
      <c r="L5" s="1129"/>
      <c r="M5" s="1130"/>
      <c r="N5" s="1130"/>
      <c r="O5" s="1130"/>
      <c r="P5" s="3497"/>
      <c r="Q5" s="3498"/>
      <c r="R5" s="3483"/>
      <c r="S5" s="3484"/>
      <c r="T5" s="3483"/>
      <c r="U5" s="3484"/>
      <c r="V5" s="3487"/>
      <c r="W5" s="3487"/>
      <c r="X5" s="1811"/>
      <c r="Y5" s="3483"/>
      <c r="Z5" s="3484"/>
      <c r="AA5" s="3489"/>
      <c r="AB5" s="3489"/>
      <c r="AC5" s="3489"/>
    </row>
    <row r="6" spans="1:29" ht="15.75" thickBot="1">
      <c r="A6" s="406"/>
      <c r="B6" s="407"/>
      <c r="C6" s="3627" t="s">
        <v>2786</v>
      </c>
      <c r="D6" s="3628"/>
      <c r="E6" s="3629" t="s">
        <v>2786</v>
      </c>
      <c r="F6" s="3630"/>
      <c r="G6" s="3627" t="s">
        <v>2786</v>
      </c>
      <c r="H6" s="3628"/>
      <c r="I6" s="3627" t="s">
        <v>2786</v>
      </c>
      <c r="J6" s="3628"/>
      <c r="K6" s="610" t="s">
        <v>2536</v>
      </c>
      <c r="L6" s="1129"/>
      <c r="M6" s="1130"/>
      <c r="N6" s="1130"/>
      <c r="O6" s="1130"/>
      <c r="P6" s="3499"/>
      <c r="Q6" s="3500"/>
      <c r="R6" s="3483"/>
      <c r="S6" s="3484"/>
      <c r="T6" s="3485"/>
      <c r="U6" s="3486"/>
      <c r="V6" s="3487"/>
      <c r="W6" s="3487"/>
      <c r="X6" s="1811"/>
      <c r="Y6" s="3485"/>
      <c r="Z6" s="3486"/>
      <c r="AA6" s="3490"/>
      <c r="AB6" s="3490"/>
      <c r="AC6" s="3490"/>
    </row>
    <row r="7" spans="1:29" s="117" customFormat="1" ht="15.75" thickBot="1">
      <c r="A7" s="408" t="s">
        <v>2537</v>
      </c>
      <c r="B7" s="409"/>
      <c r="C7" s="410">
        <f>'数据-取费表'!B2</f>
        <v>43670</v>
      </c>
      <c r="D7" s="411">
        <v>100</v>
      </c>
      <c r="E7" s="412"/>
      <c r="F7" s="413">
        <f>SUMIF(65:65,YEAR(E7)&amp;"-"&amp;INT((MONTH(E7)+2)/3),66:66)</f>
        <v>0</v>
      </c>
      <c r="G7" s="2685"/>
      <c r="H7" s="411">
        <f>SUMIF(65:65,YEAR(G7)&amp;"-"&amp;INT((MONTH(G7)+2)/3),66:66)</f>
        <v>0</v>
      </c>
      <c r="I7" s="2685"/>
      <c r="J7" s="411">
        <f>SUMIF(65:65,YEAR(I7)&amp;"-"&amp;INT((MONTH(I7)+2)/3),66:66)</f>
        <v>0</v>
      </c>
      <c r="K7" s="611"/>
      <c r="L7" s="1131"/>
      <c r="M7" s="1132"/>
      <c r="N7" s="1132"/>
      <c r="O7" s="1132"/>
      <c r="P7" s="3469" t="s">
        <v>2538</v>
      </c>
      <c r="Q7" s="3480"/>
      <c r="R7" s="770" t="s">
        <v>17</v>
      </c>
      <c r="S7" s="771">
        <f t="shared" ref="S7:S15" si="0">F7</f>
        <v>0</v>
      </c>
      <c r="T7" s="770" t="s">
        <v>17</v>
      </c>
      <c r="U7" s="771">
        <f t="shared" ref="U7:U15" si="1">H7</f>
        <v>0</v>
      </c>
      <c r="V7" s="770" t="s">
        <v>17</v>
      </c>
      <c r="W7" s="771">
        <f t="shared" ref="W7:W15" si="2">J7</f>
        <v>0</v>
      </c>
      <c r="X7" s="772"/>
      <c r="Y7" s="3469" t="s">
        <v>2538</v>
      </c>
      <c r="Z7" s="3470"/>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469" t="s">
        <v>2541</v>
      </c>
      <c r="Q8" s="3470"/>
      <c r="R8" s="770" t="s">
        <v>17</v>
      </c>
      <c r="S8" s="771">
        <f t="shared" si="0"/>
        <v>0</v>
      </c>
      <c r="T8" s="770" t="s">
        <v>17</v>
      </c>
      <c r="U8" s="771">
        <f t="shared" si="1"/>
        <v>0</v>
      </c>
      <c r="V8" s="770" t="s">
        <v>17</v>
      </c>
      <c r="W8" s="771">
        <f t="shared" si="2"/>
        <v>0</v>
      </c>
      <c r="X8" s="772"/>
      <c r="Y8" s="3469" t="s">
        <v>2541</v>
      </c>
      <c r="Z8" s="3470"/>
      <c r="AA8" s="773" t="e">
        <f t="shared" ref="AA8:AA40" si="3">D8/F8</f>
        <v>#DIV/0!</v>
      </c>
      <c r="AB8" s="773" t="e">
        <f t="shared" ref="AB8:AB40" si="4">D8/H8</f>
        <v>#DIV/0!</v>
      </c>
      <c r="AC8" s="773" t="e">
        <f t="shared" ref="AC8:AC40" si="5">D8/J8</f>
        <v>#DIV/0!</v>
      </c>
    </row>
    <row r="9" spans="1:29" s="117" customFormat="1">
      <c r="A9" s="415" t="s">
        <v>2542</v>
      </c>
      <c r="B9" s="71" t="s">
        <v>2543</v>
      </c>
      <c r="C9" s="2688"/>
      <c r="D9" s="135">
        <v>100</v>
      </c>
      <c r="E9" s="2688"/>
      <c r="F9" s="135">
        <f>SUMIF(70:70,E9,71:71)-SUMIF(70:70,C9,71:71)+100</f>
        <v>100</v>
      </c>
      <c r="G9" s="2688"/>
      <c r="H9" s="135">
        <f>SUMIF(70:70,G9,71:71)-SUMIF(70:70,C9,71:71)+100</f>
        <v>100</v>
      </c>
      <c r="I9" s="2688"/>
      <c r="J9" s="135">
        <f>SUMIF(70:70,I9,71:71)-SUMIF(70:70,C9,71:71)+100</f>
        <v>100</v>
      </c>
      <c r="K9" s="611"/>
      <c r="L9" s="1131"/>
      <c r="M9" s="1132"/>
      <c r="N9" s="1132"/>
      <c r="O9" s="1133"/>
      <c r="P9" s="3459" t="s">
        <v>2544</v>
      </c>
      <c r="Q9" s="1793" t="str">
        <f t="shared" ref="Q9:Q15" si="6">B9</f>
        <v>用途</v>
      </c>
      <c r="R9" s="770" t="s">
        <v>17</v>
      </c>
      <c r="S9" s="771">
        <f t="shared" si="0"/>
        <v>100</v>
      </c>
      <c r="T9" s="770" t="s">
        <v>17</v>
      </c>
      <c r="U9" s="771">
        <f t="shared" si="1"/>
        <v>100</v>
      </c>
      <c r="V9" s="770" t="s">
        <v>17</v>
      </c>
      <c r="W9" s="771">
        <f t="shared" si="2"/>
        <v>100</v>
      </c>
      <c r="X9" s="772"/>
      <c r="Y9" s="3317"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 ca="1">ROUND(100/'数据-取费表'!G16,0)</f>
        <v>107</v>
      </c>
      <c r="G10" s="432"/>
      <c r="H10" s="136">
        <f ca="1">ROUND(100/'数据-取费表'!G16,0)</f>
        <v>107</v>
      </c>
      <c r="I10" s="432"/>
      <c r="J10" s="136">
        <f ca="1">ROUND(100/'数据-取费表'!G16,0)</f>
        <v>107</v>
      </c>
      <c r="K10" s="672"/>
      <c r="L10" s="1134"/>
      <c r="M10" s="1135"/>
      <c r="N10" s="1135"/>
      <c r="O10" s="1136"/>
      <c r="P10" s="3459"/>
      <c r="Q10" s="1793" t="str">
        <f t="shared" si="6"/>
        <v>土地使用年限（年）</v>
      </c>
      <c r="R10" s="770" t="s">
        <v>17</v>
      </c>
      <c r="S10" s="771">
        <f t="shared" ca="1" si="0"/>
        <v>107</v>
      </c>
      <c r="T10" s="770" t="s">
        <v>17</v>
      </c>
      <c r="U10" s="771">
        <f t="shared" ca="1" si="1"/>
        <v>107</v>
      </c>
      <c r="V10" s="770" t="s">
        <v>17</v>
      </c>
      <c r="W10" s="771">
        <f t="shared" ca="1" si="2"/>
        <v>107</v>
      </c>
      <c r="X10" s="772"/>
      <c r="Y10" s="3317"/>
      <c r="Z10" s="55" t="str">
        <f t="shared" si="7"/>
        <v>土地使用年限（年）</v>
      </c>
      <c r="AA10" s="773">
        <f t="shared" ca="1" si="3"/>
        <v>0.93457943925233644</v>
      </c>
      <c r="AB10" s="773">
        <f t="shared" ca="1" si="4"/>
        <v>0.93457943925233644</v>
      </c>
      <c r="AC10" s="773">
        <f t="shared" ca="1" si="5"/>
        <v>0.93457943925233644</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459"/>
      <c r="Q11" s="1793" t="str">
        <f t="shared" si="6"/>
        <v>容积率</v>
      </c>
      <c r="R11" s="770" t="s">
        <v>17</v>
      </c>
      <c r="S11" s="771" t="e">
        <f t="shared" si="0"/>
        <v>#N/A</v>
      </c>
      <c r="T11" s="770" t="s">
        <v>17</v>
      </c>
      <c r="U11" s="771" t="e">
        <f t="shared" si="1"/>
        <v>#N/A</v>
      </c>
      <c r="V11" s="770" t="s">
        <v>17</v>
      </c>
      <c r="W11" s="771" t="e">
        <f t="shared" si="2"/>
        <v>#N/A</v>
      </c>
      <c r="X11" s="772"/>
      <c r="Y11" s="3317"/>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459"/>
      <c r="Q12" s="1793">
        <f t="shared" si="6"/>
        <v>111</v>
      </c>
      <c r="R12" s="770" t="s">
        <v>17</v>
      </c>
      <c r="S12" s="771">
        <f t="shared" si="0"/>
        <v>100</v>
      </c>
      <c r="T12" s="770" t="s">
        <v>17</v>
      </c>
      <c r="U12" s="771">
        <f t="shared" si="1"/>
        <v>100</v>
      </c>
      <c r="V12" s="770" t="s">
        <v>17</v>
      </c>
      <c r="W12" s="771">
        <f t="shared" si="2"/>
        <v>100</v>
      </c>
      <c r="X12" s="772"/>
      <c r="Y12" s="3317"/>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459"/>
      <c r="Q13" s="1793">
        <f t="shared" si="6"/>
        <v>111</v>
      </c>
      <c r="R13" s="770" t="s">
        <v>17</v>
      </c>
      <c r="S13" s="771">
        <f t="shared" si="0"/>
        <v>100</v>
      </c>
      <c r="T13" s="770" t="s">
        <v>17</v>
      </c>
      <c r="U13" s="771">
        <f t="shared" si="1"/>
        <v>100</v>
      </c>
      <c r="V13" s="770" t="s">
        <v>17</v>
      </c>
      <c r="W13" s="771">
        <f t="shared" si="2"/>
        <v>100</v>
      </c>
      <c r="X13" s="772"/>
      <c r="Y13" s="3317"/>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459"/>
      <c r="Q14" s="1793">
        <f t="shared" si="6"/>
        <v>111</v>
      </c>
      <c r="R14" s="770" t="s">
        <v>17</v>
      </c>
      <c r="S14" s="771">
        <f t="shared" si="0"/>
        <v>100</v>
      </c>
      <c r="T14" s="770" t="s">
        <v>17</v>
      </c>
      <c r="U14" s="771">
        <f t="shared" si="1"/>
        <v>100</v>
      </c>
      <c r="V14" s="770" t="s">
        <v>17</v>
      </c>
      <c r="W14" s="771">
        <f t="shared" si="2"/>
        <v>100</v>
      </c>
      <c r="X14" s="772"/>
      <c r="Y14" s="3317"/>
      <c r="Z14" s="55">
        <f t="shared" si="7"/>
        <v>111</v>
      </c>
      <c r="AA14" s="773">
        <f t="shared" si="3"/>
        <v>1</v>
      </c>
      <c r="AB14" s="773">
        <f t="shared" si="4"/>
        <v>1</v>
      </c>
      <c r="AC14" s="773">
        <f t="shared" si="5"/>
        <v>1</v>
      </c>
    </row>
    <row r="15" spans="1:29" ht="57">
      <c r="A15" s="440" t="s">
        <v>2548</v>
      </c>
      <c r="B15" s="629" t="s">
        <v>2787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474" t="s">
        <v>2549</v>
      </c>
      <c r="Q15" s="1808" t="str">
        <f t="shared" si="6"/>
        <v>产业集聚程度</v>
      </c>
      <c r="R15" s="774" t="s">
        <v>17</v>
      </c>
      <c r="S15" s="775">
        <f t="shared" si="0"/>
        <v>100</v>
      </c>
      <c r="T15" s="774" t="s">
        <v>17</v>
      </c>
      <c r="U15" s="775">
        <f t="shared" si="1"/>
        <v>100</v>
      </c>
      <c r="V15" s="774" t="s">
        <v>17</v>
      </c>
      <c r="W15" s="775">
        <f t="shared" si="2"/>
        <v>100</v>
      </c>
      <c r="X15" s="1811"/>
      <c r="Y15" s="3474" t="s">
        <v>2549</v>
      </c>
      <c r="Z15" s="1812" t="str">
        <f t="shared" si="7"/>
        <v>产业集聚程度</v>
      </c>
      <c r="AA15" s="1809">
        <f t="shared" si="3"/>
        <v>1</v>
      </c>
      <c r="AB15" s="1809">
        <f t="shared" si="4"/>
        <v>1</v>
      </c>
      <c r="AC15" s="1809">
        <f t="shared" si="5"/>
        <v>1</v>
      </c>
    </row>
    <row r="16" spans="1:29" ht="15">
      <c r="A16" s="428"/>
      <c r="B16" s="630"/>
      <c r="C16" s="447"/>
      <c r="D16" s="448"/>
      <c r="E16" s="2600"/>
      <c r="F16" s="448"/>
      <c r="G16" s="2600"/>
      <c r="H16" s="450"/>
      <c r="I16" s="2600"/>
      <c r="J16" s="448"/>
      <c r="K16" s="672"/>
      <c r="L16" s="1139"/>
      <c r="M16" s="1130"/>
      <c r="N16" s="1130"/>
      <c r="O16" s="1138"/>
      <c r="P16" s="3475"/>
      <c r="Q16" s="1808"/>
      <c r="R16" s="774"/>
      <c r="S16" s="775"/>
      <c r="T16" s="774"/>
      <c r="U16" s="775"/>
      <c r="V16" s="774"/>
      <c r="W16" s="775"/>
      <c r="X16" s="1811"/>
      <c r="Y16" s="3475"/>
      <c r="Z16" s="1812"/>
      <c r="AA16" s="1809">
        <v>1</v>
      </c>
      <c r="AB16" s="1809">
        <v>1</v>
      </c>
      <c r="AC16" s="1809">
        <v>1</v>
      </c>
    </row>
    <row r="17" spans="1:29" ht="85.5">
      <c r="A17" s="428"/>
      <c r="B17" s="631" t="s">
        <v>2698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475"/>
      <c r="Q17" s="1808" t="str">
        <f>B17</f>
        <v>交通便捷度</v>
      </c>
      <c r="R17" s="774" t="s">
        <v>17</v>
      </c>
      <c r="S17" s="775">
        <f>F17</f>
        <v>100</v>
      </c>
      <c r="T17" s="774" t="s">
        <v>17</v>
      </c>
      <c r="U17" s="775">
        <f>H17</f>
        <v>100</v>
      </c>
      <c r="V17" s="774" t="s">
        <v>17</v>
      </c>
      <c r="W17" s="775">
        <f>J17</f>
        <v>100</v>
      </c>
      <c r="X17" s="1811"/>
      <c r="Y17" s="3475"/>
      <c r="Z17" s="1812" t="str">
        <f>Q17</f>
        <v>交通便捷度</v>
      </c>
      <c r="AA17" s="1809">
        <f t="shared" si="3"/>
        <v>1</v>
      </c>
      <c r="AB17" s="1809">
        <f t="shared" si="4"/>
        <v>1</v>
      </c>
      <c r="AC17" s="1809">
        <f t="shared" si="5"/>
        <v>1</v>
      </c>
    </row>
    <row r="18" spans="1:29" ht="15">
      <c r="A18" s="428"/>
      <c r="B18" s="632"/>
      <c r="C18" s="447"/>
      <c r="D18" s="448"/>
      <c r="E18" s="2594"/>
      <c r="F18" s="448"/>
      <c r="G18" s="2594"/>
      <c r="H18" s="448"/>
      <c r="I18" s="2593"/>
      <c r="J18" s="448"/>
      <c r="K18" s="672"/>
      <c r="L18" s="1139"/>
      <c r="M18" s="1130"/>
      <c r="N18" s="1130"/>
      <c r="O18" s="1138"/>
      <c r="P18" s="3475"/>
      <c r="Q18" s="1808"/>
      <c r="R18" s="774"/>
      <c r="S18" s="775"/>
      <c r="T18" s="774"/>
      <c r="U18" s="775"/>
      <c r="V18" s="774"/>
      <c r="W18" s="775"/>
      <c r="X18" s="1811"/>
      <c r="Y18" s="3475"/>
      <c r="Z18" s="1812"/>
      <c r="AA18" s="1809">
        <v>1</v>
      </c>
      <c r="AB18" s="1809">
        <v>1</v>
      </c>
      <c r="AC18" s="1809">
        <v>1</v>
      </c>
    </row>
    <row r="19" spans="1:29" ht="15">
      <c r="A19" s="428"/>
      <c r="B19" s="631" t="s">
        <v>2737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475"/>
      <c r="Q19" s="1808" t="str">
        <f t="shared" ref="Q19:Q33" si="8">B19</f>
        <v>区域土地利用方向</v>
      </c>
      <c r="R19" s="774" t="s">
        <v>17</v>
      </c>
      <c r="S19" s="775">
        <f>F19</f>
        <v>100</v>
      </c>
      <c r="T19" s="774" t="s">
        <v>17</v>
      </c>
      <c r="U19" s="775">
        <f>H19</f>
        <v>100</v>
      </c>
      <c r="V19" s="774" t="s">
        <v>17</v>
      </c>
      <c r="W19" s="775">
        <f>J19</f>
        <v>100</v>
      </c>
      <c r="X19" s="1811"/>
      <c r="Y19" s="3475"/>
      <c r="Z19" s="1812" t="str">
        <f>Q19</f>
        <v>区域土地利用方向</v>
      </c>
      <c r="AA19" s="1809">
        <f t="shared" si="3"/>
        <v>1</v>
      </c>
      <c r="AB19" s="1809">
        <f t="shared" si="4"/>
        <v>1</v>
      </c>
      <c r="AC19" s="1809">
        <f t="shared" si="5"/>
        <v>1</v>
      </c>
    </row>
    <row r="20" spans="1:29" ht="15">
      <c r="A20" s="404"/>
      <c r="B20" s="632"/>
      <c r="C20" s="447"/>
      <c r="D20" s="448"/>
      <c r="E20" s="2594"/>
      <c r="F20" s="448"/>
      <c r="G20" s="2594"/>
      <c r="H20" s="448"/>
      <c r="I20" s="2594"/>
      <c r="J20" s="448"/>
      <c r="K20" s="812"/>
      <c r="L20" s="1139"/>
      <c r="M20" s="1130"/>
      <c r="N20" s="1130"/>
      <c r="O20" s="1138"/>
      <c r="P20" s="3475"/>
      <c r="Q20" s="1808"/>
      <c r="R20" s="774"/>
      <c r="S20" s="775"/>
      <c r="T20" s="774"/>
      <c r="U20" s="775"/>
      <c r="V20" s="774"/>
      <c r="W20" s="775"/>
      <c r="X20" s="1811"/>
      <c r="Y20" s="3475"/>
      <c r="Z20" s="1812"/>
      <c r="AA20" s="1809"/>
      <c r="AB20" s="1809"/>
      <c r="AC20" s="1809"/>
    </row>
    <row r="21" spans="1:29" ht="71.25">
      <c r="A21" s="404"/>
      <c r="B21" s="631" t="s">
        <v>2788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475"/>
      <c r="Q21" s="1808" t="str">
        <f t="shared" si="8"/>
        <v>环境状况</v>
      </c>
      <c r="R21" s="774" t="s">
        <v>17</v>
      </c>
      <c r="S21" s="775">
        <f>F21</f>
        <v>100</v>
      </c>
      <c r="T21" s="774" t="s">
        <v>17</v>
      </c>
      <c r="U21" s="775">
        <f>H21</f>
        <v>100</v>
      </c>
      <c r="V21" s="774" t="s">
        <v>17</v>
      </c>
      <c r="W21" s="775">
        <f>J21</f>
        <v>100</v>
      </c>
      <c r="X21" s="1811"/>
      <c r="Y21" s="3475"/>
      <c r="Z21" s="1812" t="str">
        <f>Q21</f>
        <v>环境状况</v>
      </c>
      <c r="AA21" s="1809">
        <f t="shared" si="3"/>
        <v>1</v>
      </c>
      <c r="AB21" s="1809">
        <f t="shared" si="4"/>
        <v>1</v>
      </c>
      <c r="AC21" s="1809">
        <f t="shared" si="5"/>
        <v>1</v>
      </c>
    </row>
    <row r="22" spans="1:29" ht="15">
      <c r="A22" s="404"/>
      <c r="B22" s="632"/>
      <c r="C22" s="447"/>
      <c r="D22" s="448"/>
      <c r="E22" s="2600"/>
      <c r="F22" s="448"/>
      <c r="G22" s="2600"/>
      <c r="H22" s="448"/>
      <c r="I22" s="447"/>
      <c r="J22" s="448"/>
      <c r="K22" s="672"/>
      <c r="L22" s="1139"/>
      <c r="M22" s="1130"/>
      <c r="N22" s="1130"/>
      <c r="O22" s="1138"/>
      <c r="P22" s="3475"/>
      <c r="Q22" s="1808"/>
      <c r="R22" s="774"/>
      <c r="S22" s="775"/>
      <c r="T22" s="774"/>
      <c r="U22" s="775"/>
      <c r="V22" s="774"/>
      <c r="W22" s="775"/>
      <c r="X22" s="1811"/>
      <c r="Y22" s="3475"/>
      <c r="Z22" s="1812"/>
      <c r="AA22" s="1809">
        <v>1</v>
      </c>
      <c r="AB22" s="1809">
        <v>1</v>
      </c>
      <c r="AC22" s="1809">
        <v>1</v>
      </c>
    </row>
    <row r="23" spans="1:29" s="117" customFormat="1" ht="42.75">
      <c r="A23" s="649"/>
      <c r="B23" s="633" t="s">
        <v>2643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475"/>
      <c r="Q23" s="1793" t="str">
        <f t="shared" si="8"/>
        <v>公共配套设施</v>
      </c>
      <c r="R23" s="770" t="s">
        <v>17</v>
      </c>
      <c r="S23" s="771">
        <f>F23</f>
        <v>100</v>
      </c>
      <c r="T23" s="770" t="s">
        <v>17</v>
      </c>
      <c r="U23" s="771">
        <f>H23</f>
        <v>100</v>
      </c>
      <c r="V23" s="770" t="s">
        <v>17</v>
      </c>
      <c r="W23" s="771">
        <f>J23</f>
        <v>100</v>
      </c>
      <c r="X23" s="772"/>
      <c r="Y23" s="3475"/>
      <c r="Z23" s="55" t="str">
        <f>Q23</f>
        <v>公共配套设施</v>
      </c>
      <c r="AA23" s="1809">
        <f>D23/F23</f>
        <v>1</v>
      </c>
      <c r="AB23" s="1809">
        <f>D23/H23</f>
        <v>1</v>
      </c>
      <c r="AC23" s="1809">
        <f>D23/J23</f>
        <v>1</v>
      </c>
    </row>
    <row r="24" spans="1:29" s="117" customFormat="1" ht="15">
      <c r="A24" s="649"/>
      <c r="B24" s="632"/>
      <c r="C24" s="2689"/>
      <c r="D24" s="448"/>
      <c r="E24" s="2600"/>
      <c r="F24" s="448"/>
      <c r="G24" s="2600"/>
      <c r="H24" s="448"/>
      <c r="I24" s="447"/>
      <c r="J24" s="448"/>
      <c r="K24" s="672"/>
      <c r="L24" s="1131"/>
      <c r="M24" s="1132"/>
      <c r="N24" s="1132"/>
      <c r="O24" s="1133"/>
      <c r="P24" s="3475"/>
      <c r="Q24" s="1793"/>
      <c r="R24" s="770"/>
      <c r="S24" s="771"/>
      <c r="T24" s="770"/>
      <c r="U24" s="771"/>
      <c r="V24" s="770"/>
      <c r="W24" s="771"/>
      <c r="X24" s="772"/>
      <c r="Y24" s="3475"/>
      <c r="Z24" s="55"/>
      <c r="AA24" s="773">
        <v>1</v>
      </c>
      <c r="AB24" s="773">
        <v>1</v>
      </c>
      <c r="AC24" s="773">
        <v>1</v>
      </c>
    </row>
    <row r="25" spans="1:29" s="117" customFormat="1" ht="28.5">
      <c r="A25" s="649"/>
      <c r="B25" s="633" t="s">
        <v>2644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475"/>
      <c r="Q25" s="1793" t="str">
        <f t="shared" ref="Q25" si="9">B25</f>
        <v>基础设施水平</v>
      </c>
      <c r="R25" s="770" t="s">
        <v>17</v>
      </c>
      <c r="S25" s="771">
        <f>F25</f>
        <v>100</v>
      </c>
      <c r="T25" s="770" t="s">
        <v>17</v>
      </c>
      <c r="U25" s="771">
        <f>H25</f>
        <v>100</v>
      </c>
      <c r="V25" s="770" t="s">
        <v>17</v>
      </c>
      <c r="W25" s="771">
        <f>J25</f>
        <v>100</v>
      </c>
      <c r="X25" s="772"/>
      <c r="Y25" s="3475"/>
      <c r="Z25" s="55" t="str">
        <f>Q25</f>
        <v>基础设施水平</v>
      </c>
      <c r="AA25" s="1809">
        <f>D25/F25</f>
        <v>1</v>
      </c>
      <c r="AB25" s="1809">
        <f>D25/H25</f>
        <v>1</v>
      </c>
      <c r="AC25" s="1809">
        <f>D25/J25</f>
        <v>1</v>
      </c>
    </row>
    <row r="26" spans="1:29" s="117" customFormat="1" ht="15">
      <c r="A26" s="649"/>
      <c r="B26" s="632"/>
      <c r="C26" s="2689"/>
      <c r="D26" s="448"/>
      <c r="E26" s="2690"/>
      <c r="F26" s="448"/>
      <c r="G26" s="2690"/>
      <c r="H26" s="448"/>
      <c r="I26" s="2690"/>
      <c r="J26" s="448"/>
      <c r="K26" s="672"/>
      <c r="L26" s="1131"/>
      <c r="M26" s="1132"/>
      <c r="N26" s="1132"/>
      <c r="O26" s="1133"/>
      <c r="P26" s="3475"/>
      <c r="Q26" s="1793"/>
      <c r="R26" s="770"/>
      <c r="S26" s="771"/>
      <c r="T26" s="770"/>
      <c r="U26" s="771"/>
      <c r="V26" s="770"/>
      <c r="W26" s="771"/>
      <c r="X26" s="772"/>
      <c r="Y26" s="3475"/>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475"/>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475"/>
      <c r="Z27" s="1812" t="str">
        <f t="shared" ref="Z27:Z40" si="13">Q27</f>
        <v>临街状况</v>
      </c>
      <c r="AA27" s="1809">
        <f t="shared" si="3"/>
        <v>1</v>
      </c>
      <c r="AB27" s="1809">
        <f t="shared" si="4"/>
        <v>1</v>
      </c>
      <c r="AC27" s="1809">
        <f t="shared" si="5"/>
        <v>1</v>
      </c>
    </row>
    <row r="28" spans="1:29" ht="27">
      <c r="A28" s="428"/>
      <c r="B28" s="633" t="s">
        <v>2680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475"/>
      <c r="Q28" s="1808" t="str">
        <f t="shared" si="8"/>
        <v>毗邻道路的类型与等级</v>
      </c>
      <c r="R28" s="774" t="s">
        <v>17</v>
      </c>
      <c r="S28" s="775">
        <f t="shared" si="10"/>
        <v>100</v>
      </c>
      <c r="T28" s="774" t="s">
        <v>17</v>
      </c>
      <c r="U28" s="775">
        <f t="shared" si="11"/>
        <v>100</v>
      </c>
      <c r="V28" s="774" t="s">
        <v>17</v>
      </c>
      <c r="W28" s="775">
        <f t="shared" si="12"/>
        <v>100</v>
      </c>
      <c r="X28" s="1811"/>
      <c r="Y28" s="3475"/>
      <c r="Z28" s="1812" t="str">
        <f t="shared" si="13"/>
        <v>毗邻道路的类型与等级</v>
      </c>
      <c r="AA28" s="1809">
        <f t="shared" si="3"/>
        <v>1</v>
      </c>
      <c r="AB28" s="1809">
        <f t="shared" si="4"/>
        <v>1</v>
      </c>
      <c r="AC28" s="1809">
        <f t="shared" si="5"/>
        <v>1</v>
      </c>
    </row>
    <row r="29" spans="1:29" ht="15">
      <c r="A29" s="428"/>
      <c r="B29" s="632"/>
      <c r="C29" s="447"/>
      <c r="D29" s="448"/>
      <c r="E29" s="2600"/>
      <c r="F29" s="448"/>
      <c r="G29" s="2600"/>
      <c r="H29" s="448"/>
      <c r="I29" s="2600"/>
      <c r="J29" s="448"/>
      <c r="K29" s="613"/>
      <c r="L29" s="1139"/>
      <c r="M29" s="1130"/>
      <c r="N29" s="1130"/>
      <c r="O29" s="1138"/>
      <c r="P29" s="3475"/>
      <c r="Q29" s="1808"/>
      <c r="R29" s="774"/>
      <c r="S29" s="775"/>
      <c r="T29" s="774"/>
      <c r="U29" s="775"/>
      <c r="V29" s="774"/>
      <c r="W29" s="775"/>
      <c r="X29" s="1811"/>
      <c r="Y29" s="3475"/>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475"/>
      <c r="Q30" s="1808" t="str">
        <f t="shared" si="8"/>
        <v>土地级别</v>
      </c>
      <c r="R30" s="774" t="s">
        <v>17</v>
      </c>
      <c r="S30" s="775">
        <f t="shared" si="10"/>
        <v>100</v>
      </c>
      <c r="T30" s="774" t="s">
        <v>17</v>
      </c>
      <c r="U30" s="775">
        <f t="shared" si="11"/>
        <v>100</v>
      </c>
      <c r="V30" s="774" t="s">
        <v>17</v>
      </c>
      <c r="W30" s="775">
        <f t="shared" si="12"/>
        <v>100</v>
      </c>
      <c r="X30" s="1811"/>
      <c r="Y30" s="3475"/>
      <c r="Z30" s="1812" t="str">
        <f t="shared" si="13"/>
        <v>土地级别</v>
      </c>
      <c r="AA30" s="1809">
        <f t="shared" si="3"/>
        <v>1</v>
      </c>
      <c r="AB30" s="1809">
        <f t="shared" si="4"/>
        <v>1</v>
      </c>
      <c r="AC30" s="1809">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475"/>
      <c r="Q31" s="1808">
        <f t="shared" si="8"/>
        <v>111</v>
      </c>
      <c r="R31" s="774" t="s">
        <v>17</v>
      </c>
      <c r="S31" s="775">
        <f t="shared" si="10"/>
        <v>100</v>
      </c>
      <c r="T31" s="774" t="s">
        <v>17</v>
      </c>
      <c r="U31" s="775">
        <f t="shared" si="11"/>
        <v>100</v>
      </c>
      <c r="V31" s="774" t="s">
        <v>17</v>
      </c>
      <c r="W31" s="775">
        <f t="shared" si="12"/>
        <v>100</v>
      </c>
      <c r="X31" s="1811"/>
      <c r="Y31" s="3475"/>
      <c r="Z31" s="1812">
        <f t="shared" si="13"/>
        <v>111</v>
      </c>
      <c r="AA31" s="1809">
        <f t="shared" si="3"/>
        <v>1</v>
      </c>
      <c r="AB31" s="1809">
        <f t="shared" si="4"/>
        <v>1</v>
      </c>
      <c r="AC31" s="1809">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622" t="s">
        <v>2554</v>
      </c>
      <c r="Q32" s="1808">
        <f t="shared" si="8"/>
        <v>111</v>
      </c>
      <c r="R32" s="774" t="s">
        <v>17</v>
      </c>
      <c r="S32" s="775">
        <f t="shared" si="10"/>
        <v>100</v>
      </c>
      <c r="T32" s="774" t="s">
        <v>17</v>
      </c>
      <c r="U32" s="775">
        <f t="shared" si="11"/>
        <v>100</v>
      </c>
      <c r="V32" s="774" t="s">
        <v>17</v>
      </c>
      <c r="W32" s="775">
        <f t="shared" si="12"/>
        <v>100</v>
      </c>
      <c r="X32" s="1811"/>
      <c r="Y32" s="3467" t="s">
        <v>2554</v>
      </c>
      <c r="Z32" s="1812">
        <f t="shared" si="13"/>
        <v>111</v>
      </c>
      <c r="AA32" s="1809">
        <f t="shared" si="3"/>
        <v>1</v>
      </c>
      <c r="AB32" s="1809">
        <f t="shared" si="4"/>
        <v>1</v>
      </c>
      <c r="AC32" s="1809">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467"/>
      <c r="Q33" s="1808">
        <f t="shared" si="8"/>
        <v>111</v>
      </c>
      <c r="R33" s="777" t="s">
        <v>17</v>
      </c>
      <c r="S33" s="778">
        <f t="shared" si="10"/>
        <v>100</v>
      </c>
      <c r="T33" s="777" t="s">
        <v>17</v>
      </c>
      <c r="U33" s="778">
        <f t="shared" si="11"/>
        <v>100</v>
      </c>
      <c r="V33" s="777" t="s">
        <v>17</v>
      </c>
      <c r="W33" s="778">
        <f t="shared" si="12"/>
        <v>100</v>
      </c>
      <c r="X33" s="779"/>
      <c r="Y33" s="3467"/>
      <c r="Z33" s="780">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467"/>
      <c r="Q34" s="1808" t="str">
        <f>B34</f>
        <v>宗地面积</v>
      </c>
      <c r="R34" s="774" t="s">
        <v>17</v>
      </c>
      <c r="S34" s="775" t="e">
        <f t="shared" si="10"/>
        <v>#N/A</v>
      </c>
      <c r="T34" s="774" t="s">
        <v>17</v>
      </c>
      <c r="U34" s="775" t="e">
        <f t="shared" si="11"/>
        <v>#N/A</v>
      </c>
      <c r="V34" s="774" t="s">
        <v>17</v>
      </c>
      <c r="W34" s="775" t="e">
        <f t="shared" si="12"/>
        <v>#N/A</v>
      </c>
      <c r="X34" s="1811"/>
      <c r="Y34" s="3467"/>
      <c r="Z34" s="1812" t="str">
        <f t="shared" si="13"/>
        <v>宗地面积</v>
      </c>
      <c r="AA34" s="1809" t="e">
        <f t="shared" si="3"/>
        <v>#N/A</v>
      </c>
      <c r="AB34" s="1809" t="e">
        <f t="shared" si="4"/>
        <v>#N/A</v>
      </c>
      <c r="AC34" s="1809" t="e">
        <f t="shared" si="5"/>
        <v>#N/A</v>
      </c>
    </row>
    <row r="35" spans="1:29" ht="15">
      <c r="A35" s="472"/>
      <c r="B35" s="422" t="s">
        <v>2741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9"/>
      <c r="M35" s="1130"/>
      <c r="N35" s="1130"/>
      <c r="O35" s="1138"/>
      <c r="P35" s="3467"/>
      <c r="Q35" s="1808" t="str">
        <f t="shared" ref="Q35:Q40" si="14">B35</f>
        <v>宗地形状</v>
      </c>
      <c r="R35" s="774" t="s">
        <v>17</v>
      </c>
      <c r="S35" s="775">
        <f t="shared" si="10"/>
        <v>100</v>
      </c>
      <c r="T35" s="774" t="s">
        <v>17</v>
      </c>
      <c r="U35" s="775">
        <f t="shared" si="11"/>
        <v>100</v>
      </c>
      <c r="V35" s="774" t="s">
        <v>17</v>
      </c>
      <c r="W35" s="775">
        <f t="shared" si="12"/>
        <v>100</v>
      </c>
      <c r="X35" s="1811"/>
      <c r="Y35" s="3467"/>
      <c r="Z35" s="1812" t="str">
        <f t="shared" si="13"/>
        <v>宗地形状</v>
      </c>
      <c r="AA35" s="1809">
        <f t="shared" si="3"/>
        <v>1</v>
      </c>
      <c r="AB35" s="1809">
        <f t="shared" si="4"/>
        <v>1</v>
      </c>
      <c r="AC35" s="1809">
        <f t="shared" si="5"/>
        <v>1</v>
      </c>
    </row>
    <row r="36" spans="1:29" s="117" customFormat="1" ht="15">
      <c r="A36" s="473"/>
      <c r="B36" s="422" t="s">
        <v>2743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1"/>
      <c r="M36" s="1132"/>
      <c r="N36" s="1132"/>
      <c r="O36" s="1133"/>
      <c r="P36" s="3467"/>
      <c r="Q36" s="1808" t="str">
        <f t="shared" si="14"/>
        <v>宗地开发程度</v>
      </c>
      <c r="R36" s="770" t="s">
        <v>17</v>
      </c>
      <c r="S36" s="771">
        <f t="shared" si="10"/>
        <v>100</v>
      </c>
      <c r="T36" s="770" t="s">
        <v>17</v>
      </c>
      <c r="U36" s="771">
        <f t="shared" si="11"/>
        <v>100</v>
      </c>
      <c r="V36" s="770" t="s">
        <v>17</v>
      </c>
      <c r="W36" s="771">
        <f t="shared" si="12"/>
        <v>100</v>
      </c>
      <c r="X36" s="772"/>
      <c r="Y36" s="3467"/>
      <c r="Z36" s="55" t="str">
        <f t="shared" si="13"/>
        <v>宗地开发程度</v>
      </c>
      <c r="AA36" s="773">
        <f t="shared" si="3"/>
        <v>1</v>
      </c>
      <c r="AB36" s="773">
        <f t="shared" si="4"/>
        <v>1</v>
      </c>
      <c r="AC36" s="773">
        <f t="shared" si="5"/>
        <v>1</v>
      </c>
    </row>
    <row r="37" spans="1:29" ht="15">
      <c r="A37" s="472"/>
      <c r="B37" s="422" t="s">
        <v>2744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9"/>
      <c r="M37" s="1130"/>
      <c r="N37" s="1130"/>
      <c r="O37" s="1138"/>
      <c r="P37" s="3467" t="s">
        <v>2554</v>
      </c>
      <c r="Q37" s="1808" t="str">
        <f t="shared" si="14"/>
        <v>工程地质条件</v>
      </c>
      <c r="R37" s="774" t="s">
        <v>17</v>
      </c>
      <c r="S37" s="775">
        <f t="shared" si="10"/>
        <v>100</v>
      </c>
      <c r="T37" s="774" t="s">
        <v>17</v>
      </c>
      <c r="U37" s="775">
        <f t="shared" si="11"/>
        <v>100</v>
      </c>
      <c r="V37" s="774" t="s">
        <v>17</v>
      </c>
      <c r="W37" s="775">
        <f t="shared" si="12"/>
        <v>100</v>
      </c>
      <c r="X37" s="1811"/>
      <c r="Y37" s="3467"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467"/>
      <c r="Q38" s="1808">
        <f t="shared" si="14"/>
        <v>111</v>
      </c>
      <c r="R38" s="774" t="s">
        <v>17</v>
      </c>
      <c r="S38" s="775">
        <f t="shared" si="10"/>
        <v>100</v>
      </c>
      <c r="T38" s="774" t="s">
        <v>17</v>
      </c>
      <c r="U38" s="775">
        <f t="shared" si="11"/>
        <v>100</v>
      </c>
      <c r="V38" s="774" t="s">
        <v>17</v>
      </c>
      <c r="W38" s="775">
        <f t="shared" si="12"/>
        <v>100</v>
      </c>
      <c r="X38" s="1811"/>
      <c r="Y38" s="3467"/>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467"/>
      <c r="Q39" s="1808">
        <f t="shared" si="14"/>
        <v>111</v>
      </c>
      <c r="R39" s="774" t="s">
        <v>17</v>
      </c>
      <c r="S39" s="775">
        <f t="shared" si="10"/>
        <v>100</v>
      </c>
      <c r="T39" s="774" t="s">
        <v>17</v>
      </c>
      <c r="U39" s="775">
        <f t="shared" si="11"/>
        <v>100</v>
      </c>
      <c r="V39" s="774" t="s">
        <v>17</v>
      </c>
      <c r="W39" s="775">
        <f t="shared" si="12"/>
        <v>100</v>
      </c>
      <c r="X39" s="1811"/>
      <c r="Y39" s="3467"/>
      <c r="Z39" s="1812">
        <f t="shared" si="13"/>
        <v>111</v>
      </c>
      <c r="AA39" s="1809">
        <f t="shared" si="3"/>
        <v>1</v>
      </c>
      <c r="AB39" s="1809">
        <f t="shared" si="4"/>
        <v>1</v>
      </c>
      <c r="AC39" s="1809">
        <f t="shared" si="5"/>
        <v>1</v>
      </c>
    </row>
    <row r="40" spans="1:29" s="471" customFormat="1" ht="15.75" thickBot="1">
      <c r="A40" s="468"/>
      <c r="B40" s="1386">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467"/>
      <c r="Q40" s="1808">
        <f t="shared" si="14"/>
        <v>111</v>
      </c>
      <c r="R40" s="777" t="s">
        <v>17</v>
      </c>
      <c r="S40" s="778">
        <f t="shared" si="10"/>
        <v>100</v>
      </c>
      <c r="T40" s="777" t="s">
        <v>17</v>
      </c>
      <c r="U40" s="778">
        <f t="shared" si="11"/>
        <v>100</v>
      </c>
      <c r="V40" s="777" t="s">
        <v>17</v>
      </c>
      <c r="W40" s="778">
        <f t="shared" si="12"/>
        <v>100</v>
      </c>
      <c r="X40" s="779"/>
      <c r="Y40" s="3467"/>
      <c r="Z40" s="780">
        <f t="shared" si="13"/>
        <v>111</v>
      </c>
      <c r="AA40" s="1809">
        <f t="shared" si="3"/>
        <v>1</v>
      </c>
      <c r="AB40" s="1809">
        <f t="shared" si="4"/>
        <v>1</v>
      </c>
      <c r="AC40" s="1809">
        <f t="shared" si="5"/>
        <v>1</v>
      </c>
    </row>
    <row r="41" spans="1:29" ht="15">
      <c r="A41" s="479" t="s">
        <v>2709</v>
      </c>
      <c r="B41" s="2693" t="s">
        <v>2789</v>
      </c>
      <c r="C41" s="682" t="s">
        <v>1</v>
      </c>
      <c r="D41" s="481"/>
      <c r="E41" s="482"/>
      <c r="F41" s="483"/>
      <c r="G41" s="484"/>
      <c r="H41" s="485"/>
      <c r="I41" s="482"/>
      <c r="J41" s="485"/>
      <c r="K41" s="783"/>
      <c r="L41" s="1142"/>
      <c r="M41" s="1130"/>
      <c r="N41" s="1130"/>
      <c r="O41" s="1143"/>
      <c r="P41" s="3459" t="str">
        <f>A41</f>
        <v>成交单价</v>
      </c>
      <c r="Q41" s="3459"/>
      <c r="R41" s="3487">
        <f>E41</f>
        <v>0</v>
      </c>
      <c r="S41" s="3487"/>
      <c r="T41" s="3487">
        <f>G41</f>
        <v>0</v>
      </c>
      <c r="U41" s="3487"/>
      <c r="V41" s="3487">
        <f>I41</f>
        <v>0</v>
      </c>
      <c r="W41" s="3487"/>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459" t="str">
        <f>A42</f>
        <v>比较价值（元/平方米）</v>
      </c>
      <c r="Q42" s="3459"/>
      <c r="R42" s="3623" t="e">
        <f>ROUND(PRODUCT(R41,AA7:AA40),0)</f>
        <v>#DIV/0!</v>
      </c>
      <c r="S42" s="3623"/>
      <c r="T42" s="3623" t="e">
        <f>ROUND(PRODUCT(T41,AB7:AB40),0)</f>
        <v>#DIV/0!</v>
      </c>
      <c r="U42" s="3623"/>
      <c r="V42" s="3623" t="e">
        <f>ROUND(PRODUCT(V41,AC7:AC40),0)</f>
        <v>#DIV/0!</v>
      </c>
      <c r="W42" s="3623"/>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2"/>
      <c r="M43" s="1130"/>
      <c r="N43" s="1130"/>
      <c r="O43" s="1143"/>
      <c r="P43" s="3461" t="str">
        <f>A43</f>
        <v>估价对象XX用房的比较价值（楼面单价，元/平方米）</v>
      </c>
      <c r="Q43" s="3462"/>
      <c r="R43" s="3624" t="e">
        <f>ROUND(AVERAGE(R42:V42),0)</f>
        <v>#DIV/0!</v>
      </c>
      <c r="S43" s="3624"/>
      <c r="T43" s="3624"/>
      <c r="U43" s="3624"/>
      <c r="V43" s="3624"/>
      <c r="W43" s="362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2747</v>
      </c>
      <c r="B50" s="685" t="s">
        <v>2748</v>
      </c>
      <c r="C50" s="2694" t="s">
        <v>2749</v>
      </c>
      <c r="D50" s="2695" t="s">
        <v>2750</v>
      </c>
      <c r="E50" s="686" t="s">
        <v>2751</v>
      </c>
      <c r="F50" s="687" t="s">
        <v>2752</v>
      </c>
      <c r="G50" s="3491" t="s">
        <v>2753</v>
      </c>
      <c r="H50" s="3625"/>
      <c r="I50" s="1812" t="s">
        <v>2790</v>
      </c>
      <c r="J50" s="1812">
        <f>项目基本情况!F35</f>
        <v>0</v>
      </c>
      <c r="K50" s="2697" t="s">
        <v>2755</v>
      </c>
      <c r="L50" s="1105"/>
      <c r="M50" s="1143"/>
      <c r="N50" s="1143"/>
      <c r="O50" s="1143"/>
    </row>
    <row r="51" spans="1:17" s="692" customFormat="1">
      <c r="A51" s="688" t="s">
        <v>2756</v>
      </c>
      <c r="B51" s="689" t="e">
        <f>C43</f>
        <v>#DIV/0!</v>
      </c>
      <c r="C51" s="690">
        <v>1</v>
      </c>
      <c r="D51" s="1162">
        <v>1</v>
      </c>
      <c r="E51" s="690">
        <f>'数据-汇总表'!E8+'数据-汇总表'!E9</f>
        <v>20189.89</v>
      </c>
      <c r="F51" s="691" t="e">
        <f t="shared" ref="F51:F60" si="15">ROUND(B51*E51/10000,0)</f>
        <v>#DIV/0!</v>
      </c>
      <c r="G51" s="3471"/>
      <c r="H51" s="3459"/>
      <c r="I51" s="942">
        <v>1</v>
      </c>
      <c r="J51" s="942">
        <v>1</v>
      </c>
      <c r="K51" s="1144"/>
      <c r="L51" s="941"/>
      <c r="M51" s="941"/>
      <c r="N51" s="941"/>
      <c r="O51" s="941"/>
    </row>
    <row r="52" spans="1:17" s="692" customFormat="1">
      <c r="A52" s="693" t="s">
        <v>2757</v>
      </c>
      <c r="B52" s="262" t="e">
        <f>ROUND($C$43*C52*D52,0)</f>
        <v>#DIV/0!</v>
      </c>
      <c r="C52" s="200">
        <f t="shared" ref="C52:C60" si="16">IF($C$50="北京市系数",I52,J52)</f>
        <v>0.8</v>
      </c>
      <c r="D52" s="1163">
        <v>0.25</v>
      </c>
      <c r="E52" s="694"/>
      <c r="F52" s="691" t="e">
        <f t="shared" si="15"/>
        <v>#DIV/0!</v>
      </c>
      <c r="G52" s="3626" t="s">
        <v>2758</v>
      </c>
      <c r="H52" s="1103" t="str">
        <f>项目基本情况!B37</f>
        <v>二级</v>
      </c>
      <c r="I52" s="942">
        <f>SUMIF(修正!A45:A56,H52,修正!B45:B56)</f>
        <v>0.8</v>
      </c>
      <c r="J52" s="943"/>
      <c r="K52" s="1143"/>
      <c r="L52" s="941"/>
      <c r="M52" s="941"/>
      <c r="N52" s="941"/>
      <c r="O52" s="941"/>
    </row>
    <row r="53" spans="1:17" s="692" customFormat="1">
      <c r="A53" s="693" t="s">
        <v>2759</v>
      </c>
      <c r="B53" s="262" t="e">
        <f t="shared" ref="B53:B60" si="17">ROUND($C$43*C53*D53,0)</f>
        <v>#DIV/0!</v>
      </c>
      <c r="C53" s="200">
        <f t="shared" si="16"/>
        <v>0.5</v>
      </c>
      <c r="D53" s="1163">
        <v>0.25</v>
      </c>
      <c r="E53" s="694"/>
      <c r="F53" s="691" t="e">
        <f t="shared" si="15"/>
        <v>#DIV/0!</v>
      </c>
      <c r="G53" s="3626"/>
      <c r="H53" s="1103" t="str">
        <f>项目基本情况!B37</f>
        <v>二级</v>
      </c>
      <c r="I53" s="942">
        <f>SUMIF(修正!A45:A56,H53,修正!C45:C56)</f>
        <v>0.5</v>
      </c>
      <c r="J53" s="943"/>
      <c r="K53" s="1144"/>
      <c r="L53" s="941"/>
      <c r="M53" s="941"/>
      <c r="N53" s="941"/>
      <c r="O53" s="941"/>
    </row>
    <row r="54" spans="1:17" s="692" customFormat="1">
      <c r="A54" s="693" t="s">
        <v>2760</v>
      </c>
      <c r="B54" s="262" t="e">
        <f t="shared" si="17"/>
        <v>#DIV/0!</v>
      </c>
      <c r="C54" s="200">
        <f t="shared" si="16"/>
        <v>0.36</v>
      </c>
      <c r="D54" s="1163">
        <v>0.25</v>
      </c>
      <c r="E54" s="694"/>
      <c r="F54" s="691" t="e">
        <f t="shared" si="15"/>
        <v>#DIV/0!</v>
      </c>
      <c r="G54" s="3626"/>
      <c r="H54" s="1103" t="str">
        <f>项目基本情况!B37</f>
        <v>二级</v>
      </c>
      <c r="I54" s="942">
        <f>SUMIF(修正!A45:A56,H54,修正!D45:D56)</f>
        <v>0.36</v>
      </c>
      <c r="J54" s="943"/>
      <c r="K54" s="1143"/>
      <c r="L54" s="941"/>
      <c r="M54" s="941"/>
      <c r="N54" s="941"/>
      <c r="O54" s="941"/>
    </row>
    <row r="55" spans="1:17" s="692" customFormat="1">
      <c r="A55" s="693" t="s">
        <v>2761</v>
      </c>
      <c r="B55" s="262" t="e">
        <f t="shared" si="17"/>
        <v>#DIV/0!</v>
      </c>
      <c r="C55" s="200">
        <f t="shared" si="16"/>
        <v>0.3</v>
      </c>
      <c r="D55" s="1163">
        <v>0.25</v>
      </c>
      <c r="E55" s="694"/>
      <c r="F55" s="691" t="e">
        <f t="shared" si="15"/>
        <v>#DIV/0!</v>
      </c>
      <c r="G55" s="3626"/>
      <c r="H55" s="1103" t="str">
        <f>项目基本情况!B37</f>
        <v>二级</v>
      </c>
      <c r="I55" s="942">
        <f>SUMIF(修正!A45:A56,H55,修正!E45:E56)</f>
        <v>0.3</v>
      </c>
      <c r="J55" s="943"/>
      <c r="K55" s="1144"/>
      <c r="L55" s="941"/>
      <c r="M55" s="941"/>
      <c r="N55" s="941"/>
      <c r="O55" s="941"/>
    </row>
    <row r="56" spans="1:17" s="692" customFormat="1">
      <c r="A56" s="693" t="s">
        <v>2762</v>
      </c>
      <c r="B56" s="262" t="e">
        <f t="shared" si="17"/>
        <v>#DIV/0!</v>
      </c>
      <c r="C56" s="200">
        <f t="shared" si="16"/>
        <v>0.3</v>
      </c>
      <c r="D56" s="1163">
        <v>0.25</v>
      </c>
      <c r="E56" s="261">
        <f>'数据-汇总表'!E11</f>
        <v>794.62</v>
      </c>
      <c r="F56" s="691" t="e">
        <f t="shared" si="15"/>
        <v>#DIV/0!</v>
      </c>
      <c r="G56" s="2698" t="s">
        <v>2763</v>
      </c>
      <c r="H56" s="1103" t="str">
        <f>项目基本情况!C37</f>
        <v>二级</v>
      </c>
      <c r="I56" s="942">
        <f>SUMIF(修正!A45:A56,H56,修正!F45:F56)</f>
        <v>0.3</v>
      </c>
      <c r="J56" s="943"/>
      <c r="K56" s="1143"/>
      <c r="L56" s="941"/>
      <c r="M56" s="941"/>
      <c r="N56" s="941"/>
      <c r="O56" s="941"/>
    </row>
    <row r="57" spans="1:17" s="692" customFormat="1">
      <c r="A57" s="693" t="s">
        <v>2764</v>
      </c>
      <c r="B57" s="262" t="e">
        <f t="shared" si="17"/>
        <v>#DIV/0!</v>
      </c>
      <c r="C57" s="200">
        <f t="shared" si="16"/>
        <v>0.3</v>
      </c>
      <c r="D57" s="1163">
        <v>0.25</v>
      </c>
      <c r="E57" s="261">
        <f>'数据-汇总表'!E12</f>
        <v>0</v>
      </c>
      <c r="F57" s="691" t="e">
        <f t="shared" si="15"/>
        <v>#DIV/0!</v>
      </c>
      <c r="G57" s="1108" t="s">
        <v>2765</v>
      </c>
      <c r="H57" s="1103" t="str">
        <f>IF(G57="商业",项目基本情况!B37,IF(G57="办公",项目基本情况!C37,IF(G57="住宅",项目基本情况!D37,项目基本情况!E37)))</f>
        <v>二级</v>
      </c>
      <c r="I57" s="942">
        <f>SUMIF(修正!A45:A56,H57,修正!G45:G56)</f>
        <v>0.3</v>
      </c>
      <c r="J57" s="943"/>
      <c r="K57" s="1144"/>
      <c r="L57" s="941"/>
      <c r="M57" s="941"/>
      <c r="N57" s="941"/>
      <c r="O57" s="941"/>
    </row>
    <row r="58" spans="1:17" s="692" customFormat="1">
      <c r="A58" s="693" t="s">
        <v>2766</v>
      </c>
      <c r="B58" s="262" t="e">
        <f t="shared" si="17"/>
        <v>#DIV/0!</v>
      </c>
      <c r="C58" s="200">
        <f t="shared" si="16"/>
        <v>0.25</v>
      </c>
      <c r="D58" s="1163">
        <v>0.25</v>
      </c>
      <c r="E58" s="261">
        <f>'数据-汇总表'!E13</f>
        <v>3382.29</v>
      </c>
      <c r="F58" s="691" t="e">
        <f t="shared" si="15"/>
        <v>#DIV/0!</v>
      </c>
      <c r="G58" s="1108" t="s">
        <v>2767</v>
      </c>
      <c r="H58" s="1103" t="str">
        <f>IF(G58="商业",项目基本情况!B37,IF(G58="办公",项目基本情况!C37,IF(G58="住宅",项目基本情况!D37,项目基本情况!E37)))</f>
        <v>二级</v>
      </c>
      <c r="I58" s="942">
        <f>SUMIF(修正!A45:A56,H58,修正!H45:H56)</f>
        <v>0.25</v>
      </c>
      <c r="J58" s="943"/>
      <c r="K58" s="1143"/>
      <c r="L58" s="941"/>
      <c r="M58" s="941"/>
      <c r="N58" s="941"/>
      <c r="O58" s="941"/>
    </row>
    <row r="59" spans="1:17" s="692" customFormat="1">
      <c r="A59" s="693" t="s">
        <v>2768</v>
      </c>
      <c r="B59" s="262" t="e">
        <f t="shared" si="17"/>
        <v>#DIV/0!</v>
      </c>
      <c r="C59" s="200">
        <f t="shared" si="16"/>
        <v>0.25</v>
      </c>
      <c r="D59" s="1163">
        <v>0.25</v>
      </c>
      <c r="E59" s="261">
        <f>'数据-汇总表'!E14</f>
        <v>0</v>
      </c>
      <c r="F59" s="691" t="e">
        <f t="shared" si="15"/>
        <v>#DIV/0!</v>
      </c>
      <c r="G59" s="2698" t="s">
        <v>2758</v>
      </c>
      <c r="H59" s="1103" t="str">
        <f>项目基本情况!B37</f>
        <v>二级</v>
      </c>
      <c r="I59" s="942">
        <f>SUMIF(修正!A45:A56,H59,修正!H45:H56)</f>
        <v>0.25</v>
      </c>
      <c r="J59" s="943"/>
      <c r="K59" s="1144"/>
      <c r="L59" s="941"/>
      <c r="M59" s="941"/>
      <c r="N59" s="941"/>
      <c r="O59" s="941"/>
    </row>
    <row r="60" spans="1:17" s="692" customFormat="1" ht="15" thickBot="1">
      <c r="A60" s="693" t="s">
        <v>2769</v>
      </c>
      <c r="B60" s="262" t="e">
        <f t="shared" si="17"/>
        <v>#DIV/0!</v>
      </c>
      <c r="C60" s="200">
        <f t="shared" si="16"/>
        <v>0.25</v>
      </c>
      <c r="D60" s="1163">
        <v>0.25</v>
      </c>
      <c r="E60" s="261">
        <f>'数据-汇总表'!E15</f>
        <v>0</v>
      </c>
      <c r="F60" s="691" t="e">
        <f t="shared" si="15"/>
        <v>#DIV/0!</v>
      </c>
      <c r="G60" s="2699" t="s">
        <v>2763</v>
      </c>
      <c r="H60" s="1113" t="str">
        <f>项目基本情况!C37</f>
        <v>二级</v>
      </c>
      <c r="I60" s="942">
        <f>SUMIF(修正!A45:A56,H60,修正!H45:H56)</f>
        <v>0.25</v>
      </c>
      <c r="J60" s="943"/>
      <c r="K60" s="1143"/>
      <c r="L60" s="941"/>
      <c r="M60" s="941"/>
      <c r="N60" s="941"/>
      <c r="O60" s="941"/>
    </row>
    <row r="61" spans="1:17" s="692" customFormat="1" ht="15" thickBot="1">
      <c r="A61" s="695" t="s">
        <v>2770</v>
      </c>
      <c r="B61" s="696" t="s">
        <v>28</v>
      </c>
      <c r="C61" s="696" t="s">
        <v>29</v>
      </c>
      <c r="D61" s="696" t="s">
        <v>1026</v>
      </c>
      <c r="E61" s="696">
        <f>IF(B41="楼面地价",SUM(E51:E60),'数据-汇总表'!D3)</f>
        <v>9464.0400000000009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2663</v>
      </c>
      <c r="B64" s="759"/>
      <c r="C64" s="764"/>
      <c r="D64" s="764"/>
      <c r="E64" s="764"/>
      <c r="F64" s="765"/>
      <c r="G64" s="765"/>
      <c r="H64" s="764"/>
      <c r="I64" s="764"/>
      <c r="J64" s="764"/>
      <c r="K64" s="766"/>
      <c r="L64" s="767"/>
      <c r="M64" s="764"/>
      <c r="N64" s="764"/>
      <c r="O64" s="1158"/>
      <c r="P64" s="503"/>
      <c r="Q64" s="504"/>
    </row>
    <row r="65" spans="1:17" s="508" customFormat="1" ht="15">
      <c r="A65" s="2700" t="s">
        <v>2771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05" t="s">
        <v>2791</v>
      </c>
      <c r="B66" s="332" t="str">
        <f>"北京市平均增长率"&amp;TEXT('基准地价修正（办公）'!P24,"0.00%")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293" t="str">
        <f>IF(项目基本情况!B9="房地产市场价值","估价结果一览表","结果表-2")</f>
        <v>结果表-2</v>
      </c>
      <c r="B1" s="3293"/>
      <c r="C1" s="3293"/>
      <c r="D1" s="3293"/>
      <c r="E1" s="3293"/>
      <c r="F1" s="3293"/>
      <c r="G1" s="3293"/>
      <c r="H1" s="3293"/>
      <c r="I1" s="3293"/>
    </row>
    <row r="2" spans="1:9" ht="30" customHeight="1" thickTop="1">
      <c r="A2" s="3294" t="s">
        <v>1636</v>
      </c>
      <c r="B2" s="3294" t="s">
        <v>1637</v>
      </c>
      <c r="C2" s="3294" t="s">
        <v>1638</v>
      </c>
      <c r="D2" s="3294" t="str">
        <f>结果表!D116</f>
        <v>出让国有建设用地使用权价值</v>
      </c>
      <c r="E2" s="3294"/>
      <c r="F2" s="3294" t="str">
        <f>结果表!F116</f>
        <v>在建建筑物价值</v>
      </c>
      <c r="G2" s="3294"/>
      <c r="H2" s="3294" t="str">
        <f>IF(项目基本情况!B9="房地产市场价值","房地产市场价值","房地产价值")</f>
        <v>房地产价值</v>
      </c>
      <c r="I2" s="3294"/>
    </row>
    <row r="3" spans="1:9" ht="15">
      <c r="A3" s="3288"/>
      <c r="B3" s="3288"/>
      <c r="C3" s="3288"/>
      <c r="D3" s="1044" t="s">
        <v>1633</v>
      </c>
      <c r="E3" s="1044" t="s">
        <v>1639</v>
      </c>
      <c r="F3" s="1044" t="s">
        <v>1633</v>
      </c>
      <c r="G3" s="1044" t="s">
        <v>1634</v>
      </c>
      <c r="H3" s="1044" t="s">
        <v>1633</v>
      </c>
      <c r="I3" s="1044" t="s">
        <v>1634</v>
      </c>
    </row>
    <row r="4" spans="1:9" ht="30">
      <c r="A4" s="1970" t="str">
        <f>项目基本情况!S2</f>
        <v>北京市朝阳区朝阳公园西里北区5号房地产</v>
      </c>
      <c r="B4" s="1044">
        <f>项目基本情况!C17</f>
        <v>24747.89</v>
      </c>
      <c r="C4" s="1044">
        <f>项目基本情况!C18</f>
        <v>9464.0400000000009</v>
      </c>
      <c r="D4" s="1044">
        <f ca="1">结果表!D118</f>
        <v>103482</v>
      </c>
      <c r="E4" s="1044">
        <f ca="1">结果表!E118</f>
        <v>51254</v>
      </c>
      <c r="F4" s="1044">
        <f ca="1">结果表!F118</f>
        <v>58716</v>
      </c>
      <c r="G4" s="1044">
        <f ca="1">结果表!G118</f>
        <v>29082</v>
      </c>
      <c r="H4" s="1044">
        <f ca="1">结果表!H118</f>
        <v>162198</v>
      </c>
      <c r="I4" s="1044">
        <f ca="1">结果表!I118</f>
        <v>80336</v>
      </c>
    </row>
    <row r="5" spans="1:9" ht="30" customHeight="1">
      <c r="A5" s="3288" t="s">
        <v>1635</v>
      </c>
      <c r="B5" s="3288"/>
      <c r="C5" s="3288"/>
      <c r="D5" s="3289" t="str">
        <f ca="1">结果表!D119</f>
        <v>壹拾亿叁仟肆佰捌拾贰万元整</v>
      </c>
      <c r="E5" s="3289"/>
      <c r="F5" s="3289" t="str">
        <f ca="1">结果表!F119</f>
        <v>伍亿捌仟柒佰壹拾陆万元整</v>
      </c>
      <c r="G5" s="3289"/>
      <c r="H5" s="3289" t="str">
        <f ca="1">结果表!H119</f>
        <v>壹拾陆亿贰仟壹佰玖拾捌万元整</v>
      </c>
      <c r="I5" s="3289"/>
    </row>
    <row r="6" spans="1:9" ht="15.75">
      <c r="A6" s="3287" t="str">
        <f>结果表!A120</f>
        <v>估价师知悉的法定优先受偿款</v>
      </c>
      <c r="B6" s="3287"/>
      <c r="C6" s="3287"/>
      <c r="D6" s="3287">
        <f>结果表!D120</f>
        <v>0</v>
      </c>
      <c r="E6" s="3287"/>
      <c r="F6" s="3287"/>
      <c r="G6" s="3287"/>
      <c r="H6" s="3287"/>
      <c r="I6" s="3287"/>
    </row>
    <row r="7" spans="1:9" ht="15">
      <c r="A7" s="3288" t="s">
        <v>1635</v>
      </c>
      <c r="B7" s="3288"/>
      <c r="C7" s="3288"/>
      <c r="D7" s="3290" t="str">
        <f>结果表!D121</f>
        <v>零元整</v>
      </c>
      <c r="E7" s="3291"/>
      <c r="F7" s="3291"/>
      <c r="G7" s="3291"/>
      <c r="H7" s="3291"/>
      <c r="I7" s="3292"/>
    </row>
    <row r="8" spans="1:9" ht="15.75">
      <c r="A8" s="3287" t="str">
        <f>结果表!A122</f>
        <v>房地产抵押价值</v>
      </c>
      <c r="B8" s="3287"/>
      <c r="C8" s="3287"/>
      <c r="D8" s="3287">
        <f ca="1">结果表!D122</f>
        <v>162198</v>
      </c>
      <c r="E8" s="3287"/>
      <c r="F8" s="3287"/>
      <c r="G8" s="3287"/>
      <c r="H8" s="3287"/>
      <c r="I8" s="3287"/>
    </row>
    <row r="9" spans="1:9" ht="15">
      <c r="A9" s="3288" t="s">
        <v>1635</v>
      </c>
      <c r="B9" s="3288"/>
      <c r="C9" s="3288"/>
      <c r="D9" s="3289" t="str">
        <f ca="1">结果表!D123</f>
        <v>壹拾陆亿贰仟壹佰玖拾捌万元整</v>
      </c>
      <c r="E9" s="3289"/>
      <c r="F9" s="3289"/>
      <c r="G9" s="3289"/>
      <c r="H9" s="3289"/>
      <c r="I9" s="3289"/>
    </row>
    <row r="10" spans="1:9" ht="15.75">
      <c r="A10" s="3287" t="str">
        <f>结果表!A124</f>
        <v/>
      </c>
      <c r="B10" s="3287"/>
      <c r="C10" s="3287"/>
      <c r="D10" s="3287" t="str">
        <f>结果表!D124</f>
        <v>——</v>
      </c>
      <c r="E10" s="3287"/>
      <c r="F10" s="3287"/>
      <c r="G10" s="3287"/>
      <c r="H10" s="3287"/>
      <c r="I10" s="3287"/>
    </row>
    <row r="11" spans="1:9" ht="15">
      <c r="A11" s="3288" t="s">
        <v>1635</v>
      </c>
      <c r="B11" s="3288"/>
      <c r="C11" s="3288"/>
      <c r="D11" s="3289" t="e">
        <f>结果表!D125</f>
        <v>#VALUE!</v>
      </c>
      <c r="E11" s="3289"/>
      <c r="F11" s="3289"/>
      <c r="G11" s="3289"/>
      <c r="H11" s="3289"/>
      <c r="I11" s="3289"/>
    </row>
    <row r="12" spans="1:9" ht="15.75">
      <c r="A12" s="3287" t="str">
        <f>结果表!A126</f>
        <v/>
      </c>
      <c r="B12" s="3287"/>
      <c r="C12" s="3287"/>
      <c r="D12" s="3287" t="str">
        <f>结果表!D126</f>
        <v>——</v>
      </c>
      <c r="E12" s="3287"/>
      <c r="F12" s="3287"/>
      <c r="G12" s="3287"/>
      <c r="H12" s="3287"/>
      <c r="I12" s="3287"/>
    </row>
    <row r="13" spans="1:9" ht="15.75" thickBot="1">
      <c r="A13" s="3284" t="s">
        <v>1635</v>
      </c>
      <c r="B13" s="3284"/>
      <c r="C13" s="3284"/>
      <c r="D13" s="3285" t="e">
        <f>结果表!D127</f>
        <v>#VALUE!</v>
      </c>
      <c r="E13" s="3285"/>
      <c r="F13" s="3285"/>
      <c r="G13" s="3285"/>
      <c r="H13" s="3285"/>
      <c r="I13" s="3285"/>
    </row>
    <row r="14" spans="1:9" ht="15" thickTop="1">
      <c r="A14" s="3286" t="s">
        <v>1640</v>
      </c>
      <c r="B14" s="3286"/>
      <c r="C14" s="3286"/>
      <c r="D14" s="3286"/>
      <c r="E14" s="3286"/>
      <c r="F14" s="3286"/>
      <c r="G14" s="3286"/>
      <c r="H14" s="3286"/>
      <c r="I14" s="3286"/>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31" t="s">
        <v>183</v>
      </c>
      <c r="B18" s="882" t="s">
        <v>560</v>
      </c>
      <c r="C18" s="883" t="s">
        <v>561</v>
      </c>
      <c r="D18" s="884"/>
      <c r="E18" s="882">
        <v>1</v>
      </c>
      <c r="F18" s="885" t="s">
        <v>562</v>
      </c>
      <c r="G18" s="886"/>
      <c r="H18" s="878"/>
      <c r="I18" s="878"/>
    </row>
    <row r="19" spans="1:9" s="887" customFormat="1" ht="19.5" customHeight="1">
      <c r="A19" s="3631"/>
      <c r="B19" s="3631" t="s">
        <v>563</v>
      </c>
      <c r="C19" s="883" t="s">
        <v>564</v>
      </c>
      <c r="D19" s="884"/>
      <c r="E19" s="882">
        <v>0.9</v>
      </c>
      <c r="F19" s="885" t="s">
        <v>565</v>
      </c>
      <c r="G19" s="886"/>
      <c r="H19" s="878"/>
      <c r="I19" s="878"/>
    </row>
    <row r="20" spans="1:9" s="887" customFormat="1" ht="19.5" customHeight="1">
      <c r="A20" s="3631"/>
      <c r="B20" s="3631"/>
      <c r="C20" s="883" t="s">
        <v>566</v>
      </c>
      <c r="D20" s="884"/>
      <c r="E20" s="882">
        <v>1.1000000000000001</v>
      </c>
      <c r="F20" s="885" t="s">
        <v>567</v>
      </c>
      <c r="G20" s="886"/>
      <c r="H20" s="878"/>
      <c r="I20" s="878"/>
    </row>
    <row r="21" spans="1:9" s="887" customFormat="1" ht="19.5" customHeight="1">
      <c r="A21" s="3631"/>
      <c r="B21" s="3631"/>
      <c r="C21" s="883" t="s">
        <v>568</v>
      </c>
      <c r="D21" s="884"/>
      <c r="E21" s="882">
        <v>0.8</v>
      </c>
      <c r="F21" s="885" t="s">
        <v>569</v>
      </c>
      <c r="G21" s="886"/>
      <c r="H21" s="878"/>
      <c r="I21" s="878"/>
    </row>
    <row r="22" spans="1:9" s="887" customFormat="1" ht="19.5" customHeight="1">
      <c r="A22" s="3631"/>
      <c r="B22" s="3631"/>
      <c r="C22" s="883" t="s">
        <v>570</v>
      </c>
      <c r="D22" s="884"/>
      <c r="E22" s="882">
        <v>0.5</v>
      </c>
      <c r="F22" s="885"/>
      <c r="G22" s="886"/>
      <c r="H22" s="878"/>
      <c r="I22" s="878"/>
    </row>
    <row r="23" spans="1:9" s="887" customFormat="1" ht="19.5" customHeight="1">
      <c r="A23" s="3631" t="s">
        <v>184</v>
      </c>
      <c r="B23" s="882" t="s">
        <v>560</v>
      </c>
      <c r="C23" s="883" t="s">
        <v>571</v>
      </c>
      <c r="D23" s="884"/>
      <c r="E23" s="882">
        <v>1</v>
      </c>
      <c r="F23" s="885" t="s">
        <v>572</v>
      </c>
      <c r="G23" s="886"/>
      <c r="H23" s="878"/>
      <c r="I23" s="878"/>
    </row>
    <row r="24" spans="1:9" s="887" customFormat="1" ht="19.5" customHeight="1">
      <c r="A24" s="3631"/>
      <c r="B24" s="3631" t="s">
        <v>563</v>
      </c>
      <c r="C24" s="883" t="s">
        <v>573</v>
      </c>
      <c r="D24" s="884"/>
      <c r="E24" s="882">
        <v>0.5</v>
      </c>
      <c r="F24" s="885"/>
      <c r="G24" s="886"/>
      <c r="H24" s="878"/>
      <c r="I24" s="878"/>
    </row>
    <row r="25" spans="1:9" s="887" customFormat="1" ht="19.5" customHeight="1">
      <c r="A25" s="3631"/>
      <c r="B25" s="3631"/>
      <c r="C25" s="883" t="s">
        <v>574</v>
      </c>
      <c r="D25" s="884"/>
      <c r="E25" s="882">
        <v>1.1000000000000001</v>
      </c>
      <c r="F25" s="885"/>
      <c r="G25" s="886"/>
      <c r="H25" s="878"/>
      <c r="I25" s="878"/>
    </row>
    <row r="26" spans="1:9" s="887" customFormat="1" ht="19.5" customHeight="1">
      <c r="A26" s="3631"/>
      <c r="B26" s="3631"/>
      <c r="C26" s="883" t="s">
        <v>575</v>
      </c>
      <c r="D26" s="884"/>
      <c r="E26" s="882">
        <v>1.1000000000000001</v>
      </c>
      <c r="F26" s="885"/>
      <c r="G26" s="886"/>
      <c r="H26" s="878"/>
      <c r="I26" s="878"/>
    </row>
    <row r="27" spans="1:9" s="887" customFormat="1" ht="19.5" customHeight="1">
      <c r="A27" s="3631"/>
      <c r="B27" s="3631"/>
      <c r="C27" s="883" t="s">
        <v>576</v>
      </c>
      <c r="D27" s="884"/>
      <c r="E27" s="882">
        <v>0.9</v>
      </c>
      <c r="F27" s="885" t="s">
        <v>577</v>
      </c>
      <c r="G27" s="886"/>
      <c r="H27" s="878"/>
      <c r="I27" s="878"/>
    </row>
    <row r="28" spans="1:9" s="887" customFormat="1" ht="19.5" customHeight="1">
      <c r="A28" s="3631"/>
      <c r="B28" s="3631"/>
      <c r="C28" s="883" t="s">
        <v>578</v>
      </c>
      <c r="D28" s="884"/>
      <c r="E28" s="882">
        <v>0.9</v>
      </c>
      <c r="F28" s="885" t="s">
        <v>579</v>
      </c>
      <c r="G28" s="886"/>
      <c r="H28" s="878"/>
      <c r="I28" s="878"/>
    </row>
    <row r="29" spans="1:9" s="887" customFormat="1" ht="19.5" customHeight="1">
      <c r="A29" s="3631"/>
      <c r="B29" s="3631"/>
      <c r="C29" s="883" t="s">
        <v>580</v>
      </c>
      <c r="D29" s="884"/>
      <c r="E29" s="882">
        <v>0.9</v>
      </c>
      <c r="F29" s="885" t="s">
        <v>581</v>
      </c>
      <c r="G29" s="886"/>
      <c r="H29" s="878"/>
      <c r="I29" s="878"/>
    </row>
    <row r="30" spans="1:9" s="887" customFormat="1" ht="19.5" customHeight="1">
      <c r="A30" s="3631"/>
      <c r="B30" s="3631"/>
      <c r="C30" s="883" t="s">
        <v>582</v>
      </c>
      <c r="D30" s="884"/>
      <c r="E30" s="882">
        <v>0.9</v>
      </c>
      <c r="F30" s="885" t="s">
        <v>583</v>
      </c>
      <c r="G30" s="886"/>
      <c r="H30" s="878"/>
      <c r="I30" s="878"/>
    </row>
    <row r="31" spans="1:9" s="887" customFormat="1" ht="19.5" customHeight="1">
      <c r="A31" s="3631"/>
      <c r="B31" s="3631"/>
      <c r="C31" s="883" t="s">
        <v>584</v>
      </c>
      <c r="D31" s="884"/>
      <c r="E31" s="882">
        <v>0.8</v>
      </c>
      <c r="F31" s="885" t="s">
        <v>585</v>
      </c>
      <c r="G31" s="886"/>
      <c r="H31" s="878"/>
      <c r="I31" s="878"/>
    </row>
    <row r="32" spans="1:9" s="887" customFormat="1" ht="19.5" customHeight="1">
      <c r="A32" s="3631"/>
      <c r="B32" s="3631"/>
      <c r="C32" s="883" t="s">
        <v>586</v>
      </c>
      <c r="D32" s="884"/>
      <c r="E32" s="882">
        <v>0.8</v>
      </c>
      <c r="F32" s="885" t="s">
        <v>587</v>
      </c>
      <c r="G32" s="886"/>
      <c r="H32" s="878"/>
      <c r="I32" s="878"/>
    </row>
    <row r="33" spans="1:9" s="887" customFormat="1" ht="19.5" customHeight="1">
      <c r="A33" s="3631" t="s">
        <v>185</v>
      </c>
      <c r="B33" s="882" t="s">
        <v>560</v>
      </c>
      <c r="C33" s="883" t="s">
        <v>588</v>
      </c>
      <c r="D33" s="884"/>
      <c r="E33" s="882">
        <v>1</v>
      </c>
      <c r="F33" s="885" t="s">
        <v>589</v>
      </c>
      <c r="G33" s="886"/>
      <c r="H33" s="878"/>
      <c r="I33" s="878"/>
    </row>
    <row r="34" spans="1:9" s="887" customFormat="1" ht="19.5" customHeight="1">
      <c r="A34" s="3631"/>
      <c r="B34" s="882" t="s">
        <v>563</v>
      </c>
      <c r="C34" s="883" t="s">
        <v>590</v>
      </c>
      <c r="D34" s="884"/>
      <c r="E34" s="882">
        <v>1.5</v>
      </c>
      <c r="F34" s="885" t="s">
        <v>591</v>
      </c>
      <c r="G34" s="886"/>
      <c r="H34" s="878"/>
      <c r="I34" s="878"/>
    </row>
    <row r="35" spans="1:9" s="887" customFormat="1" ht="19.5" customHeight="1">
      <c r="A35" s="3631" t="s">
        <v>186</v>
      </c>
      <c r="B35" s="882" t="s">
        <v>560</v>
      </c>
      <c r="C35" s="883" t="s">
        <v>592</v>
      </c>
      <c r="D35" s="884"/>
      <c r="E35" s="882">
        <v>1</v>
      </c>
      <c r="F35" s="885" t="s">
        <v>593</v>
      </c>
      <c r="G35" s="886"/>
      <c r="H35" s="878"/>
      <c r="I35" s="878"/>
    </row>
    <row r="36" spans="1:9" s="887" customFormat="1" ht="19.5" customHeight="1">
      <c r="A36" s="3631"/>
      <c r="B36" s="3631" t="s">
        <v>563</v>
      </c>
      <c r="C36" s="883" t="s">
        <v>594</v>
      </c>
      <c r="D36" s="884"/>
      <c r="E36" s="882">
        <v>1</v>
      </c>
      <c r="F36" s="885" t="s">
        <v>595</v>
      </c>
      <c r="G36" s="886"/>
      <c r="H36" s="878"/>
      <c r="I36" s="878"/>
    </row>
    <row r="37" spans="1:9" s="887" customFormat="1" ht="19.5" customHeight="1">
      <c r="A37" s="3631"/>
      <c r="B37" s="3631"/>
      <c r="C37" s="883" t="s">
        <v>596</v>
      </c>
      <c r="D37" s="884"/>
      <c r="E37" s="882">
        <v>1.5</v>
      </c>
      <c r="F37" s="885" t="s">
        <v>597</v>
      </c>
      <c r="G37" s="886"/>
      <c r="H37" s="878"/>
      <c r="I37" s="878"/>
    </row>
    <row r="38" spans="1:9" s="887" customFormat="1" ht="19.5" customHeight="1">
      <c r="A38" s="3631"/>
      <c r="B38" s="3631"/>
      <c r="C38" s="883" t="s">
        <v>598</v>
      </c>
      <c r="D38" s="884"/>
      <c r="E38" s="882">
        <v>1</v>
      </c>
      <c r="F38" s="885" t="s">
        <v>599</v>
      </c>
      <c r="G38" s="886"/>
      <c r="H38" s="878"/>
      <c r="I38" s="878"/>
    </row>
    <row r="39" spans="1:9" s="887" customFormat="1" ht="19.5" customHeight="1">
      <c r="A39" s="3631"/>
      <c r="B39" s="36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631" t="s">
        <v>614</v>
      </c>
      <c r="C61" s="818" t="s">
        <v>615</v>
      </c>
      <c r="D61" s="818" t="s">
        <v>616</v>
      </c>
      <c r="E61" s="895">
        <v>0.5</v>
      </c>
      <c r="F61" s="882">
        <v>80</v>
      </c>
    </row>
    <row r="62" spans="1:8" s="878" customFormat="1" ht="24">
      <c r="A62" s="882">
        <v>2</v>
      </c>
      <c r="B62" s="3631"/>
      <c r="C62" s="818" t="s">
        <v>617</v>
      </c>
      <c r="D62" s="818" t="s">
        <v>618</v>
      </c>
      <c r="E62" s="895">
        <v>0.5</v>
      </c>
      <c r="F62" s="882">
        <v>80</v>
      </c>
    </row>
    <row r="63" spans="1:8" s="878" customFormat="1" ht="36">
      <c r="A63" s="882">
        <v>3</v>
      </c>
      <c r="B63" s="3631"/>
      <c r="C63" s="818" t="s">
        <v>619</v>
      </c>
      <c r="D63" s="818" t="s">
        <v>620</v>
      </c>
      <c r="E63" s="895">
        <v>0.5</v>
      </c>
      <c r="F63" s="882">
        <v>80</v>
      </c>
    </row>
    <row r="64" spans="1:8" s="878" customFormat="1" ht="36">
      <c r="A64" s="882">
        <v>4</v>
      </c>
      <c r="B64" s="3631"/>
      <c r="C64" s="818" t="s">
        <v>621</v>
      </c>
      <c r="D64" s="818" t="s">
        <v>622</v>
      </c>
      <c r="E64" s="895">
        <v>0.4</v>
      </c>
      <c r="F64" s="882">
        <v>60</v>
      </c>
    </row>
    <row r="65" spans="1:6" s="878" customFormat="1" ht="36">
      <c r="A65" s="882">
        <v>5</v>
      </c>
      <c r="B65" s="3631"/>
      <c r="C65" s="818" t="s">
        <v>623</v>
      </c>
      <c r="D65" s="818" t="s">
        <v>624</v>
      </c>
      <c r="E65" s="895">
        <v>0.2</v>
      </c>
      <c r="F65" s="882">
        <v>30</v>
      </c>
    </row>
    <row r="66" spans="1:6" s="878" customFormat="1" ht="36">
      <c r="A66" s="882">
        <v>6</v>
      </c>
      <c r="B66" s="3631"/>
      <c r="C66" s="818" t="s">
        <v>625</v>
      </c>
      <c r="D66" s="818" t="s">
        <v>626</v>
      </c>
      <c r="E66" s="895">
        <v>0.3</v>
      </c>
      <c r="F66" s="882">
        <v>50</v>
      </c>
    </row>
    <row r="67" spans="1:6" s="878" customFormat="1" ht="36">
      <c r="A67" s="882">
        <v>7</v>
      </c>
      <c r="B67" s="3631"/>
      <c r="C67" s="818" t="s">
        <v>627</v>
      </c>
      <c r="D67" s="818" t="s">
        <v>628</v>
      </c>
      <c r="E67" s="895">
        <v>0.2</v>
      </c>
      <c r="F67" s="882">
        <v>30</v>
      </c>
    </row>
    <row r="68" spans="1:6" s="878" customFormat="1" ht="36">
      <c r="A68" s="882">
        <v>8</v>
      </c>
      <c r="B68" s="3631"/>
      <c r="C68" s="818" t="s">
        <v>629</v>
      </c>
      <c r="D68" s="818" t="s">
        <v>630</v>
      </c>
      <c r="E68" s="895">
        <v>0.2</v>
      </c>
      <c r="F68" s="882">
        <v>30</v>
      </c>
    </row>
    <row r="69" spans="1:6" s="878" customFormat="1" ht="36">
      <c r="A69" s="882">
        <v>9</v>
      </c>
      <c r="B69" s="3631"/>
      <c r="C69" s="818" t="s">
        <v>631</v>
      </c>
      <c r="D69" s="818" t="s">
        <v>632</v>
      </c>
      <c r="E69" s="895">
        <v>0.2</v>
      </c>
      <c r="F69" s="882">
        <v>30</v>
      </c>
    </row>
    <row r="70" spans="1:6" s="878" customFormat="1" ht="48">
      <c r="A70" s="882">
        <v>10</v>
      </c>
      <c r="B70" s="3631"/>
      <c r="C70" s="818" t="s">
        <v>633</v>
      </c>
      <c r="D70" s="818" t="s">
        <v>634</v>
      </c>
      <c r="E70" s="895">
        <v>0.2</v>
      </c>
      <c r="F70" s="882">
        <v>30</v>
      </c>
    </row>
    <row r="71" spans="1:6" s="878" customFormat="1" ht="48">
      <c r="A71" s="882">
        <v>11</v>
      </c>
      <c r="B71" s="3631"/>
      <c r="C71" s="818" t="s">
        <v>635</v>
      </c>
      <c r="D71" s="818" t="s">
        <v>636</v>
      </c>
      <c r="E71" s="895">
        <v>0.2</v>
      </c>
      <c r="F71" s="882">
        <v>30</v>
      </c>
    </row>
    <row r="72" spans="1:6" s="878" customFormat="1" ht="36">
      <c r="A72" s="882">
        <v>12</v>
      </c>
      <c r="B72" s="3631"/>
      <c r="C72" s="818" t="s">
        <v>637</v>
      </c>
      <c r="D72" s="818" t="s">
        <v>638</v>
      </c>
      <c r="E72" s="895">
        <v>0.5</v>
      </c>
      <c r="F72" s="882">
        <v>80</v>
      </c>
    </row>
    <row r="73" spans="1:6" s="878" customFormat="1" ht="24">
      <c r="A73" s="882">
        <v>13</v>
      </c>
      <c r="B73" s="3631"/>
      <c r="C73" s="818" t="s">
        <v>639</v>
      </c>
      <c r="D73" s="818" t="s">
        <v>640</v>
      </c>
      <c r="E73" s="895">
        <v>0.4</v>
      </c>
      <c r="F73" s="882">
        <v>60</v>
      </c>
    </row>
    <row r="74" spans="1:6" s="878" customFormat="1" ht="24">
      <c r="A74" s="882">
        <v>14</v>
      </c>
      <c r="B74" s="3631"/>
      <c r="C74" s="818" t="s">
        <v>641</v>
      </c>
      <c r="D74" s="818" t="s">
        <v>642</v>
      </c>
      <c r="E74" s="895">
        <v>0.2</v>
      </c>
      <c r="F74" s="882">
        <v>30</v>
      </c>
    </row>
    <row r="75" spans="1:6" s="878" customFormat="1" ht="24">
      <c r="A75" s="882">
        <v>15</v>
      </c>
      <c r="B75" s="3631"/>
      <c r="C75" s="818" t="s">
        <v>643</v>
      </c>
      <c r="D75" s="818" t="s">
        <v>644</v>
      </c>
      <c r="E75" s="895">
        <v>0.2</v>
      </c>
      <c r="F75" s="882">
        <v>30</v>
      </c>
    </row>
    <row r="76" spans="1:6" s="878" customFormat="1" ht="24">
      <c r="A76" s="882">
        <v>16</v>
      </c>
      <c r="B76" s="3631" t="s">
        <v>645</v>
      </c>
      <c r="C76" s="818" t="s">
        <v>646</v>
      </c>
      <c r="D76" s="818" t="s">
        <v>647</v>
      </c>
      <c r="E76" s="895">
        <v>0.5</v>
      </c>
      <c r="F76" s="882">
        <v>80</v>
      </c>
    </row>
    <row r="77" spans="1:6" s="878" customFormat="1" ht="24">
      <c r="A77" s="882">
        <v>17</v>
      </c>
      <c r="B77" s="3631"/>
      <c r="C77" s="818" t="s">
        <v>648</v>
      </c>
      <c r="D77" s="818" t="s">
        <v>649</v>
      </c>
      <c r="E77" s="895">
        <v>0.5</v>
      </c>
      <c r="F77" s="882">
        <v>80</v>
      </c>
    </row>
    <row r="78" spans="1:6" s="878" customFormat="1" ht="24">
      <c r="A78" s="882">
        <v>18</v>
      </c>
      <c r="B78" s="3631"/>
      <c r="C78" s="818" t="s">
        <v>650</v>
      </c>
      <c r="D78" s="818" t="s">
        <v>651</v>
      </c>
      <c r="E78" s="895">
        <v>0.2</v>
      </c>
      <c r="F78" s="882">
        <v>30</v>
      </c>
    </row>
    <row r="79" spans="1:6" s="878" customFormat="1" ht="24">
      <c r="A79" s="882">
        <v>19</v>
      </c>
      <c r="B79" s="3631"/>
      <c r="C79" s="818" t="s">
        <v>652</v>
      </c>
      <c r="D79" s="818" t="s">
        <v>653</v>
      </c>
      <c r="E79" s="895">
        <v>0.5</v>
      </c>
      <c r="F79" s="882">
        <v>80</v>
      </c>
    </row>
    <row r="80" spans="1:6" s="878" customFormat="1" ht="36">
      <c r="A80" s="882">
        <v>20</v>
      </c>
      <c r="B80" s="3631"/>
      <c r="C80" s="818" t="s">
        <v>654</v>
      </c>
      <c r="D80" s="818" t="s">
        <v>655</v>
      </c>
      <c r="E80" s="895">
        <v>0.2</v>
      </c>
      <c r="F80" s="882">
        <v>30</v>
      </c>
    </row>
    <row r="81" spans="1:6" s="878" customFormat="1" ht="36">
      <c r="A81" s="882">
        <v>21</v>
      </c>
      <c r="B81" s="3631"/>
      <c r="C81" s="818" t="s">
        <v>656</v>
      </c>
      <c r="D81" s="818" t="s">
        <v>657</v>
      </c>
      <c r="E81" s="895">
        <v>0.2</v>
      </c>
      <c r="F81" s="882">
        <v>30</v>
      </c>
    </row>
    <row r="82" spans="1:6" s="878" customFormat="1" ht="48">
      <c r="A82" s="882">
        <v>22</v>
      </c>
      <c r="B82" s="3631"/>
      <c r="C82" s="818" t="s">
        <v>658</v>
      </c>
      <c r="D82" s="818" t="s">
        <v>659</v>
      </c>
      <c r="E82" s="895">
        <v>0.2</v>
      </c>
      <c r="F82" s="882">
        <v>30</v>
      </c>
    </row>
    <row r="83" spans="1:6" s="878" customFormat="1" ht="48">
      <c r="A83" s="882">
        <v>23</v>
      </c>
      <c r="B83" s="3631"/>
      <c r="C83" s="818" t="s">
        <v>660</v>
      </c>
      <c r="D83" s="818" t="s">
        <v>661</v>
      </c>
      <c r="E83" s="895">
        <v>0.2</v>
      </c>
      <c r="F83" s="882">
        <v>30</v>
      </c>
    </row>
    <row r="84" spans="1:6" s="878" customFormat="1" ht="36">
      <c r="A84" s="882">
        <v>24</v>
      </c>
      <c r="B84" s="3631"/>
      <c r="C84" s="818" t="s">
        <v>662</v>
      </c>
      <c r="D84" s="818" t="s">
        <v>663</v>
      </c>
      <c r="E84" s="895">
        <v>0.2</v>
      </c>
      <c r="F84" s="882">
        <v>30</v>
      </c>
    </row>
    <row r="85" spans="1:6" s="878" customFormat="1" ht="36">
      <c r="A85" s="882">
        <v>25</v>
      </c>
      <c r="B85" s="3631"/>
      <c r="C85" s="818" t="s">
        <v>664</v>
      </c>
      <c r="D85" s="818" t="s">
        <v>665</v>
      </c>
      <c r="E85" s="895">
        <v>0.5</v>
      </c>
      <c r="F85" s="882">
        <v>80</v>
      </c>
    </row>
    <row r="86" spans="1:6" s="878" customFormat="1" ht="36">
      <c r="A86" s="882">
        <v>26</v>
      </c>
      <c r="B86" s="3631"/>
      <c r="C86" s="818" t="s">
        <v>666</v>
      </c>
      <c r="D86" s="818" t="s">
        <v>667</v>
      </c>
      <c r="E86" s="895">
        <v>0.2</v>
      </c>
      <c r="F86" s="882">
        <v>30</v>
      </c>
    </row>
    <row r="87" spans="1:6" s="878" customFormat="1" ht="36">
      <c r="A87" s="882">
        <v>27</v>
      </c>
      <c r="B87" s="3631"/>
      <c r="C87" s="818" t="s">
        <v>668</v>
      </c>
      <c r="D87" s="818" t="s">
        <v>669</v>
      </c>
      <c r="E87" s="895">
        <v>0.2</v>
      </c>
      <c r="F87" s="882">
        <v>30</v>
      </c>
    </row>
    <row r="88" spans="1:6" s="878" customFormat="1" ht="36">
      <c r="A88" s="882">
        <v>28</v>
      </c>
      <c r="B88" s="3631"/>
      <c r="C88" s="818" t="s">
        <v>670</v>
      </c>
      <c r="D88" s="818" t="s">
        <v>671</v>
      </c>
      <c r="E88" s="895">
        <v>0.2</v>
      </c>
      <c r="F88" s="882">
        <v>30</v>
      </c>
    </row>
    <row r="89" spans="1:6" s="878" customFormat="1" ht="24">
      <c r="A89" s="882">
        <v>29</v>
      </c>
      <c r="B89" s="3631"/>
      <c r="C89" s="818" t="s">
        <v>672</v>
      </c>
      <c r="D89" s="818" t="s">
        <v>673</v>
      </c>
      <c r="E89" s="895">
        <v>0.2</v>
      </c>
      <c r="F89" s="882">
        <v>30</v>
      </c>
    </row>
    <row r="90" spans="1:6" s="878" customFormat="1" ht="24">
      <c r="A90" s="882">
        <v>30</v>
      </c>
      <c r="B90" s="3631"/>
      <c r="C90" s="818" t="s">
        <v>674</v>
      </c>
      <c r="D90" s="818" t="s">
        <v>675</v>
      </c>
      <c r="E90" s="895">
        <v>0.2</v>
      </c>
      <c r="F90" s="882">
        <v>30</v>
      </c>
    </row>
    <row r="91" spans="1:6" s="878" customFormat="1" ht="36">
      <c r="A91" s="882">
        <v>31</v>
      </c>
      <c r="B91" s="3631"/>
      <c r="C91" s="818" t="s">
        <v>676</v>
      </c>
      <c r="D91" s="818" t="s">
        <v>677</v>
      </c>
      <c r="E91" s="895">
        <v>0.2</v>
      </c>
      <c r="F91" s="882">
        <v>30</v>
      </c>
    </row>
    <row r="92" spans="1:6" s="878" customFormat="1" ht="24">
      <c r="A92" s="882">
        <v>32</v>
      </c>
      <c r="B92" s="3631" t="s">
        <v>678</v>
      </c>
      <c r="C92" s="882" t="s">
        <v>679</v>
      </c>
      <c r="D92" s="818" t="s">
        <v>680</v>
      </c>
      <c r="E92" s="895">
        <v>0.2</v>
      </c>
      <c r="F92" s="882">
        <v>30</v>
      </c>
    </row>
    <row r="93" spans="1:6" s="878" customFormat="1" ht="36">
      <c r="A93" s="882">
        <v>33</v>
      </c>
      <c r="B93" s="3631"/>
      <c r="C93" s="882" t="s">
        <v>681</v>
      </c>
      <c r="D93" s="818" t="s">
        <v>682</v>
      </c>
      <c r="E93" s="895">
        <v>0.2</v>
      </c>
      <c r="F93" s="882">
        <v>30</v>
      </c>
    </row>
    <row r="94" spans="1:6" s="878" customFormat="1" ht="48">
      <c r="A94" s="882">
        <v>34</v>
      </c>
      <c r="B94" s="3631"/>
      <c r="C94" s="882" t="s">
        <v>683</v>
      </c>
      <c r="D94" s="818" t="s">
        <v>684</v>
      </c>
      <c r="E94" s="895">
        <v>0.2</v>
      </c>
      <c r="F94" s="882">
        <v>30</v>
      </c>
    </row>
    <row r="95" spans="1:6" s="878" customFormat="1" ht="36">
      <c r="A95" s="882">
        <v>35</v>
      </c>
      <c r="B95" s="3631"/>
      <c r="C95" s="882" t="s">
        <v>685</v>
      </c>
      <c r="D95" s="818" t="s">
        <v>686</v>
      </c>
      <c r="E95" s="895">
        <v>0.2</v>
      </c>
      <c r="F95" s="882">
        <v>30</v>
      </c>
    </row>
    <row r="96" spans="1:6" s="878" customFormat="1" ht="48">
      <c r="A96" s="882">
        <v>36</v>
      </c>
      <c r="B96" s="3631"/>
      <c r="C96" s="818" t="s">
        <v>687</v>
      </c>
      <c r="D96" s="818" t="s">
        <v>688</v>
      </c>
      <c r="E96" s="895">
        <v>0.2</v>
      </c>
      <c r="F96" s="882">
        <v>30</v>
      </c>
    </row>
    <row r="97" spans="1:6" s="878" customFormat="1" ht="36">
      <c r="A97" s="882">
        <v>37</v>
      </c>
      <c r="B97" s="3631"/>
      <c r="C97" s="882" t="s">
        <v>689</v>
      </c>
      <c r="D97" s="818" t="s">
        <v>690</v>
      </c>
      <c r="E97" s="895">
        <v>0.2</v>
      </c>
      <c r="F97" s="882">
        <v>30</v>
      </c>
    </row>
    <row r="98" spans="1:6" s="878" customFormat="1" ht="36">
      <c r="A98" s="882">
        <v>38</v>
      </c>
      <c r="B98" s="3631"/>
      <c r="C98" s="882" t="s">
        <v>691</v>
      </c>
      <c r="D98" s="818" t="s">
        <v>692</v>
      </c>
      <c r="E98" s="895">
        <v>0.2</v>
      </c>
      <c r="F98" s="882">
        <v>30</v>
      </c>
    </row>
    <row r="99" spans="1:6" s="878" customFormat="1" ht="36">
      <c r="A99" s="882">
        <v>39</v>
      </c>
      <c r="B99" s="3631" t="s">
        <v>693</v>
      </c>
      <c r="C99" s="882" t="s">
        <v>694</v>
      </c>
      <c r="D99" s="818" t="s">
        <v>695</v>
      </c>
      <c r="E99" s="895">
        <v>0.3</v>
      </c>
      <c r="F99" s="882">
        <v>50</v>
      </c>
    </row>
    <row r="100" spans="1:6" s="878" customFormat="1" ht="24">
      <c r="A100" s="882">
        <v>40</v>
      </c>
      <c r="B100" s="3631"/>
      <c r="C100" s="882" t="s">
        <v>696</v>
      </c>
      <c r="D100" s="818" t="s">
        <v>697</v>
      </c>
      <c r="E100" s="895">
        <v>0.2</v>
      </c>
      <c r="F100" s="882">
        <v>30</v>
      </c>
    </row>
    <row r="101" spans="1:6" s="878" customFormat="1" ht="36">
      <c r="A101" s="882">
        <v>41</v>
      </c>
      <c r="B101" s="363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31" t="s">
        <v>708</v>
      </c>
      <c r="C105" s="882" t="s">
        <v>709</v>
      </c>
      <c r="D105" s="818" t="s">
        <v>710</v>
      </c>
      <c r="E105" s="895">
        <v>0.2</v>
      </c>
      <c r="F105" s="882">
        <v>30</v>
      </c>
    </row>
    <row r="106" spans="1:6" s="878" customFormat="1" ht="36">
      <c r="A106" s="882">
        <v>46</v>
      </c>
      <c r="B106" s="3631"/>
      <c r="C106" s="882" t="s">
        <v>711</v>
      </c>
      <c r="D106" s="818" t="s">
        <v>712</v>
      </c>
      <c r="E106" s="895">
        <v>0.2</v>
      </c>
      <c r="F106" s="882">
        <v>30</v>
      </c>
    </row>
    <row r="107" spans="1:6" s="878" customFormat="1" ht="36">
      <c r="A107" s="882">
        <v>47</v>
      </c>
      <c r="B107" s="3631" t="s">
        <v>713</v>
      </c>
      <c r="C107" s="882" t="s">
        <v>714</v>
      </c>
      <c r="D107" s="818" t="s">
        <v>715</v>
      </c>
      <c r="E107" s="895">
        <v>0.3</v>
      </c>
      <c r="F107" s="882">
        <v>50</v>
      </c>
    </row>
    <row r="108" spans="1:6" s="878" customFormat="1" ht="36">
      <c r="A108" s="882">
        <v>48</v>
      </c>
      <c r="B108" s="363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31" t="s">
        <v>724</v>
      </c>
      <c r="C111" s="882" t="s">
        <v>725</v>
      </c>
      <c r="D111" s="818" t="s">
        <v>726</v>
      </c>
      <c r="E111" s="895">
        <v>0.2</v>
      </c>
      <c r="F111" s="882">
        <v>30</v>
      </c>
    </row>
    <row r="112" spans="1:6" s="878" customFormat="1" ht="24">
      <c r="A112" s="882">
        <v>52</v>
      </c>
      <c r="B112" s="3631"/>
      <c r="C112" s="882" t="s">
        <v>727</v>
      </c>
      <c r="D112" s="818" t="s">
        <v>728</v>
      </c>
      <c r="E112" s="895">
        <v>0.2</v>
      </c>
      <c r="F112" s="882">
        <v>30</v>
      </c>
    </row>
    <row r="113" spans="1:6" s="878" customFormat="1" ht="24">
      <c r="A113" s="882">
        <v>53</v>
      </c>
      <c r="B113" s="363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31" t="s">
        <v>737</v>
      </c>
      <c r="C116" s="882" t="s">
        <v>738</v>
      </c>
      <c r="D116" s="818" t="s">
        <v>739</v>
      </c>
      <c r="E116" s="895">
        <v>0.2</v>
      </c>
      <c r="F116" s="882">
        <v>30</v>
      </c>
    </row>
    <row r="117" spans="1:6" ht="36">
      <c r="A117" s="882">
        <v>57</v>
      </c>
      <c r="B117" s="363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SUMPRODUCT((A105:A204=ROUNDDOWN('基准地价修正（办公）'!G3,1))*(B104:M104='基准地价修正（办公）'!G2)*(B105:M204))</f>
        <v>1.1574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0" t="s">
        <v>2991</v>
      </c>
    </row>
    <row r="2" spans="1:5" ht="15.75">
      <c r="A2" s="2891" t="s">
        <v>2983</v>
      </c>
      <c r="B2" s="2892">
        <f ca="1">SUMIF(B6:B13,"&lt;&gt;#ref!",B6:B13)</f>
        <v>0</v>
      </c>
      <c r="C2" s="2891" t="s">
        <v>2984</v>
      </c>
      <c r="D2" s="2891" t="s">
        <v>2985</v>
      </c>
      <c r="E2" s="2892">
        <f ca="1">SUMIF(E6:E13,"&lt;&gt;#ref!",E6:E13)</f>
        <v>0</v>
      </c>
    </row>
    <row r="3" spans="1:5" ht="15.75">
      <c r="A3" s="2891" t="s">
        <v>2986</v>
      </c>
      <c r="B3" s="2892" t="e">
        <f ca="1">ROUND(B2*10000/E2,0)</f>
        <v>#DIV/0!</v>
      </c>
      <c r="C3" s="2891" t="s">
        <v>2992</v>
      </c>
      <c r="D3" s="2893"/>
      <c r="E3" s="2893"/>
    </row>
    <row r="4" spans="1:5" ht="15.75">
      <c r="A4" s="2894"/>
      <c r="B4" s="2893"/>
      <c r="C4" s="2893"/>
      <c r="D4" s="2893"/>
      <c r="E4" s="2893"/>
    </row>
    <row r="5" spans="1:5" ht="28.5">
      <c r="A5" s="2895" t="s">
        <v>2987</v>
      </c>
      <c r="B5" s="2891" t="s">
        <v>2988</v>
      </c>
      <c r="C5" s="2892"/>
      <c r="D5" s="2893"/>
      <c r="E5" s="2891" t="s">
        <v>2989</v>
      </c>
    </row>
    <row r="6" spans="1:5" ht="15.75">
      <c r="A6" s="2896" t="s">
        <v>2990</v>
      </c>
      <c r="B6" s="2892" t="e">
        <f ca="1">SUMIF(INDIRECT("'"&amp;A6&amp;"'"&amp;"!A:A"),"总价",INDIRECT("'"&amp;A6&amp;"'"&amp;"!B:B"))</f>
        <v>#REF!</v>
      </c>
      <c r="C6" s="2891" t="s">
        <v>2984</v>
      </c>
      <c r="D6" s="2893"/>
      <c r="E6" s="2564" t="e">
        <f ca="1">SUMIF(INDIRECT("'"&amp;A6&amp;"'"&amp;"!C:C"),"建筑面积",INDIRECT("'"&amp;A6&amp;"'"&amp;"!D:D"))</f>
        <v>#REF!</v>
      </c>
    </row>
    <row r="7" spans="1:5" ht="15.75">
      <c r="A7" s="2896"/>
      <c r="B7" s="2892" t="e">
        <f ca="1">SUMIF(INDIRECT("'"&amp;A7&amp;"'"&amp;"!A:A"),"总价",INDIRECT("'"&amp;A7&amp;"'"&amp;"!B:B"))</f>
        <v>#REF!</v>
      </c>
      <c r="C7" s="2891" t="s">
        <v>2984</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2984</v>
      </c>
      <c r="D8" s="2893"/>
      <c r="E8" s="2564" t="e">
        <f t="shared" ca="1" si="0"/>
        <v>#REF!</v>
      </c>
    </row>
    <row r="9" spans="1:5" ht="15.75">
      <c r="A9" s="2896"/>
      <c r="B9" s="2892" t="e">
        <f t="shared" ca="1" si="1"/>
        <v>#REF!</v>
      </c>
      <c r="C9" s="2891" t="s">
        <v>2984</v>
      </c>
      <c r="D9" s="2893"/>
      <c r="E9" s="2564" t="e">
        <f t="shared" ca="1" si="0"/>
        <v>#REF!</v>
      </c>
    </row>
    <row r="10" spans="1:5" ht="15.75">
      <c r="A10" s="2896"/>
      <c r="B10" s="2892" t="e">
        <f t="shared" ca="1" si="1"/>
        <v>#REF!</v>
      </c>
      <c r="C10" s="2891" t="s">
        <v>2984</v>
      </c>
      <c r="D10" s="2893"/>
      <c r="E10" s="2564" t="e">
        <f t="shared" ca="1" si="0"/>
        <v>#REF!</v>
      </c>
    </row>
    <row r="11" spans="1:5" ht="15.75">
      <c r="A11" s="2896"/>
      <c r="B11" s="2892" t="e">
        <f t="shared" ca="1" si="1"/>
        <v>#REF!</v>
      </c>
      <c r="C11" s="2891" t="s">
        <v>2984</v>
      </c>
      <c r="D11" s="2893"/>
      <c r="E11" s="2564" t="e">
        <f t="shared" ca="1" si="0"/>
        <v>#REF!</v>
      </c>
    </row>
    <row r="12" spans="1:5" ht="15.75">
      <c r="A12" s="2896"/>
      <c r="B12" s="2892" t="e">
        <f t="shared" ca="1" si="1"/>
        <v>#REF!</v>
      </c>
      <c r="C12" s="2891" t="s">
        <v>2984</v>
      </c>
      <c r="D12" s="2893"/>
      <c r="E12" s="2564" t="e">
        <f t="shared" ca="1" si="0"/>
        <v>#REF!</v>
      </c>
    </row>
    <row r="13" spans="1:5" ht="15.75">
      <c r="A13" s="2896"/>
      <c r="B13" s="2892" t="e">
        <f t="shared" ca="1" si="1"/>
        <v>#REF!</v>
      </c>
      <c r="C13" s="2891" t="s">
        <v>2984</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637" t="s">
        <v>1146</v>
      </c>
      <c r="C1" s="3637"/>
      <c r="D1" s="3637"/>
      <c r="E1" s="3637"/>
      <c r="F1" s="3637"/>
      <c r="G1" s="3636" t="s">
        <v>1147</v>
      </c>
      <c r="H1" s="3636"/>
      <c r="I1" s="3636"/>
      <c r="J1" s="3636"/>
      <c r="K1" s="3636"/>
      <c r="L1" s="3636"/>
      <c r="N1" s="3636" t="s">
        <v>1148</v>
      </c>
      <c r="O1" s="3636"/>
      <c r="P1" s="3636"/>
      <c r="Q1" s="3636"/>
      <c r="R1" s="1444"/>
      <c r="S1" s="3636" t="s">
        <v>1149</v>
      </c>
      <c r="T1" s="3636"/>
      <c r="U1" s="3636"/>
      <c r="V1" s="3636"/>
      <c r="X1" s="3635" t="s">
        <v>1150</v>
      </c>
      <c r="Y1" s="3636"/>
      <c r="Z1" s="3636"/>
      <c r="AA1" s="3636"/>
      <c r="AB1" s="3636"/>
      <c r="AD1" s="3635" t="s">
        <v>1151</v>
      </c>
      <c r="AE1" s="3636"/>
      <c r="AF1" s="3636"/>
      <c r="AG1" s="3636"/>
      <c r="AH1" s="3636"/>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7" customFormat="1" ht="14.25">
      <c r="A3" s="2916" t="s">
        <v>3026</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51" customFormat="1" ht="14.25">
      <c r="B4" s="1452"/>
      <c r="C4" s="1452"/>
      <c r="D4" s="1453"/>
      <c r="E4" s="1453"/>
      <c r="F4" s="1452"/>
      <c r="G4" s="1454"/>
      <c r="H4" s="1455"/>
      <c r="I4" s="2902"/>
      <c r="J4" s="2902"/>
      <c r="K4" s="2902"/>
      <c r="L4" s="290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6">
        <v>2019</v>
      </c>
      <c r="H5" s="1728">
        <v>3</v>
      </c>
      <c r="I5" s="2903">
        <v>0</v>
      </c>
      <c r="J5" s="2903">
        <v>0</v>
      </c>
      <c r="K5" s="2903">
        <v>0</v>
      </c>
      <c r="L5" s="2903">
        <v>0</v>
      </c>
      <c r="N5" s="1465">
        <f>I5/100</f>
        <v>0</v>
      </c>
      <c r="O5" s="1465">
        <f t="shared" ref="O5" si="7">J5/100</f>
        <v>0</v>
      </c>
      <c r="P5" s="1465">
        <f t="shared" ref="P5" si="8">K5/100</f>
        <v>0</v>
      </c>
      <c r="Q5" s="1465">
        <f t="shared" ref="Q5" si="9">L5/100</f>
        <v>0</v>
      </c>
      <c r="R5" s="1730"/>
      <c r="S5" s="1731"/>
      <c r="T5" s="1730"/>
      <c r="U5" s="1730"/>
      <c r="V5" s="1730"/>
      <c r="W5" s="2906" t="s">
        <v>3027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6">
        <v>2019</v>
      </c>
      <c r="H6" s="1460">
        <v>2</v>
      </c>
      <c r="I6" s="2968">
        <v>1.53</v>
      </c>
      <c r="J6" s="2968">
        <v>1.01</v>
      </c>
      <c r="K6" s="2968">
        <v>1.62</v>
      </c>
      <c r="L6" s="296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0">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3044</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633">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633"/>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633"/>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642"/>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3022</v>
      </c>
      <c r="B12" s="1467">
        <v>439</v>
      </c>
      <c r="C12" s="1467">
        <v>327</v>
      </c>
      <c r="D12" s="1467">
        <f>C12</f>
        <v>327</v>
      </c>
      <c r="E12" s="1467">
        <v>627</v>
      </c>
      <c r="F12" s="1468">
        <v>283</v>
      </c>
      <c r="G12" s="3638">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633"/>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633"/>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642"/>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638">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633"/>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633"/>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634"/>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632">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633"/>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633"/>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634"/>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632">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633"/>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633"/>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634"/>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639">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640"/>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640"/>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641"/>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632">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633"/>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633"/>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634"/>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632">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633">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633">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634">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632">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633">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633">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634">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632">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633">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633">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634">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632">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633">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633">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634">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632">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633">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633">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634">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632">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633">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633">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634">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632">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633">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633">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634">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632">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633">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633">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634">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632">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633">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633">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634">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632">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633">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633">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634">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2993</v>
      </c>
      <c r="C1" s="3644" t="s">
        <v>2994</v>
      </c>
      <c r="D1" s="3645"/>
      <c r="E1" s="3645"/>
      <c r="F1" s="3645"/>
      <c r="G1" s="3645"/>
      <c r="H1" s="3645"/>
      <c r="I1" s="3645"/>
      <c r="J1" s="3645"/>
      <c r="K1" s="3645"/>
      <c r="L1" s="3645"/>
      <c r="M1" s="3645"/>
      <c r="N1" s="3645"/>
      <c r="O1" s="3645"/>
      <c r="P1" s="3645"/>
      <c r="Q1" s="3645"/>
      <c r="R1" s="3645"/>
      <c r="S1" s="3646"/>
      <c r="T1" s="1203" t="s">
        <v>2995</v>
      </c>
    </row>
    <row r="2" spans="1:45" s="707" customFormat="1">
      <c r="A2" s="1204"/>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3003</v>
      </c>
      <c r="B17" s="2898" t="s">
        <v>3004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9" t="s">
        <v>3005</v>
      </c>
      <c r="E19" s="1790"/>
      <c r="F19" s="1790"/>
      <c r="G19" s="1790"/>
      <c r="H19" s="1279"/>
      <c r="I19" s="168"/>
      <c r="J19" s="168"/>
      <c r="K19" s="168"/>
      <c r="L19" s="168"/>
      <c r="M19" s="168"/>
      <c r="N19" s="168"/>
      <c r="O19" s="168"/>
      <c r="P19" s="168"/>
      <c r="Q19" s="168"/>
      <c r="R19" s="788"/>
      <c r="S19" s="138"/>
    </row>
    <row r="20" spans="1:45" ht="16.5" thickBot="1">
      <c r="A20" s="715" t="s">
        <v>3006</v>
      </c>
      <c r="B20" s="338" t="e">
        <f ca="1">IF(D20="——",S22,S22-F20)</f>
        <v>#REF!</v>
      </c>
      <c r="C20" s="168"/>
      <c r="D20" s="2900" t="s">
        <v>3007</v>
      </c>
      <c r="E20" s="1791"/>
      <c r="F20" s="1203" t="e">
        <f ca="1">SUMIF(INDIRECT("'"&amp;H20&amp;"'"&amp;"!A:A"),"承租人权益价值",INDIRECT("'"&amp;H20&amp;"'"&amp;"!c:c"))</f>
        <v>#REF!</v>
      </c>
      <c r="G20" s="1203" t="s">
        <v>3008</v>
      </c>
      <c r="H20" s="2901"/>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454" t="s">
        <v>33</v>
      </c>
      <c r="D22" s="3455"/>
      <c r="E22" s="3455"/>
      <c r="F22" s="3455"/>
      <c r="G22" s="3455"/>
      <c r="H22" s="3455"/>
      <c r="I22" s="3455"/>
      <c r="J22" s="3455"/>
      <c r="K22" s="3455"/>
      <c r="L22" s="3455"/>
      <c r="M22" s="3455"/>
      <c r="N22" s="3455"/>
      <c r="O22" s="3455"/>
      <c r="P22" s="3455"/>
      <c r="Q22" s="3643"/>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46740</v>
      </c>
      <c r="C2" s="2" t="s">
        <v>133</v>
      </c>
      <c r="D2" s="243"/>
      <c r="E2" s="243"/>
      <c r="F2" s="243"/>
      <c r="G2" s="243"/>
    </row>
    <row r="3" spans="1:7" s="244" customFormat="1" ht="18" customHeight="1" thickBot="1">
      <c r="A3" s="247" t="s">
        <v>85</v>
      </c>
      <c r="B3" s="248">
        <f ca="1">ROUND(B2*10000/'数据-汇总表'!E3,0)</f>
        <v>18886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323</v>
      </c>
      <c r="D9" s="1032">
        <f>'数据-汇总表'!E5</f>
        <v>20189.89</v>
      </c>
      <c r="E9" s="269">
        <f>'数据-取费表'!B27</f>
        <v>160</v>
      </c>
      <c r="F9" s="265"/>
      <c r="G9" s="270"/>
    </row>
    <row r="10" spans="1:7" s="258" customFormat="1" ht="13.5" customHeight="1">
      <c r="A10" s="950" t="s">
        <v>801</v>
      </c>
      <c r="B10" s="268" t="s">
        <v>94</v>
      </c>
      <c r="C10" s="269">
        <f>ROUND(D10*E10/10000,0)</f>
        <v>91</v>
      </c>
      <c r="D10" s="1032">
        <f>'数据-汇总表'!E6</f>
        <v>4558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495</v>
      </c>
      <c r="D19" s="1036">
        <f>'数据-汇总表'!E3</f>
        <v>24747.89</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2072</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48</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3875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3875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29796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15034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13333</v>
      </c>
      <c r="D34" s="261"/>
      <c r="E34" s="264"/>
      <c r="F34" s="301">
        <f>IF('数据-取费表'!B24=0,1,'数据-取费表'!N16)</f>
        <v>1</v>
      </c>
      <c r="G34" s="263" t="s">
        <v>116</v>
      </c>
    </row>
    <row r="35" spans="1:7" ht="13.5" customHeight="1">
      <c r="A35" s="951" t="s">
        <v>796</v>
      </c>
      <c r="B35" s="259" t="s">
        <v>60</v>
      </c>
      <c r="C35" s="264">
        <f>ROUND(C34*F35,0)</f>
        <v>400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606</v>
      </c>
      <c r="D36" s="264"/>
      <c r="E36" s="264"/>
      <c r="F36" s="303">
        <f>'数据-取费表'!B34</f>
        <v>0.05</v>
      </c>
      <c r="G36" s="304" t="s">
        <v>62</v>
      </c>
    </row>
    <row r="37" spans="1:7" s="302" customFormat="1" ht="13.5" customHeight="1">
      <c r="A37" s="951" t="s">
        <v>798</v>
      </c>
      <c r="B37" s="259" t="s">
        <v>118</v>
      </c>
      <c r="C37" s="293">
        <f>ROUND(E37*D37*F34/10000,0)</f>
        <v>495</v>
      </c>
      <c r="D37" s="261">
        <f>'数据-汇总表'!E3</f>
        <v>24747.89</v>
      </c>
      <c r="E37" s="293">
        <f>'数据-取费表'!B35</f>
        <v>200</v>
      </c>
      <c r="F37" s="303"/>
      <c r="G37" s="305" t="s">
        <v>119</v>
      </c>
    </row>
    <row r="38" spans="1:7" ht="13.5" customHeight="1">
      <c r="A38" s="951" t="s">
        <v>799</v>
      </c>
      <c r="B38" s="259" t="s">
        <v>63</v>
      </c>
      <c r="C38" s="264">
        <f>ROUND(C34*F38,0)</f>
        <v>200</v>
      </c>
      <c r="D38" s="264"/>
      <c r="E38" s="264"/>
      <c r="F38" s="303">
        <f>'数据-取费表'!B36</f>
        <v>1.4999999999999999E-2</v>
      </c>
      <c r="G38" s="263" t="s">
        <v>117</v>
      </c>
    </row>
    <row r="39" spans="1:7" s="258" customFormat="1" ht="13.5" customHeight="1">
      <c r="A39" s="948" t="s">
        <v>783</v>
      </c>
      <c r="B39" s="254" t="s">
        <v>104</v>
      </c>
      <c r="C39" s="276">
        <f>ROUND(C33*F20,0)</f>
        <v>301</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728</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714</v>
      </c>
      <c r="D42" s="282"/>
      <c r="E42" s="282"/>
      <c r="F42" s="283"/>
      <c r="G42" s="3509" t="s">
        <v>121</v>
      </c>
    </row>
    <row r="43" spans="1:7" ht="13.5" customHeight="1">
      <c r="A43" s="951" t="s">
        <v>792</v>
      </c>
      <c r="B43" s="259" t="s">
        <v>1061</v>
      </c>
      <c r="C43" s="282">
        <f ca="1">ROUND(IF('数据-取费表'!B22&lt;=1,C39*F22*'数据-取费表'!B21/2,C39*(POWER((1+F22),'数据-取费表'!B21/2)-1)),0)</f>
        <v>14</v>
      </c>
      <c r="D43" s="282"/>
      <c r="E43" s="282"/>
      <c r="F43" s="283"/>
      <c r="G43" s="3510"/>
    </row>
    <row r="44" spans="1:7" ht="13.5" customHeight="1">
      <c r="A44" s="951" t="s">
        <v>793</v>
      </c>
      <c r="B44" s="259" t="s">
        <v>1063</v>
      </c>
      <c r="C44" s="282">
        <f ca="1">ROUND(IF('数据-取费表'!B22&lt;=1,C40*F22*'数据-取费表'!B21/2,C40*(POWER((1+F22),'数据-取费表'!B21/2)-1)),4)</f>
        <v>1E-3</v>
      </c>
      <c r="D44" s="282"/>
      <c r="E44" s="282"/>
      <c r="F44" s="283"/>
      <c r="G44" s="3511"/>
    </row>
    <row r="45" spans="1:7" s="258" customFormat="1" ht="13.5" customHeight="1">
      <c r="A45" s="948" t="s">
        <v>786</v>
      </c>
      <c r="B45" s="288" t="s">
        <v>112</v>
      </c>
      <c r="C45" s="289">
        <f>C46</f>
        <v>2760</v>
      </c>
      <c r="D45" s="279">
        <f>C47</f>
        <v>3.5999999999999999E-3</v>
      </c>
      <c r="E45" s="280" t="s">
        <v>129</v>
      </c>
      <c r="F45" s="290"/>
      <c r="G45" s="291" t="s">
        <v>1069</v>
      </c>
    </row>
    <row r="46" spans="1:7" s="258" customFormat="1" ht="13.5" customHeight="1">
      <c r="A46" s="951" t="s">
        <v>794</v>
      </c>
      <c r="B46" s="292" t="s">
        <v>1062</v>
      </c>
      <c r="C46" s="293">
        <f>ROUND((C33+C39)*F27,0)</f>
        <v>2760</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20414</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16944</v>
      </c>
      <c r="D51" s="276"/>
      <c r="E51" s="276"/>
      <c r="F51" s="308"/>
      <c r="G51" s="278" t="s">
        <v>64</v>
      </c>
    </row>
    <row r="52" spans="1:7" s="252" customFormat="1" ht="16.5" thickBot="1">
      <c r="A52" s="309" t="s">
        <v>65</v>
      </c>
      <c r="B52" s="310"/>
      <c r="C52" s="311">
        <f ca="1">C31+C51</f>
        <v>46740</v>
      </c>
      <c r="D52" s="310"/>
      <c r="E52" s="310"/>
      <c r="F52" s="310"/>
      <c r="G52" s="312"/>
    </row>
    <row r="55" spans="1:7" ht="15">
      <c r="B55" s="314" t="s">
        <v>66</v>
      </c>
      <c r="C55" s="315"/>
    </row>
    <row r="56" spans="1:7">
      <c r="B56" s="317" t="s">
        <v>67</v>
      </c>
      <c r="C56" s="318">
        <f ca="1">ROUND(C51/C52,3)</f>
        <v>0.36299999999999999</v>
      </c>
    </row>
    <row r="57" spans="1:7">
      <c r="B57" s="317" t="s">
        <v>68</v>
      </c>
      <c r="C57" s="319">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647" t="s">
        <v>156</v>
      </c>
      <c r="B1" s="3647"/>
      <c r="C1" s="3647"/>
      <c r="D1" s="3647"/>
      <c r="E1" s="3647"/>
      <c r="F1" s="364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648" t="s">
        <v>169</v>
      </c>
      <c r="B2" s="3648"/>
      <c r="C2" s="3648"/>
      <c r="D2" s="3648"/>
      <c r="E2" s="3648"/>
      <c r="F2" s="364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4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5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647" t="s">
        <v>868</v>
      </c>
      <c r="B1" s="364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43670</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301" t="s">
        <v>1657</v>
      </c>
      <c r="B1" s="3301"/>
      <c r="C1" s="3301"/>
      <c r="D1" s="3301"/>
    </row>
    <row r="2" spans="1:4" ht="18">
      <c r="A2" s="3302" t="s">
        <v>1641</v>
      </c>
      <c r="B2" s="3302"/>
      <c r="C2" s="3302"/>
      <c r="D2" s="3302"/>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8">
      <c r="A6" s="3302" t="s">
        <v>1647</v>
      </c>
      <c r="B6" s="3302"/>
      <c r="C6" s="3302"/>
      <c r="D6" s="3302"/>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303" t="s">
        <v>1650</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0"/>
      <c r="C12" s="3300"/>
      <c r="D12" s="3300"/>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0"/>
      <c r="C13" s="3300"/>
      <c r="D13" s="3300"/>
    </row>
    <row r="14" spans="1:4" ht="15.75" customHeight="1">
      <c r="A14" s="3295" t="str">
        <f>IF(项目基本情况!B8="抵押","4.本次评估估价师所知悉的法定优先受偿款情况说明如下：","——")</f>
        <v>4.本次评估估价师所知悉的法定优先受偿款情况说明如下：</v>
      </c>
      <c r="B14" s="3300"/>
      <c r="C14" s="3300"/>
      <c r="D14" s="3300"/>
    </row>
    <row r="15" spans="1:4" ht="42" customHeight="1">
      <c r="A15" s="32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7" t="s">
        <v>1651</v>
      </c>
      <c r="B16" s="3297"/>
      <c r="C16" s="3297"/>
      <c r="D16" s="3297"/>
    </row>
    <row r="17" spans="1:4" ht="144" customHeight="1">
      <c r="A17" s="3297" t="s">
        <v>1652</v>
      </c>
      <c r="B17" s="3297"/>
      <c r="C17" s="3297"/>
      <c r="D17" s="3297"/>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5"/>
      <c r="C20" s="3295"/>
      <c r="D20" s="3295"/>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8"/>
      <c r="C21" s="3298"/>
      <c r="D21" s="3298"/>
    </row>
    <row r="22" spans="1:4" ht="18.75" customHeight="1">
      <c r="A22" s="3299" t="s">
        <v>1653</v>
      </c>
      <c r="B22" s="3299"/>
      <c r="C22" s="3299"/>
      <c r="D22" s="3299"/>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296">
        <v>42551</v>
      </c>
      <c r="D31" s="32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309" t="s">
        <v>1664</v>
      </c>
      <c r="B15" s="3304" t="s">
        <v>136</v>
      </c>
      <c r="C15" s="3305"/>
    </row>
    <row r="16" spans="1:7" ht="13.5">
      <c r="A16" s="3310"/>
      <c r="B16" s="3304" t="s">
        <v>69</v>
      </c>
      <c r="C16" s="3305"/>
    </row>
    <row r="17" spans="1:3" ht="13.5">
      <c r="A17" s="3310"/>
      <c r="B17" s="3307" t="s">
        <v>1665</v>
      </c>
      <c r="C17" s="1997" t="s">
        <v>1664</v>
      </c>
    </row>
    <row r="18" spans="1:3" ht="13.5">
      <c r="A18" s="3310"/>
      <c r="B18" s="3307"/>
      <c r="C18" s="1997" t="s">
        <v>1666</v>
      </c>
    </row>
    <row r="19" spans="1:3" ht="13.5">
      <c r="A19" s="3310"/>
      <c r="B19" s="3307"/>
      <c r="C19" s="1997" t="s">
        <v>1667</v>
      </c>
    </row>
    <row r="20" spans="1:3" ht="13.5">
      <c r="A20" s="3311"/>
      <c r="B20" s="3306" t="s">
        <v>1668</v>
      </c>
      <c r="C20" s="3305"/>
    </row>
    <row r="21" spans="1:3" ht="13.5">
      <c r="A21" s="1998" t="s">
        <v>1669</v>
      </c>
      <c r="B21" s="1999"/>
      <c r="C21" s="2000"/>
    </row>
    <row r="22" spans="1:3" ht="13.5">
      <c r="A22" s="3308" t="s">
        <v>1670</v>
      </c>
      <c r="B22" s="3306" t="s">
        <v>1671</v>
      </c>
      <c r="C22" s="3305"/>
    </row>
    <row r="23" spans="1:3" ht="13.5">
      <c r="A23" s="3308"/>
      <c r="B23" s="3306" t="s">
        <v>1672</v>
      </c>
      <c r="C23" s="3305"/>
    </row>
    <row r="24" spans="1:3" ht="13.5">
      <c r="A24" s="3308"/>
      <c r="B24" s="3306" t="s">
        <v>1673</v>
      </c>
      <c r="C24" s="3305"/>
    </row>
    <row r="25" spans="1:3" ht="13.5">
      <c r="A25" s="3308"/>
      <c r="B25" s="3307" t="s">
        <v>1674</v>
      </c>
      <c r="C25" s="1997" t="s">
        <v>1675</v>
      </c>
    </row>
    <row r="26" spans="1:3" ht="13.5">
      <c r="A26" s="3308"/>
      <c r="B26" s="3307"/>
      <c r="C26" s="1997" t="s">
        <v>1676</v>
      </c>
    </row>
    <row r="27" spans="1:3" ht="13.5">
      <c r="A27" s="3308"/>
      <c r="B27" s="3307"/>
      <c r="C27" s="1997" t="s">
        <v>1677</v>
      </c>
    </row>
    <row r="28" spans="1:3" ht="13.5">
      <c r="A28" s="3308"/>
      <c r="B28" s="3307"/>
      <c r="C28" s="1997" t="s">
        <v>1678</v>
      </c>
    </row>
    <row r="29" spans="1:3" ht="13.5">
      <c r="A29" s="3308"/>
      <c r="B29" s="3307"/>
      <c r="C29" s="1997" t="s">
        <v>1679</v>
      </c>
    </row>
    <row r="30" spans="1:3" ht="13.5">
      <c r="A30" s="3308"/>
      <c r="B30" s="3307"/>
      <c r="C30" s="1997" t="s">
        <v>1680</v>
      </c>
    </row>
    <row r="31" spans="1:3" ht="13.5">
      <c r="A31" s="3308"/>
      <c r="B31" s="3307"/>
      <c r="C31" s="1997" t="s">
        <v>1681</v>
      </c>
    </row>
    <row r="32" spans="1:3" ht="13.5">
      <c r="A32" s="3308"/>
      <c r="B32" s="3307"/>
      <c r="C32" s="1997" t="s">
        <v>1682</v>
      </c>
    </row>
    <row r="33" spans="1:3" ht="13.5">
      <c r="A33" s="3308"/>
      <c r="B33" s="3307"/>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43672</v>
      </c>
      <c r="C2" s="1019" t="s">
        <v>826</v>
      </c>
      <c r="D2" s="1019"/>
    </row>
    <row r="3" spans="1:6" ht="24" customHeight="1">
      <c r="A3" s="1020" t="s">
        <v>827</v>
      </c>
      <c r="B3" s="1021" t="s">
        <v>828</v>
      </c>
      <c r="C3" s="2336" t="s">
        <v>829</v>
      </c>
      <c r="D3" s="2339" t="s">
        <v>830</v>
      </c>
      <c r="E3" s="1022" t="s">
        <v>831</v>
      </c>
      <c r="F3" s="1021" t="s">
        <v>829</v>
      </c>
    </row>
    <row r="4" spans="1:6" ht="24" customHeight="1">
      <c r="A4" s="1700" t="s">
        <v>832</v>
      </c>
      <c r="B4" s="1022">
        <f ca="1">IF(C4&lt;B2,"已过期",1119970066)</f>
        <v>1119970066</v>
      </c>
      <c r="C4" s="2337">
        <v>43849</v>
      </c>
      <c r="D4" s="2340" t="s">
        <v>832</v>
      </c>
      <c r="E4" s="1022">
        <f ca="1">IF(F4&lt;B2,"已过期",96010014)</f>
        <v>96010014</v>
      </c>
      <c r="F4" s="1030">
        <v>47118</v>
      </c>
    </row>
    <row r="5" spans="1:6" ht="24" customHeight="1">
      <c r="A5" s="1700" t="s">
        <v>833</v>
      </c>
      <c r="B5" s="1022">
        <f ca="1">IF(C5&lt;B2,"已过期",1119970074)</f>
        <v>1119970074</v>
      </c>
      <c r="C5" s="2337">
        <v>43849</v>
      </c>
      <c r="D5" s="2340" t="s">
        <v>833</v>
      </c>
      <c r="E5" s="1022">
        <f ca="1">IF(F5&lt;B2,"已过期",2002110027)</f>
        <v>2002110027</v>
      </c>
      <c r="F5" s="1030">
        <v>46752</v>
      </c>
    </row>
    <row r="6" spans="1:6" ht="24" customHeight="1">
      <c r="A6" s="1700" t="s">
        <v>834</v>
      </c>
      <c r="B6" s="1022">
        <f ca="1">IF(C6&lt;B2,"已过期",1119970111)</f>
        <v>1119970111</v>
      </c>
      <c r="C6" s="2337">
        <v>43849</v>
      </c>
      <c r="D6" s="2340" t="s">
        <v>834</v>
      </c>
      <c r="E6" s="1022">
        <f ca="1">IF(F6&lt;B2,"已过期",94010078)</f>
        <v>94010078</v>
      </c>
      <c r="F6" s="1030">
        <v>46387</v>
      </c>
    </row>
    <row r="7" spans="1:6" ht="24" customHeight="1">
      <c r="A7" s="1700" t="s">
        <v>835</v>
      </c>
      <c r="B7" s="1022">
        <f ca="1">IF(C7&lt;B2,"已过期",1120050019)</f>
        <v>1120050019</v>
      </c>
      <c r="C7" s="2337">
        <v>44395</v>
      </c>
      <c r="D7" s="2340" t="s">
        <v>835</v>
      </c>
      <c r="E7" s="1022">
        <f ca="1">IF(F7&lt;B2,"已过期",2002110030)</f>
        <v>2002110030</v>
      </c>
      <c r="F7" s="1030">
        <v>46387</v>
      </c>
    </row>
    <row r="8" spans="1:6" ht="24" customHeight="1">
      <c r="A8" s="1700" t="s">
        <v>836</v>
      </c>
      <c r="B8" s="1022">
        <f ca="1">IF(C8&lt;B2,"已过期",1120000080)</f>
        <v>1120000080</v>
      </c>
      <c r="C8" s="2337">
        <v>43849</v>
      </c>
      <c r="D8" s="2340" t="s">
        <v>836</v>
      </c>
      <c r="E8" s="1022">
        <f ca="1">IF(F8&lt;B2,"已过期",2000110082)</f>
        <v>2000110082</v>
      </c>
      <c r="F8" s="1030">
        <v>46387</v>
      </c>
    </row>
    <row r="9" spans="1:6" ht="24" customHeight="1">
      <c r="A9" s="1700" t="s">
        <v>837</v>
      </c>
      <c r="B9" s="1022">
        <f ca="1">IF(C9&lt;B2,"已过期",1419970001)</f>
        <v>1419970001</v>
      </c>
      <c r="C9" s="2337">
        <v>43867</v>
      </c>
      <c r="D9" s="2340" t="s">
        <v>837</v>
      </c>
      <c r="E9" s="1022">
        <f ca="1">IF(F9&lt;B2,"已过期",2002110125)</f>
        <v>2002110125</v>
      </c>
      <c r="F9" s="1030">
        <v>47118</v>
      </c>
    </row>
    <row r="10" spans="1:6" ht="24" customHeight="1">
      <c r="A10" s="1700" t="s">
        <v>838</v>
      </c>
      <c r="B10" s="1022">
        <f ca="1">IF(C10&lt;B2,"已过期",1120060040)</f>
        <v>1120060040</v>
      </c>
      <c r="C10" s="2337">
        <v>44554</v>
      </c>
      <c r="D10" s="2340" t="s">
        <v>838</v>
      </c>
      <c r="E10" s="1022">
        <f ca="1">IF(F10&lt;B2,"已过期",2004110096)</f>
        <v>2004110096</v>
      </c>
      <c r="F10" s="1030">
        <v>47118</v>
      </c>
    </row>
    <row r="11" spans="1:6" ht="24" customHeight="1">
      <c r="A11" s="1700" t="s">
        <v>839</v>
      </c>
      <c r="B11" s="1022">
        <f ca="1">IF(C11&lt;B2,"已过期",1120100036)</f>
        <v>1120100036</v>
      </c>
      <c r="C11" s="2337">
        <v>44675</v>
      </c>
      <c r="D11" s="2340" t="s">
        <v>839</v>
      </c>
      <c r="E11" s="1022">
        <f ca="1">IF(F11&lt;B2,"已过期",2010110070)</f>
        <v>2010110070</v>
      </c>
      <c r="F11" s="1030">
        <v>47907</v>
      </c>
    </row>
    <row r="12" spans="1:6" ht="24" customHeight="1">
      <c r="A12" s="1700"/>
      <c r="B12" s="1022"/>
      <c r="C12" s="2917"/>
      <c r="D12" s="1700"/>
      <c r="E12" s="1022"/>
      <c r="F12" s="1030"/>
    </row>
    <row r="13" spans="1:6" ht="24" customHeight="1">
      <c r="A13" s="1700" t="s">
        <v>840</v>
      </c>
      <c r="B13" s="1022">
        <f ca="1">IF(C13&lt;B2,"已过期",1120070131)</f>
        <v>1120070131</v>
      </c>
      <c r="C13" s="2337">
        <v>43814</v>
      </c>
      <c r="D13" s="2340" t="s">
        <v>840</v>
      </c>
      <c r="E13" s="1022">
        <f ca="1">IF(F13&lt;B2,"已过期",2014110011)</f>
        <v>2014110011</v>
      </c>
      <c r="F13" s="1030">
        <v>49302</v>
      </c>
    </row>
    <row r="14" spans="1:6" ht="24" customHeight="1">
      <c r="A14" s="1700" t="s">
        <v>3034</v>
      </c>
      <c r="B14" s="1022">
        <f ca="1">IF(C14&lt;B2,"已过期",1120040230)</f>
        <v>1120040230</v>
      </c>
      <c r="C14" s="2337">
        <v>43835</v>
      </c>
      <c r="D14" s="2340" t="s">
        <v>3034</v>
      </c>
      <c r="E14" s="1022">
        <f ca="1">IF(F14&lt;B2,"已过期",98030020)</f>
        <v>98030020</v>
      </c>
      <c r="F14" s="1030">
        <v>47118</v>
      </c>
    </row>
    <row r="15" spans="1:6" ht="24" customHeight="1">
      <c r="A15" s="1701" t="s">
        <v>3035</v>
      </c>
      <c r="B15" s="1022">
        <f ca="1">IF(C15&lt;B2,"已过期",1120070085)</f>
        <v>1120070085</v>
      </c>
      <c r="C15" s="2337">
        <v>43814</v>
      </c>
      <c r="D15" s="2341" t="s">
        <v>3035</v>
      </c>
      <c r="E15" s="1022">
        <f ca="1">IF(F15&lt;B2,"已过期",2004110128)</f>
        <v>2004110128</v>
      </c>
      <c r="F15" s="1023">
        <v>47118</v>
      </c>
    </row>
    <row r="16" spans="1:6" ht="24" customHeight="1">
      <c r="A16" s="1700" t="s">
        <v>3036</v>
      </c>
      <c r="B16" s="1022">
        <f ca="1">IF(C16&lt;B2,"已过期",1120140022)</f>
        <v>1120140022</v>
      </c>
      <c r="C16" s="2917">
        <v>44029</v>
      </c>
      <c r="D16" s="2340" t="s">
        <v>3036</v>
      </c>
      <c r="E16" s="1022">
        <f ca="1">IF(F16&lt;B2,"已过期",2008110059)</f>
        <v>2008110059</v>
      </c>
      <c r="F16" s="1030">
        <v>47177</v>
      </c>
    </row>
    <row r="17" spans="1:7" ht="24" customHeight="1">
      <c r="A17" s="1700"/>
      <c r="B17" s="1022"/>
      <c r="C17" s="2337"/>
      <c r="D17" s="2340" t="s">
        <v>3037</v>
      </c>
      <c r="E17" s="1022">
        <f ca="1">IF(F17&lt;B2,"已过期",2014110076)</f>
        <v>2014110076</v>
      </c>
      <c r="F17" s="1030">
        <v>49302</v>
      </c>
    </row>
    <row r="18" spans="1:7" ht="24" customHeight="1">
      <c r="A18" s="1700"/>
      <c r="B18" s="1022"/>
      <c r="C18" s="2337"/>
      <c r="D18" s="2340"/>
      <c r="E18" s="1022"/>
      <c r="F18" s="1030"/>
    </row>
    <row r="19" spans="1:7" ht="24" customHeight="1">
      <c r="A19" s="1700"/>
      <c r="B19" s="1022"/>
      <c r="C19" s="2337"/>
      <c r="D19" s="2340"/>
      <c r="E19" s="1022"/>
      <c r="F19" s="1022"/>
    </row>
    <row r="20" spans="1:7" ht="24" customHeight="1">
      <c r="A20" s="1700"/>
      <c r="B20" s="1022"/>
      <c r="C20" s="2337"/>
      <c r="D20" s="2340"/>
      <c r="E20" s="1022"/>
      <c r="F20" s="1022"/>
    </row>
    <row r="21" spans="1:7" ht="24" customHeight="1">
      <c r="A21" s="1700"/>
      <c r="B21" s="1022"/>
      <c r="C21" s="2337"/>
      <c r="D21" s="2340" t="s">
        <v>841</v>
      </c>
      <c r="E21" s="1022">
        <f ca="1">IF(F21&lt;B2,"已过期",2011110090)</f>
        <v>2011110090</v>
      </c>
      <c r="F21" s="1030">
        <v>48302</v>
      </c>
    </row>
    <row r="22" spans="1:7" ht="24" customHeight="1">
      <c r="A22" s="1700" t="s">
        <v>842</v>
      </c>
      <c r="B22" s="1022">
        <f ca="1">IF(C22&lt;B2,"已过期",1120020033)</f>
        <v>1120020033</v>
      </c>
      <c r="C22" s="2917">
        <v>44339</v>
      </c>
      <c r="D22" s="2340" t="s">
        <v>842</v>
      </c>
      <c r="E22" s="1022">
        <f ca="1">IF(F22&lt;B2,"已过期",2000110137)</f>
        <v>2000110137</v>
      </c>
      <c r="F22" s="1030">
        <v>46387</v>
      </c>
    </row>
    <row r="23" spans="1:7" ht="24" customHeight="1">
      <c r="A23" s="1700"/>
      <c r="B23" s="1022"/>
      <c r="C23" s="2337"/>
      <c r="D23" s="2340"/>
      <c r="E23" s="1022"/>
      <c r="F23" s="1022"/>
    </row>
    <row r="24" spans="1:7" s="1024" customFormat="1" ht="24" customHeight="1">
      <c r="A24" s="1701" t="s">
        <v>1329</v>
      </c>
      <c r="B24" s="1701" t="s">
        <v>1329</v>
      </c>
      <c r="C24" s="2338" t="s">
        <v>1329</v>
      </c>
      <c r="D24" s="2341" t="s">
        <v>1329</v>
      </c>
      <c r="E24" s="1701" t="s">
        <v>1329</v>
      </c>
      <c r="F24" s="1701" t="s">
        <v>1329</v>
      </c>
    </row>
    <row r="25" spans="1:7" ht="24" customHeight="1">
      <c r="A25" s="3312" t="s">
        <v>843</v>
      </c>
      <c r="B25" s="3312"/>
      <c r="C25" s="3312"/>
      <c r="D25" s="3312"/>
      <c r="E25" s="3312"/>
      <c r="F25" s="3312"/>
      <c r="G25" s="3312"/>
    </row>
    <row r="26" spans="1:7" s="1025" customFormat="1" ht="24" customHeight="1">
      <c r="A26" s="3313" t="s">
        <v>844</v>
      </c>
      <c r="B26" s="3313"/>
      <c r="C26" s="3314"/>
      <c r="D26" s="3315" t="s">
        <v>845</v>
      </c>
      <c r="E26" s="3313"/>
      <c r="F26" s="3313"/>
    </row>
    <row r="27" spans="1:7" s="1027" customFormat="1" ht="24" customHeight="1">
      <c r="A27" s="1026" t="s">
        <v>846</v>
      </c>
      <c r="B27" s="1021" t="s">
        <v>847</v>
      </c>
      <c r="C27" s="2336" t="s">
        <v>848</v>
      </c>
      <c r="D27" s="2344" t="s">
        <v>846</v>
      </c>
      <c r="E27" s="1021" t="s">
        <v>847</v>
      </c>
      <c r="F27" s="1021" t="s">
        <v>848</v>
      </c>
    </row>
    <row r="28" spans="1:7" s="1027" customFormat="1" ht="24" customHeight="1">
      <c r="A28" s="1028" t="s">
        <v>849</v>
      </c>
      <c r="B28" s="1029" t="s">
        <v>850</v>
      </c>
      <c r="C28" s="2342">
        <v>43725</v>
      </c>
      <c r="D28" s="2345" t="s">
        <v>851</v>
      </c>
      <c r="E28" s="1028" t="s">
        <v>852</v>
      </c>
      <c r="F28" s="1057">
        <v>44377</v>
      </c>
    </row>
    <row r="29" spans="1:7" s="1027" customFormat="1" ht="24" customHeight="1">
      <c r="A29" s="1028"/>
      <c r="B29" s="1028"/>
      <c r="C29" s="2343"/>
      <c r="D29" s="2345" t="s">
        <v>853</v>
      </c>
      <c r="E29" s="1201" t="s">
        <v>3041</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84" priority="88">
      <formula>AND($C28-TODAY()&lt;30,TODAY()&lt;$C28)</formula>
    </cfRule>
  </conditionalFormatting>
  <conditionalFormatting sqref="C28 F4">
    <cfRule type="cellIs" dxfId="283" priority="90" stopIfTrue="1" operator="lessThan">
      <formula>$B$2</formula>
    </cfRule>
  </conditionalFormatting>
  <conditionalFormatting sqref="C5">
    <cfRule type="expression" dxfId="282" priority="85">
      <formula>AND($C5-TODAY()&lt;30,TODAY()&lt;$C5)</formula>
    </cfRule>
  </conditionalFormatting>
  <conditionalFormatting sqref="C5 F5">
    <cfRule type="cellIs" dxfId="281" priority="86" stopIfTrue="1" operator="lessThan">
      <formula>$B$2</formula>
    </cfRule>
  </conditionalFormatting>
  <conditionalFormatting sqref="F6 F8 F10">
    <cfRule type="cellIs" dxfId="280" priority="84" stopIfTrue="1" operator="lessThan">
      <formula>$B$2</formula>
    </cfRule>
  </conditionalFormatting>
  <conditionalFormatting sqref="C4:C11 C13 C23 C17:C21">
    <cfRule type="expression" dxfId="279" priority="82">
      <formula>AND($C4-TODAY()&lt;30,TODAY()&lt;$C4)</formula>
    </cfRule>
  </conditionalFormatting>
  <conditionalFormatting sqref="F7 F9 F11 C4:C11 C13 C23 C17:C21">
    <cfRule type="cellIs" dxfId="278" priority="83" stopIfTrue="1" operator="lessThan">
      <formula>$B$2</formula>
    </cfRule>
  </conditionalFormatting>
  <conditionalFormatting sqref="C18">
    <cfRule type="expression" dxfId="277" priority="72">
      <formula>AND($C18-TODAY()&lt;30,TODAY()&lt;$C18)</formula>
    </cfRule>
  </conditionalFormatting>
  <conditionalFormatting sqref="C18">
    <cfRule type="cellIs" dxfId="276" priority="73" stopIfTrue="1" operator="lessThan">
      <formula>$B$2</formula>
    </cfRule>
  </conditionalFormatting>
  <conditionalFormatting sqref="C20">
    <cfRule type="expression" dxfId="275" priority="70">
      <formula>AND($C20-TODAY()&lt;30,TODAY()&lt;$C20)</formula>
    </cfRule>
  </conditionalFormatting>
  <conditionalFormatting sqref="C20">
    <cfRule type="cellIs" dxfId="274" priority="71" stopIfTrue="1" operator="lessThan">
      <formula>$B$2</formula>
    </cfRule>
  </conditionalFormatting>
  <conditionalFormatting sqref="C17">
    <cfRule type="expression" dxfId="273" priority="64">
      <formula>AND($C17-TODAY()&lt;30,TODAY()&lt;$C17)</formula>
    </cfRule>
  </conditionalFormatting>
  <conditionalFormatting sqref="C17">
    <cfRule type="cellIs" dxfId="272" priority="65" stopIfTrue="1" operator="lessThan">
      <formula>$B$2</formula>
    </cfRule>
  </conditionalFormatting>
  <conditionalFormatting sqref="C19">
    <cfRule type="expression" dxfId="271" priority="62">
      <formula>AND($C19-TODAY()&lt;30,TODAY()&lt;$C19)</formula>
    </cfRule>
  </conditionalFormatting>
  <conditionalFormatting sqref="C19">
    <cfRule type="cellIs" dxfId="270" priority="63" stopIfTrue="1" operator="lessThan">
      <formula>$B$2</formula>
    </cfRule>
  </conditionalFormatting>
  <conditionalFormatting sqref="C21">
    <cfRule type="expression" dxfId="269" priority="60">
      <formula>AND($C21-TODAY()&lt;30,TODAY()&lt;$C21)</formula>
    </cfRule>
  </conditionalFormatting>
  <conditionalFormatting sqref="C21">
    <cfRule type="cellIs" dxfId="268" priority="61" stopIfTrue="1" operator="lessThan">
      <formula>$B$2</formula>
    </cfRule>
  </conditionalFormatting>
  <conditionalFormatting sqref="C23">
    <cfRule type="expression" dxfId="267" priority="58">
      <formula>AND($C23-TODAY()&lt;30,TODAY()&lt;$C23)</formula>
    </cfRule>
  </conditionalFormatting>
  <conditionalFormatting sqref="C23">
    <cfRule type="cellIs" dxfId="266" priority="59" stopIfTrue="1" operator="lessThan">
      <formula>$B$2</formula>
    </cfRule>
  </conditionalFormatting>
  <conditionalFormatting sqref="F18">
    <cfRule type="cellIs" dxfId="265" priority="55" stopIfTrue="1" operator="lessThan">
      <formula>$B$2</formula>
    </cfRule>
  </conditionalFormatting>
  <conditionalFormatting sqref="F22">
    <cfRule type="cellIs" dxfId="264" priority="54" stopIfTrue="1" operator="lessThan">
      <formula>$B$2</formula>
    </cfRule>
  </conditionalFormatting>
  <conditionalFormatting sqref="F21">
    <cfRule type="cellIs" dxfId="263" priority="53" stopIfTrue="1" operator="lessThan">
      <formula>$B$2</formula>
    </cfRule>
  </conditionalFormatting>
  <conditionalFormatting sqref="B4:B11 E4:E11 B17:B23 E18:E23 B13 E13">
    <cfRule type="cellIs" dxfId="262" priority="51" stopIfTrue="1" operator="equal">
      <formula>"已过期"</formula>
    </cfRule>
  </conditionalFormatting>
  <conditionalFormatting sqref="A24:F24">
    <cfRule type="cellIs" dxfId="261" priority="47" stopIfTrue="1" operator="equal">
      <formula>"已过期"</formula>
    </cfRule>
  </conditionalFormatting>
  <conditionalFormatting sqref="F28">
    <cfRule type="expression" dxfId="260" priority="45">
      <formula>AND($E28-TODAY()&lt;30,TODAY()&lt;$E28)</formula>
    </cfRule>
  </conditionalFormatting>
  <conditionalFormatting sqref="F28">
    <cfRule type="cellIs" dxfId="259" priority="46" stopIfTrue="1" operator="lessThan">
      <formula>$B$2</formula>
    </cfRule>
  </conditionalFormatting>
  <conditionalFormatting sqref="F29">
    <cfRule type="expression" dxfId="258" priority="41" stopIfTrue="1">
      <formula>AND($E29-TODAY()&lt;30,TODAY()&lt;$E29)</formula>
    </cfRule>
  </conditionalFormatting>
  <conditionalFormatting sqref="F29">
    <cfRule type="cellIs" dxfId="257" priority="42" stopIfTrue="1" operator="lessThan">
      <formula>$B$2</formula>
    </cfRule>
  </conditionalFormatting>
  <conditionalFormatting sqref="F13">
    <cfRule type="cellIs" dxfId="256" priority="34" stopIfTrue="1" operator="lessThan">
      <formula>$B$2</formula>
    </cfRule>
  </conditionalFormatting>
  <conditionalFormatting sqref="C12">
    <cfRule type="expression" dxfId="255" priority="32">
      <formula>AND($C12-TODAY()&lt;30,TODAY()&lt;$C12)</formula>
    </cfRule>
  </conditionalFormatting>
  <conditionalFormatting sqref="C12">
    <cfRule type="cellIs" dxfId="254" priority="33" stopIfTrue="1" operator="lessThan">
      <formula>$B$2</formula>
    </cfRule>
  </conditionalFormatting>
  <conditionalFormatting sqref="C12">
    <cfRule type="expression" dxfId="253" priority="30">
      <formula>AND($C12-TODAY()&lt;30,TODAY()&lt;$C12)</formula>
    </cfRule>
  </conditionalFormatting>
  <conditionalFormatting sqref="C12">
    <cfRule type="cellIs" dxfId="252" priority="31" stopIfTrue="1" operator="lessThan">
      <formula>$B$2</formula>
    </cfRule>
  </conditionalFormatting>
  <conditionalFormatting sqref="B12">
    <cfRule type="cellIs" dxfId="251" priority="29" stopIfTrue="1" operator="equal">
      <formula>"已过期"</formula>
    </cfRule>
  </conditionalFormatting>
  <conditionalFormatting sqref="E12">
    <cfRule type="cellIs" dxfId="250" priority="28" stopIfTrue="1" operator="equal">
      <formula>"已过期"</formula>
    </cfRule>
  </conditionalFormatting>
  <conditionalFormatting sqref="F12">
    <cfRule type="cellIs" dxfId="249" priority="27" stopIfTrue="1" operator="lessThan">
      <formula>$B$2</formula>
    </cfRule>
  </conditionalFormatting>
  <conditionalFormatting sqref="C22">
    <cfRule type="expression" dxfId="248" priority="25">
      <formula>AND($C22-TODAY()&lt;30,TODAY()&lt;$C22)</formula>
    </cfRule>
  </conditionalFormatting>
  <conditionalFormatting sqref="C22">
    <cfRule type="cellIs" dxfId="247" priority="26" stopIfTrue="1" operator="lessThan">
      <formula>$B$2</formula>
    </cfRule>
  </conditionalFormatting>
  <conditionalFormatting sqref="C22">
    <cfRule type="expression" dxfId="246" priority="23">
      <formula>AND($C22-TODAY()&lt;30,TODAY()&lt;$C22)</formula>
    </cfRule>
  </conditionalFormatting>
  <conditionalFormatting sqref="C22">
    <cfRule type="cellIs" dxfId="245" priority="24" stopIfTrue="1" operator="lessThan">
      <formula>$B$2</formula>
    </cfRule>
  </conditionalFormatting>
  <conditionalFormatting sqref="C16">
    <cfRule type="expression" dxfId="244" priority="21">
      <formula>AND($C16-TODAY()&lt;30,TODAY()&lt;$C16)</formula>
    </cfRule>
  </conditionalFormatting>
  <conditionalFormatting sqref="C16">
    <cfRule type="cellIs" dxfId="243" priority="22" stopIfTrue="1" operator="lessThan">
      <formula>$B$2</formula>
    </cfRule>
  </conditionalFormatting>
  <conditionalFormatting sqref="C16">
    <cfRule type="expression" dxfId="242" priority="19">
      <formula>AND($C16-TODAY()&lt;30,TODAY()&lt;$C16)</formula>
    </cfRule>
  </conditionalFormatting>
  <conditionalFormatting sqref="C16">
    <cfRule type="cellIs" dxfId="241" priority="20" stopIfTrue="1" operator="lessThan">
      <formula>$B$2</formula>
    </cfRule>
  </conditionalFormatting>
  <conditionalFormatting sqref="B16">
    <cfRule type="cellIs" dxfId="240" priority="18" stopIfTrue="1" operator="equal">
      <formula>"已过期"</formula>
    </cfRule>
  </conditionalFormatting>
  <conditionalFormatting sqref="C14:C15">
    <cfRule type="expression" dxfId="239" priority="16">
      <formula>AND($C14-TODAY()&lt;30,TODAY()&lt;$C14)</formula>
    </cfRule>
  </conditionalFormatting>
  <conditionalFormatting sqref="C14:C15">
    <cfRule type="cellIs" dxfId="238" priority="17" stopIfTrue="1" operator="lessThan">
      <formula>$B$2</formula>
    </cfRule>
  </conditionalFormatting>
  <conditionalFormatting sqref="C14">
    <cfRule type="expression" dxfId="237" priority="14">
      <formula>AND($C14-TODAY()&lt;30,TODAY()&lt;$C14)</formula>
    </cfRule>
  </conditionalFormatting>
  <conditionalFormatting sqref="C14">
    <cfRule type="cellIs" dxfId="236" priority="15" stopIfTrue="1" operator="lessThan">
      <formula>$B$2</formula>
    </cfRule>
  </conditionalFormatting>
  <conditionalFormatting sqref="C15">
    <cfRule type="expression" dxfId="235" priority="12">
      <formula>AND($C15-TODAY()&lt;30,TODAY()&lt;$C15)</formula>
    </cfRule>
  </conditionalFormatting>
  <conditionalFormatting sqref="C15">
    <cfRule type="cellIs" dxfId="234" priority="13" stopIfTrue="1" operator="lessThan">
      <formula>$B$2</formula>
    </cfRule>
  </conditionalFormatting>
  <conditionalFormatting sqref="B14">
    <cfRule type="cellIs" dxfId="233" priority="11" stopIfTrue="1" operator="equal">
      <formula>"已过期"</formula>
    </cfRule>
  </conditionalFormatting>
  <conditionalFormatting sqref="B15">
    <cfRule type="cellIs" dxfId="232" priority="10" stopIfTrue="1" operator="equal">
      <formula>"已过期"</formula>
    </cfRule>
  </conditionalFormatting>
  <conditionalFormatting sqref="A15">
    <cfRule type="cellIs" dxfId="231" priority="9" stopIfTrue="1" operator="equal">
      <formula>"已过期"</formula>
    </cfRule>
  </conditionalFormatting>
  <conditionalFormatting sqref="C15">
    <cfRule type="expression" dxfId="230" priority="8">
      <formula>AND($C15-TODAY()&lt;30,TODAY()&lt;$C15)</formula>
    </cfRule>
  </conditionalFormatting>
  <conditionalFormatting sqref="F16">
    <cfRule type="cellIs" dxfId="229" priority="7" stopIfTrue="1" operator="lessThan">
      <formula>$B$2</formula>
    </cfRule>
  </conditionalFormatting>
  <conditionalFormatting sqref="E16 E14">
    <cfRule type="cellIs" dxfId="228" priority="6" stopIfTrue="1" operator="equal">
      <formula>"已过期"</formula>
    </cfRule>
  </conditionalFormatting>
  <conditionalFormatting sqref="E15">
    <cfRule type="cellIs" dxfId="227" priority="5" stopIfTrue="1" operator="equal">
      <formula>"已过期"</formula>
    </cfRule>
  </conditionalFormatting>
  <conditionalFormatting sqref="D15">
    <cfRule type="cellIs" dxfId="226" priority="4" stopIfTrue="1" operator="equal">
      <formula>"已过期"</formula>
    </cfRule>
  </conditionalFormatting>
  <conditionalFormatting sqref="F17">
    <cfRule type="cellIs" dxfId="225" priority="3" stopIfTrue="1" operator="lessThan">
      <formula>$B$2</formula>
    </cfRule>
  </conditionalFormatting>
  <conditionalFormatting sqref="E17">
    <cfRule type="cellIs" dxfId="224" priority="2" stopIfTrue="1" operator="equal">
      <formula>"已过期"</formula>
    </cfRule>
  </conditionalFormatting>
  <conditionalFormatting sqref="F14">
    <cfRule type="cellIs" dxfId="22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178</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结果表自制</vt:lpstr>
      <vt:lpstr>比较法-住宅</vt:lpstr>
      <vt:lpstr>比较法-住宅（北京高尔夫）</vt:lpstr>
      <vt:lpstr>比较法-住宅（三全）</vt:lpstr>
      <vt:lpstr>比较法-住宅（棕榈泉）</vt:lpstr>
      <vt:lpstr>市场案例</vt:lpstr>
      <vt:lpstr>成本法（住宅）</vt:lpstr>
      <vt:lpstr>基准地价修正（住宅）</vt:lpstr>
      <vt:lpstr>收益法</vt:lpstr>
      <vt:lpstr>租金整理（企业提供）</vt:lpstr>
      <vt:lpstr>市场租金情况</vt:lpstr>
      <vt:lpstr>四年收入支出</vt:lpstr>
      <vt:lpstr>结果表 (配套)</vt:lpstr>
      <vt:lpstr>成本法（配套）</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基准地价修正（办公）</vt:lpstr>
      <vt:lpstr>收益法 (配套)</vt:lpstr>
      <vt:lpstr>结果表 (车库)</vt:lpstr>
      <vt:lpstr>成本法（车库）</vt:lpstr>
      <vt:lpstr>收益法 (车库)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'成本法（车库）'!Print_Area</vt:lpstr>
      <vt:lpstr>估价师及机构信息!Print_Area</vt:lpstr>
      <vt:lpstr>'基准地价修正（住宅）'!Print_Area</vt:lpstr>
      <vt:lpstr>收益法!Print_Area</vt:lpstr>
      <vt:lpstr>'收益法 (车库)'!Print_Area</vt:lpstr>
      <vt:lpstr>'收益法 (配套)'!Print_Area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'比较法-住宅（北京高尔夫）'!住宅朝向</vt:lpstr>
      <vt:lpstr>'比较法-住宅（棕榈泉）'!住宅朝向</vt:lpstr>
      <vt:lpstr>住宅朝向</vt:lpstr>
      <vt:lpstr>'比较法-住宅'!住宅房型</vt:lpstr>
      <vt:lpstr>'比较法-住宅（北京高尔夫）'!住宅房型</vt:lpstr>
      <vt:lpstr>'比较法-住宅（棕榈泉）'!住宅房型</vt:lpstr>
      <vt:lpstr>住宅房型</vt:lpstr>
      <vt:lpstr>'比较法-住宅'!住宅公共部分装修</vt:lpstr>
      <vt:lpstr>'比较法-住宅（北京高尔夫）'!住宅公共部分装修</vt:lpstr>
      <vt:lpstr>'比较法-住宅（棕榈泉）'!住宅公共部分装修</vt:lpstr>
      <vt:lpstr>住宅公共部分装修</vt:lpstr>
      <vt:lpstr>'比较法-住宅'!住宅基础设施水平</vt:lpstr>
      <vt:lpstr>'比较法-住宅（北京高尔夫）'!住宅基础设施水平</vt:lpstr>
      <vt:lpstr>'比较法-住宅（棕榈泉）'!住宅基础设施水平</vt:lpstr>
      <vt:lpstr>住宅基础设施水平</vt:lpstr>
      <vt:lpstr>'比较法-住宅'!住宅建筑结构</vt:lpstr>
      <vt:lpstr>'比较法-住宅（北京高尔夫）'!住宅建筑结构</vt:lpstr>
      <vt:lpstr>'比较法-住宅（棕榈泉）'!住宅建筑结构</vt:lpstr>
      <vt:lpstr>住宅建筑结构</vt:lpstr>
      <vt:lpstr>'比较法-住宅'!住宅建筑类型</vt:lpstr>
      <vt:lpstr>'比较法-住宅（北京高尔夫）'!住宅建筑类型</vt:lpstr>
      <vt:lpstr>'比较法-住宅（棕榈泉）'!住宅建筑类型</vt:lpstr>
      <vt:lpstr>住宅建筑类型</vt:lpstr>
      <vt:lpstr>'比较法-住宅'!住宅建筑品质</vt:lpstr>
      <vt:lpstr>'比较法-住宅（北京高尔夫）'!住宅建筑品质</vt:lpstr>
      <vt:lpstr>'比较法-住宅（棕榈泉）'!住宅建筑品质</vt:lpstr>
      <vt:lpstr>住宅建筑品质</vt:lpstr>
      <vt:lpstr>'比较法-住宅'!住宅交易情况</vt:lpstr>
      <vt:lpstr>'比较法-住宅（北京高尔夫）'!住宅交易情况</vt:lpstr>
      <vt:lpstr>'比较法-住宅（棕榈泉）'!住宅交易情况</vt:lpstr>
      <vt:lpstr>住宅交易情况</vt:lpstr>
      <vt:lpstr>'比较法-住宅'!住宅楼层</vt:lpstr>
      <vt:lpstr>'比较法-住宅（北京高尔夫）'!住宅楼层</vt:lpstr>
      <vt:lpstr>'比较法-住宅（棕榈泉）'!住宅楼层</vt:lpstr>
      <vt:lpstr>住宅楼层</vt:lpstr>
      <vt:lpstr>'比较法-住宅'!住宅内部装修</vt:lpstr>
      <vt:lpstr>'比较法-住宅（北京高尔夫）'!住宅内部装修</vt:lpstr>
      <vt:lpstr>'比较法-住宅（棕榈泉）'!住宅内部装修</vt:lpstr>
      <vt:lpstr>住宅内部装修</vt:lpstr>
      <vt:lpstr>'比较法-住宅'!住宅物业管理</vt:lpstr>
      <vt:lpstr>'比较法-住宅（北京高尔夫）'!住宅物业管理</vt:lpstr>
      <vt:lpstr>'比较法-住宅（棕榈泉）'!住宅物业管理</vt:lpstr>
      <vt:lpstr>住宅物业管理</vt:lpstr>
      <vt:lpstr>'比较法-住宅'!住宅用途</vt:lpstr>
      <vt:lpstr>'比较法-住宅（北京高尔夫）'!住宅用途</vt:lpstr>
      <vt:lpstr>'比较法-住宅（棕榈泉）'!住宅用途</vt:lpstr>
      <vt:lpstr>住宅用途</vt:lpstr>
      <vt:lpstr>'比较法-住宅'!住宅主力户型面积</vt:lpstr>
      <vt:lpstr>'比较法-住宅（北京高尔夫）'!住宅主力户型面积</vt:lpstr>
      <vt:lpstr>'比较法-住宅（棕榈泉）'!住宅主力户型面积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2019-07-26T01:34:24Z</dcterms:modified>
</cp:coreProperties>
</file>